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filterPrivacy="1" autoCompressPictures="0"/>
  <xr:revisionPtr revIDLastSave="29" documentId="8_{EA21ED62-0B6D-4E6B-A938-55D4D27C1F5C}" xr6:coauthVersionLast="47" xr6:coauthVersionMax="47" xr10:uidLastSave="{69EB4C37-CB11-47B5-AD38-3648980EBE48}"/>
  <bookViews>
    <workbookView xWindow="19020" yWindow="12270" windowWidth="16815" windowHeight="10005" tabRatio="1000" firstSheet="19" activeTab="19" xr2:uid="{D65008FB-B391-4FC2-83CC-66F89B952ACD}"/>
  </bookViews>
  <sheets>
    <sheet name="LED計算式" sheetId="31" state="hidden" r:id="rId1"/>
    <sheet name="選定" sheetId="39" r:id="rId2"/>
    <sheet name="☆入力" sheetId="3" r:id="rId3"/>
    <sheet name="見積チェック" sheetId="96" r:id="rId4"/>
    <sheet name="①表紙" sheetId="12" r:id="rId5"/>
    <sheet name="②LEDをいま検討しないといけない理由" sheetId="80" state="hidden" r:id="rId6"/>
    <sheet name="③LED導入のメリット" sheetId="91" r:id="rId7"/>
    <sheet name="②前a" sheetId="48" state="hidden" r:id="rId8"/>
    <sheet name="③後a" sheetId="49" state="hidden" r:id="rId9"/>
    <sheet name="④前後a" sheetId="51" state="hidden" r:id="rId10"/>
    <sheet name="④照明の交換方法" sheetId="95" r:id="rId11"/>
    <sheet name="⑤前" sheetId="81" state="hidden" r:id="rId12"/>
    <sheet name="⑥後" sheetId="82" state="hidden" r:id="rId13"/>
    <sheet name="⑦前後" sheetId="83" state="hidden" r:id="rId14"/>
    <sheet name="⑦一式" sheetId="30" state="hidden" r:id="rId15"/>
    <sheet name="✖⑤複数" sheetId="62" state="hidden" r:id="rId16"/>
    <sheet name="✖⑤複数+詳細" sheetId="73" state="hidden" r:id="rId17"/>
    <sheet name="✖⑤詳細" sheetId="71" state="hidden" r:id="rId18"/>
    <sheet name="✖⑤複数+詳細2" sheetId="90" state="hidden" r:id="rId19"/>
    <sheet name="⑧見積書" sheetId="89" r:id="rId20"/>
    <sheet name="⑦小単体" sheetId="68" state="hidden" r:id="rId21"/>
    <sheet name="⑨シミュレーション" sheetId="64" state="hidden" r:id="rId22"/>
    <sheet name="⑧-bｼﾐｭ" sheetId="75" state="hidden" r:id="rId23"/>
    <sheet name="⑥非あり" sheetId="52" state="hidden" r:id="rId24"/>
    <sheet name="⑦非あり" sheetId="76" state="hidden" r:id="rId25"/>
    <sheet name="⑧複非なし" sheetId="86" state="hidden" r:id="rId26"/>
    <sheet name="⑧複非あり" sheetId="87" state="hidden" r:id="rId27"/>
    <sheet name="⑧ｼﾝｴﾅ案内" sheetId="94" state="hidden" r:id="rId28"/>
    <sheet name="⑩内訳" sheetId="10" r:id="rId29"/>
    <sheet name="⑪除外" sheetId="88" r:id="rId30"/>
    <sheet name="代理店入力用" sheetId="79" r:id="rId31"/>
    <sheet name="発注書兼発注請書" sheetId="92" state="hidden" r:id="rId32"/>
  </sheets>
  <definedNames>
    <definedName name="_xlnm.Print_Area" localSheetId="17">'✖⑤詳細'!$A$1:$G$62</definedName>
    <definedName name="_xlnm.Print_Area" localSheetId="15">'✖⑤複数'!$A$1:$G$36</definedName>
    <definedName name="_xlnm.Print_Area" localSheetId="16">'✖⑤複数+詳細'!$A$1:$H$64</definedName>
    <definedName name="_xlnm.Print_Area" localSheetId="18">'✖⑤複数+詳細2'!$A$1:$I$63</definedName>
    <definedName name="_xlnm.Print_Area" localSheetId="4">①表紙!$A$1:$N$28</definedName>
    <definedName name="_xlnm.Print_Area" localSheetId="5">②LEDをいま検討しないといけない理由!$A$1:$AY$32</definedName>
    <definedName name="_xlnm.Print_Area" localSheetId="7">②前a!$A$1:$BD$44</definedName>
    <definedName name="_xlnm.Print_Area" localSheetId="8">③後a!$A$1:$BD$44</definedName>
    <definedName name="_xlnm.Print_Area" localSheetId="9">④前後a!$A$1:$BI$44</definedName>
    <definedName name="_xlnm.Print_Area" localSheetId="11">⑤前!$A$1:$BD$44</definedName>
    <definedName name="_xlnm.Print_Area" localSheetId="12">⑥後!$A$1:$BD$44</definedName>
    <definedName name="_xlnm.Print_Area" localSheetId="23">⑥非あり!$A$1:$AY$34</definedName>
    <definedName name="_xlnm.Print_Area" localSheetId="14">⑦一式!$A$1:$G$31</definedName>
    <definedName name="_xlnm.Print_Area" localSheetId="20">⑦小単体!$A$1:$L$44</definedName>
    <definedName name="_xlnm.Print_Area" localSheetId="13">⑦前後!$A$1:$BI$44</definedName>
    <definedName name="_xlnm.Print_Area" localSheetId="24">⑦非あり!$A$1:$AY$39</definedName>
    <definedName name="_xlnm.Print_Area" localSheetId="22">'⑧-bｼﾐｭ'!$A$1:$AY$39</definedName>
    <definedName name="_xlnm.Print_Area" localSheetId="19">⑧見積書!$A$1:$G$61</definedName>
    <definedName name="_xlnm.Print_Area" localSheetId="26">⑧複非あり!$A$1:$BC$37</definedName>
    <definedName name="_xlnm.Print_Area" localSheetId="25">⑧複非なし!$A$1:$BC$37</definedName>
    <definedName name="_xlnm.Print_Area" localSheetId="21">⑨シミュレーション!$A$1:$AY$34</definedName>
    <definedName name="_xlnm.Print_Area" localSheetId="28">⑩内訳!$A$1:$H$45</definedName>
    <definedName name="_xlnm.Print_Area" localSheetId="29">⑪除外!$A$1:$M$28</definedName>
    <definedName name="_xlnm.Print_Area" localSheetId="31">発注書兼発注請書!$A$1:$Q$41</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6" i="3" l="1"/>
  <c r="B60" i="3"/>
  <c r="B59" i="3"/>
  <c r="B58" i="3"/>
  <c r="B57" i="3"/>
  <c r="B56" i="3"/>
  <c r="B55" i="3"/>
  <c r="B54" i="3"/>
  <c r="B53" i="3"/>
  <c r="B52" i="3"/>
  <c r="B51" i="3"/>
  <c r="B50" i="3"/>
  <c r="B49"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A55" i="89"/>
  <c r="J18" i="3"/>
  <c r="H18" i="3" s="1"/>
  <c r="L18" i="3"/>
  <c r="J19" i="3"/>
  <c r="H19" i="3" s="1"/>
  <c r="L19"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E1" i="31"/>
  <c r="AD1" i="31"/>
  <c r="A32" i="75" s="1"/>
  <c r="AD2" i="31"/>
  <c r="AE2" i="31" s="1"/>
  <c r="AC2" i="31"/>
  <c r="D11" i="92"/>
  <c r="D10" i="92"/>
  <c r="D9" i="92"/>
  <c r="N14" i="92"/>
  <c r="N12" i="92"/>
  <c r="L11" i="92"/>
  <c r="L10" i="92"/>
  <c r="L9" i="92"/>
  <c r="O2" i="92"/>
  <c r="G59" i="89" l="1"/>
  <c r="A30" i="64"/>
  <c r="A34" i="75"/>
  <c r="A28" i="64"/>
  <c r="I11" i="75"/>
  <c r="U5" i="64"/>
  <c r="G11" i="30"/>
  <c r="I38" i="10"/>
  <c r="J38" i="10"/>
  <c r="K38" i="10"/>
  <c r="L38" i="10"/>
  <c r="M38" i="10"/>
  <c r="N38" i="10"/>
  <c r="O38" i="10"/>
  <c r="P38" i="10"/>
  <c r="Q38" i="10"/>
  <c r="R38" i="10"/>
  <c r="S38" i="10"/>
  <c r="T38" i="10"/>
  <c r="U38" i="10"/>
  <c r="V38" i="10"/>
  <c r="W38" i="10"/>
  <c r="X38" i="10"/>
  <c r="Y38" i="10"/>
  <c r="Z38" i="10"/>
  <c r="AA38" i="10"/>
  <c r="AB38" i="10"/>
  <c r="AC38" i="10"/>
  <c r="AD38" i="10"/>
  <c r="AE38" i="10"/>
  <c r="I39" i="10"/>
  <c r="J39" i="10"/>
  <c r="K39" i="10"/>
  <c r="L39" i="10"/>
  <c r="M39" i="10"/>
  <c r="N39" i="10"/>
  <c r="O39" i="10"/>
  <c r="P39" i="10"/>
  <c r="Q39" i="10"/>
  <c r="R39" i="10"/>
  <c r="S39" i="10"/>
  <c r="T39" i="10"/>
  <c r="U39" i="10"/>
  <c r="V39" i="10"/>
  <c r="W39" i="10"/>
  <c r="X39" i="10"/>
  <c r="Y39" i="10"/>
  <c r="Z39" i="10"/>
  <c r="AA39" i="10"/>
  <c r="AB39" i="10"/>
  <c r="AC39" i="10"/>
  <c r="AD39" i="10"/>
  <c r="AE39" i="10"/>
  <c r="I13" i="10"/>
  <c r="J13" i="10"/>
  <c r="K13" i="10"/>
  <c r="L13" i="10"/>
  <c r="M13" i="10"/>
  <c r="N13" i="10"/>
  <c r="O13" i="10"/>
  <c r="P13" i="10"/>
  <c r="Q13" i="10"/>
  <c r="R13" i="10"/>
  <c r="S13" i="10"/>
  <c r="T13" i="10"/>
  <c r="U13" i="10"/>
  <c r="V13" i="10"/>
  <c r="W13" i="10"/>
  <c r="X13" i="10"/>
  <c r="Y13" i="10"/>
  <c r="Z13" i="10"/>
  <c r="AA13" i="10"/>
  <c r="AB13" i="10"/>
  <c r="AC13" i="10"/>
  <c r="AD13" i="10"/>
  <c r="AE13" i="10"/>
  <c r="BF17" i="3"/>
  <c r="BF18" i="3"/>
  <c r="BF19" i="3"/>
  <c r="BF20" i="3"/>
  <c r="BF21" i="3"/>
  <c r="BF22" i="3"/>
  <c r="BF23" i="3"/>
  <c r="BF24" i="3"/>
  <c r="BF25" i="3"/>
  <c r="BF26" i="3"/>
  <c r="BF27" i="3"/>
  <c r="BF28" i="3"/>
  <c r="BF29" i="3"/>
  <c r="BF30" i="3"/>
  <c r="BF31" i="3"/>
  <c r="BF32" i="3"/>
  <c r="BF33" i="3"/>
  <c r="BF34" i="3"/>
  <c r="BF35" i="3"/>
  <c r="BF36" i="3"/>
  <c r="BF37" i="3"/>
  <c r="BF38" i="3"/>
  <c r="BF39" i="3"/>
  <c r="BF40" i="3"/>
  <c r="BF41" i="3"/>
  <c r="BF42" i="3"/>
  <c r="BF43" i="3"/>
  <c r="BF44" i="3"/>
  <c r="BF45" i="3"/>
  <c r="BF16" i="3"/>
  <c r="BE16" i="3"/>
  <c r="A61" i="90"/>
  <c r="A59" i="90"/>
  <c r="A57" i="90"/>
  <c r="F56" i="90"/>
  <c r="G51" i="90"/>
  <c r="F51" i="90"/>
  <c r="A51" i="90"/>
  <c r="F50" i="90"/>
  <c r="H50" i="90" s="1"/>
  <c r="F48" i="90"/>
  <c r="H48" i="90" s="1"/>
  <c r="G39" i="90"/>
  <c r="F39" i="90"/>
  <c r="D39" i="90"/>
  <c r="C39" i="90"/>
  <c r="B39" i="90"/>
  <c r="A39" i="90"/>
  <c r="G38" i="90"/>
  <c r="F38" i="90"/>
  <c r="D38" i="90"/>
  <c r="C38" i="90"/>
  <c r="B38" i="90"/>
  <c r="A38" i="90"/>
  <c r="G37" i="90"/>
  <c r="F37" i="90"/>
  <c r="D37" i="90"/>
  <c r="C37" i="90"/>
  <c r="B37" i="90"/>
  <c r="A37" i="90"/>
  <c r="G36" i="90"/>
  <c r="F36" i="90"/>
  <c r="D36" i="90"/>
  <c r="C36" i="90"/>
  <c r="B36" i="90"/>
  <c r="A36" i="90"/>
  <c r="G35" i="90"/>
  <c r="F35" i="90"/>
  <c r="D35" i="90"/>
  <c r="C35" i="90"/>
  <c r="B35" i="90"/>
  <c r="A35" i="90"/>
  <c r="G34" i="90"/>
  <c r="F34" i="90"/>
  <c r="D34" i="90"/>
  <c r="C34" i="90"/>
  <c r="B34" i="90"/>
  <c r="A34" i="90"/>
  <c r="G33" i="90"/>
  <c r="F33" i="90"/>
  <c r="D33" i="90"/>
  <c r="C33" i="90"/>
  <c r="B33" i="90"/>
  <c r="A33" i="90"/>
  <c r="G32" i="90"/>
  <c r="F32" i="90"/>
  <c r="D32" i="90"/>
  <c r="C32" i="90"/>
  <c r="B32" i="90"/>
  <c r="A32" i="90"/>
  <c r="G31" i="90"/>
  <c r="F31" i="90"/>
  <c r="D31" i="90"/>
  <c r="C31" i="90"/>
  <c r="B31" i="90"/>
  <c r="A31" i="90"/>
  <c r="G30" i="90"/>
  <c r="F30" i="90"/>
  <c r="D30" i="90"/>
  <c r="C30" i="90"/>
  <c r="B30" i="90"/>
  <c r="A30" i="90"/>
  <c r="G29" i="90"/>
  <c r="F29" i="90"/>
  <c r="D29" i="90"/>
  <c r="C29" i="90"/>
  <c r="B29" i="90"/>
  <c r="A29" i="90"/>
  <c r="G28" i="90"/>
  <c r="F28" i="90"/>
  <c r="D28" i="90"/>
  <c r="C28" i="90"/>
  <c r="B28" i="90"/>
  <c r="A28" i="90"/>
  <c r="G27" i="90"/>
  <c r="F27" i="90"/>
  <c r="D27" i="90"/>
  <c r="C27" i="90"/>
  <c r="B27" i="90"/>
  <c r="A27" i="90"/>
  <c r="G26" i="90"/>
  <c r="F26" i="90"/>
  <c r="D26" i="90"/>
  <c r="C26" i="90"/>
  <c r="B26" i="90"/>
  <c r="A26" i="90"/>
  <c r="G25" i="90"/>
  <c r="F25" i="90"/>
  <c r="D25" i="90"/>
  <c r="C25" i="90"/>
  <c r="B25" i="90"/>
  <c r="A25" i="90"/>
  <c r="G24" i="90"/>
  <c r="F24" i="90"/>
  <c r="D24" i="90"/>
  <c r="C24" i="90"/>
  <c r="B24" i="90"/>
  <c r="A24" i="90"/>
  <c r="G23" i="90"/>
  <c r="F23" i="90"/>
  <c r="D23" i="90"/>
  <c r="C23" i="90"/>
  <c r="B23" i="90"/>
  <c r="A23" i="90"/>
  <c r="G22" i="90"/>
  <c r="F22" i="90"/>
  <c r="D22" i="90"/>
  <c r="C22" i="90"/>
  <c r="B22" i="90"/>
  <c r="A22" i="90"/>
  <c r="G21" i="90"/>
  <c r="F21" i="90"/>
  <c r="D21" i="90"/>
  <c r="C21" i="90"/>
  <c r="B21" i="90"/>
  <c r="A21" i="90"/>
  <c r="G20" i="90"/>
  <c r="F20" i="90"/>
  <c r="D20" i="90"/>
  <c r="C20" i="90"/>
  <c r="B20" i="90"/>
  <c r="A20" i="90"/>
  <c r="G19" i="90"/>
  <c r="F19" i="90"/>
  <c r="D19" i="90"/>
  <c r="C19" i="90"/>
  <c r="B19" i="90"/>
  <c r="A19" i="90"/>
  <c r="G18" i="90"/>
  <c r="F18" i="90"/>
  <c r="D18" i="90"/>
  <c r="C18" i="90"/>
  <c r="B18" i="90"/>
  <c r="A18" i="90"/>
  <c r="G17" i="90"/>
  <c r="D17" i="90"/>
  <c r="C17" i="90"/>
  <c r="B17" i="90"/>
  <c r="A17" i="90"/>
  <c r="G16" i="90"/>
  <c r="D16" i="90"/>
  <c r="C16" i="90"/>
  <c r="B16" i="90"/>
  <c r="A16" i="90"/>
  <c r="G15" i="90"/>
  <c r="D15" i="90"/>
  <c r="C15" i="90"/>
  <c r="B15" i="90"/>
  <c r="A15" i="90"/>
  <c r="G14" i="90"/>
  <c r="D14" i="90"/>
  <c r="C14" i="90"/>
  <c r="B14" i="90"/>
  <c r="A14" i="90"/>
  <c r="G13" i="90"/>
  <c r="F13" i="90"/>
  <c r="D13" i="90"/>
  <c r="C13" i="90"/>
  <c r="B13" i="90"/>
  <c r="A13" i="90"/>
  <c r="G12" i="90"/>
  <c r="D12" i="90"/>
  <c r="C12" i="90"/>
  <c r="B12" i="90"/>
  <c r="A12" i="90"/>
  <c r="G11" i="90"/>
  <c r="D11" i="90"/>
  <c r="C11" i="90"/>
  <c r="B11" i="90"/>
  <c r="A11" i="90"/>
  <c r="G10" i="90"/>
  <c r="D10" i="90"/>
  <c r="C10" i="90"/>
  <c r="B10" i="90"/>
  <c r="A10" i="90"/>
  <c r="G5" i="90"/>
  <c r="G4" i="90"/>
  <c r="A3" i="90"/>
  <c r="I1" i="90"/>
  <c r="H22" i="90" l="1"/>
  <c r="H30" i="90"/>
  <c r="H34" i="90"/>
  <c r="H18" i="90"/>
  <c r="H35" i="90"/>
  <c r="H39" i="90"/>
  <c r="H23" i="90"/>
  <c r="H25" i="90"/>
  <c r="H29" i="90"/>
  <c r="H38" i="90"/>
  <c r="H24" i="90"/>
  <c r="H26" i="90"/>
  <c r="H19" i="90"/>
  <c r="H21" i="90"/>
  <c r="H27" i="90"/>
  <c r="H51" i="90"/>
  <c r="H13" i="90"/>
  <c r="H28" i="90"/>
  <c r="H31" i="90"/>
  <c r="H33" i="90"/>
  <c r="H32" i="90"/>
  <c r="H37" i="90"/>
  <c r="H20" i="90"/>
  <c r="H36" i="90"/>
  <c r="D23" i="88"/>
  <c r="M24" i="88"/>
  <c r="M20" i="88"/>
  <c r="M16" i="88"/>
  <c r="M12" i="88"/>
  <c r="M8" i="88"/>
  <c r="M4" i="88"/>
  <c r="F24" i="88"/>
  <c r="F20" i="88"/>
  <c r="F16" i="88"/>
  <c r="A59" i="89" l="1"/>
  <c r="A57" i="89"/>
  <c r="E49" i="89"/>
  <c r="D49" i="89"/>
  <c r="F49" i="89" s="1"/>
  <c r="A49" i="89"/>
  <c r="F48" i="89"/>
  <c r="E39" i="89"/>
  <c r="D39" i="89"/>
  <c r="C39" i="89"/>
  <c r="B39" i="89"/>
  <c r="E38" i="89"/>
  <c r="D38" i="89"/>
  <c r="C38" i="89"/>
  <c r="B38" i="89"/>
  <c r="E37" i="89"/>
  <c r="D37" i="89"/>
  <c r="C37" i="89"/>
  <c r="B37" i="89"/>
  <c r="E36" i="89"/>
  <c r="D36" i="89"/>
  <c r="C36" i="89"/>
  <c r="B36" i="89"/>
  <c r="E35" i="89"/>
  <c r="D35" i="89"/>
  <c r="C35" i="89"/>
  <c r="B35" i="89"/>
  <c r="E34" i="89"/>
  <c r="D34" i="89"/>
  <c r="C34" i="89"/>
  <c r="B34" i="89"/>
  <c r="E33" i="89"/>
  <c r="D33" i="89"/>
  <c r="C33" i="89"/>
  <c r="B33" i="89"/>
  <c r="E32" i="89"/>
  <c r="D32" i="89"/>
  <c r="C32" i="89"/>
  <c r="B32" i="89"/>
  <c r="E31" i="89"/>
  <c r="D31" i="89"/>
  <c r="C31" i="89"/>
  <c r="B31" i="89"/>
  <c r="E30" i="89"/>
  <c r="D30" i="89"/>
  <c r="C30" i="89"/>
  <c r="B30" i="89"/>
  <c r="E29" i="89"/>
  <c r="D29" i="89"/>
  <c r="C29" i="89"/>
  <c r="B29" i="89"/>
  <c r="E28" i="89"/>
  <c r="D28" i="89"/>
  <c r="C28" i="89"/>
  <c r="B28" i="89"/>
  <c r="E27" i="89"/>
  <c r="D27" i="89"/>
  <c r="C27" i="89"/>
  <c r="B27" i="89"/>
  <c r="E26" i="89"/>
  <c r="D26" i="89"/>
  <c r="C26" i="89"/>
  <c r="B26" i="89"/>
  <c r="E25" i="89"/>
  <c r="D25" i="89"/>
  <c r="C25" i="89"/>
  <c r="B25" i="89"/>
  <c r="E24" i="89"/>
  <c r="D24" i="89"/>
  <c r="C24" i="89"/>
  <c r="B24" i="89"/>
  <c r="E23" i="89"/>
  <c r="D23" i="89"/>
  <c r="C23" i="89"/>
  <c r="B23" i="89"/>
  <c r="E22" i="89"/>
  <c r="D22" i="89"/>
  <c r="C22" i="89"/>
  <c r="B22" i="89"/>
  <c r="E21" i="89"/>
  <c r="D21" i="89"/>
  <c r="C21" i="89"/>
  <c r="B21" i="89"/>
  <c r="E20" i="89"/>
  <c r="D20" i="89"/>
  <c r="C20" i="89"/>
  <c r="B20" i="89"/>
  <c r="E19" i="89"/>
  <c r="D19" i="89"/>
  <c r="C19" i="89"/>
  <c r="B19" i="89"/>
  <c r="E18" i="89"/>
  <c r="D18" i="89"/>
  <c r="C18" i="89"/>
  <c r="B18" i="89"/>
  <c r="E17" i="89"/>
  <c r="C17" i="89"/>
  <c r="B17" i="89"/>
  <c r="E16" i="89"/>
  <c r="C16" i="89"/>
  <c r="B16" i="89"/>
  <c r="E15" i="89"/>
  <c r="C15" i="89"/>
  <c r="B15" i="89"/>
  <c r="E14" i="89"/>
  <c r="C14" i="89"/>
  <c r="B14" i="89"/>
  <c r="E13" i="89"/>
  <c r="C13" i="89"/>
  <c r="B13" i="89"/>
  <c r="E12" i="89"/>
  <c r="C12" i="89"/>
  <c r="B12" i="89"/>
  <c r="E11" i="89"/>
  <c r="C11" i="89"/>
  <c r="B11" i="89"/>
  <c r="E10" i="89"/>
  <c r="C10" i="89"/>
  <c r="B10" i="89"/>
  <c r="E4" i="89"/>
  <c r="A3" i="89"/>
  <c r="G1" i="89"/>
  <c r="F36" i="89" l="1"/>
  <c r="F37" i="89"/>
  <c r="F19" i="89"/>
  <c r="F35" i="89"/>
  <c r="F20" i="89"/>
  <c r="F21" i="89"/>
  <c r="F22" i="89"/>
  <c r="F23" i="89"/>
  <c r="F28" i="89"/>
  <c r="F29" i="89"/>
  <c r="F31" i="89"/>
  <c r="F27" i="89"/>
  <c r="F38" i="89"/>
  <c r="F39" i="89"/>
  <c r="F24" i="89"/>
  <c r="F25" i="89"/>
  <c r="F26" i="89"/>
  <c r="F30" i="89"/>
  <c r="F18" i="89"/>
  <c r="F32" i="89"/>
  <c r="F33" i="89"/>
  <c r="F34" i="89"/>
  <c r="K27" i="88"/>
  <c r="K23" i="88"/>
  <c r="K19" i="88"/>
  <c r="K15" i="88"/>
  <c r="K11" i="88"/>
  <c r="K7" i="88"/>
  <c r="D27" i="88"/>
  <c r="D19" i="88"/>
  <c r="D15" i="88"/>
  <c r="D11" i="88"/>
  <c r="D7" i="88"/>
  <c r="K26" i="88"/>
  <c r="K22" i="88"/>
  <c r="K18" i="88"/>
  <c r="K14" i="88"/>
  <c r="K10" i="88"/>
  <c r="K6" i="88"/>
  <c r="D26" i="88"/>
  <c r="D22" i="88"/>
  <c r="D18" i="88"/>
  <c r="D14" i="88"/>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16" i="3"/>
  <c r="D10" i="88"/>
  <c r="M25" i="88" l="1"/>
  <c r="M21" i="88"/>
  <c r="M17" i="88"/>
  <c r="K25" i="88"/>
  <c r="K21" i="88"/>
  <c r="K17" i="88"/>
  <c r="K13" i="88"/>
  <c r="K9" i="88"/>
  <c r="K5" i="88"/>
  <c r="D25" i="88"/>
  <c r="D21" i="88"/>
  <c r="D17" i="88"/>
  <c r="D13" i="88"/>
  <c r="D9" i="88"/>
  <c r="D5" i="88"/>
  <c r="F12" i="88"/>
  <c r="F8" i="88"/>
  <c r="F4" i="88"/>
  <c r="K24" i="88"/>
  <c r="K20" i="88"/>
  <c r="K16" i="88"/>
  <c r="K12" i="88"/>
  <c r="K8" i="88"/>
  <c r="K4" i="88"/>
  <c r="D24" i="88"/>
  <c r="D20" i="88"/>
  <c r="D16" i="88"/>
  <c r="D12" i="88"/>
  <c r="D8" i="88"/>
  <c r="D4" i="88"/>
  <c r="D6" i="88"/>
  <c r="L59" i="3" l="1"/>
  <c r="L60" i="3"/>
  <c r="L49" i="3"/>
  <c r="F5" i="88" s="1"/>
  <c r="L58" i="3"/>
  <c r="L57" i="3"/>
  <c r="M13" i="88" s="1"/>
  <c r="L56" i="3"/>
  <c r="M9" i="88" s="1"/>
  <c r="L55" i="3"/>
  <c r="M5" i="88" s="1"/>
  <c r="L54" i="3"/>
  <c r="F25" i="88" s="1"/>
  <c r="L53" i="3"/>
  <c r="F21" i="88" s="1"/>
  <c r="L52" i="3"/>
  <c r="F17" i="88" s="1"/>
  <c r="L51" i="3"/>
  <c r="F13" i="88" s="1"/>
  <c r="L50" i="3"/>
  <c r="F9" i="88" s="1"/>
  <c r="O39" i="31"/>
  <c r="O38" i="31"/>
  <c r="M32" i="31"/>
  <c r="F46" i="90" l="1"/>
  <c r="H46" i="90" s="1"/>
  <c r="D46" i="89"/>
  <c r="F46" i="89" s="1"/>
  <c r="F47" i="90"/>
  <c r="H47" i="90" s="1"/>
  <c r="B10" i="10"/>
  <c r="BC17" i="3" l="1"/>
  <c r="BD17" i="3"/>
  <c r="BE17" i="3"/>
  <c r="BC18" i="3"/>
  <c r="BD18" i="3"/>
  <c r="BE18" i="3"/>
  <c r="BC19" i="3"/>
  <c r="BD19" i="3"/>
  <c r="BE19" i="3"/>
  <c r="BC20" i="3"/>
  <c r="BD20" i="3"/>
  <c r="BE20" i="3"/>
  <c r="BC21" i="3"/>
  <c r="BD21" i="3"/>
  <c r="BE21" i="3"/>
  <c r="BC22" i="3"/>
  <c r="BD22" i="3"/>
  <c r="BE22" i="3"/>
  <c r="BC23" i="3"/>
  <c r="BD23" i="3"/>
  <c r="BE23" i="3"/>
  <c r="BC24" i="3"/>
  <c r="BD24" i="3"/>
  <c r="BE24" i="3"/>
  <c r="BC25" i="3"/>
  <c r="BD25" i="3"/>
  <c r="BE25" i="3"/>
  <c r="BC26" i="3"/>
  <c r="BD26" i="3"/>
  <c r="BE26" i="3"/>
  <c r="BC27" i="3"/>
  <c r="BD27" i="3"/>
  <c r="BE27" i="3"/>
  <c r="BC28" i="3"/>
  <c r="BD28" i="3"/>
  <c r="BE28" i="3"/>
  <c r="BC29" i="3"/>
  <c r="BD29" i="3"/>
  <c r="BE29" i="3"/>
  <c r="BC30" i="3"/>
  <c r="BD30" i="3"/>
  <c r="BE30" i="3"/>
  <c r="BC31" i="3"/>
  <c r="BD31" i="3"/>
  <c r="BE31" i="3"/>
  <c r="BC32" i="3"/>
  <c r="BD32" i="3"/>
  <c r="BE32" i="3"/>
  <c r="BC33" i="3"/>
  <c r="BD33" i="3"/>
  <c r="BE33" i="3"/>
  <c r="BC34" i="3"/>
  <c r="BD34" i="3"/>
  <c r="BE34" i="3"/>
  <c r="BC35" i="3"/>
  <c r="BD35" i="3"/>
  <c r="BE35" i="3"/>
  <c r="BC36" i="3"/>
  <c r="BD36" i="3"/>
  <c r="BE36" i="3"/>
  <c r="BC37" i="3"/>
  <c r="BD37" i="3"/>
  <c r="BE37" i="3"/>
  <c r="BC38" i="3"/>
  <c r="BD38" i="3"/>
  <c r="BE38" i="3"/>
  <c r="BC39" i="3"/>
  <c r="BD39" i="3"/>
  <c r="BE39" i="3"/>
  <c r="BC40" i="3"/>
  <c r="BD40" i="3"/>
  <c r="BE40" i="3"/>
  <c r="BC41" i="3"/>
  <c r="BD41" i="3"/>
  <c r="BE41" i="3"/>
  <c r="BC42" i="3"/>
  <c r="BD42" i="3"/>
  <c r="BE42" i="3"/>
  <c r="BC43" i="3"/>
  <c r="BD43" i="3"/>
  <c r="BE43" i="3"/>
  <c r="BC44" i="3"/>
  <c r="BD44" i="3"/>
  <c r="BE44" i="3"/>
  <c r="BC45" i="3"/>
  <c r="BD45" i="3"/>
  <c r="BE45" i="3"/>
  <c r="BD16" i="3"/>
  <c r="BC16" i="3"/>
  <c r="BB17" i="3" l="1"/>
  <c r="BB18" i="3"/>
  <c r="BB19" i="3"/>
  <c r="BB20" i="3"/>
  <c r="BB21" i="3"/>
  <c r="BB22" i="3"/>
  <c r="BB23" i="3"/>
  <c r="BB24" i="3"/>
  <c r="BB25" i="3"/>
  <c r="BB26" i="3"/>
  <c r="BB27" i="3"/>
  <c r="BB28" i="3"/>
  <c r="BB29" i="3"/>
  <c r="BB30" i="3"/>
  <c r="BB31" i="3"/>
  <c r="BB32" i="3"/>
  <c r="BB33" i="3"/>
  <c r="BB34" i="3"/>
  <c r="BB35" i="3"/>
  <c r="BB36" i="3"/>
  <c r="BB37" i="3"/>
  <c r="BB38" i="3"/>
  <c r="BB39" i="3"/>
  <c r="BB40" i="3"/>
  <c r="BB41" i="3"/>
  <c r="BB42" i="3"/>
  <c r="BB43" i="3"/>
  <c r="BB44" i="3"/>
  <c r="BB45" i="3"/>
  <c r="BB16" i="3"/>
  <c r="AY17" i="3"/>
  <c r="AZ17" i="3"/>
  <c r="BA17" i="3"/>
  <c r="AY18" i="3"/>
  <c r="AZ18" i="3"/>
  <c r="BA18" i="3"/>
  <c r="AY19" i="3"/>
  <c r="AZ19" i="3"/>
  <c r="BA19" i="3"/>
  <c r="AY20" i="3"/>
  <c r="AZ20" i="3"/>
  <c r="BA20" i="3"/>
  <c r="AY21" i="3"/>
  <c r="AZ21" i="3"/>
  <c r="BA21" i="3"/>
  <c r="AY22" i="3"/>
  <c r="AZ22" i="3"/>
  <c r="BA22" i="3"/>
  <c r="AY23" i="3"/>
  <c r="AZ23" i="3"/>
  <c r="BA23" i="3"/>
  <c r="AY24" i="3"/>
  <c r="AZ24" i="3"/>
  <c r="BA24" i="3"/>
  <c r="AY25" i="3"/>
  <c r="AZ25" i="3"/>
  <c r="BA25" i="3"/>
  <c r="AY26" i="3"/>
  <c r="AZ26" i="3"/>
  <c r="BA26" i="3"/>
  <c r="AY27" i="3"/>
  <c r="AZ27" i="3"/>
  <c r="BA27" i="3"/>
  <c r="AY28" i="3"/>
  <c r="AZ28" i="3"/>
  <c r="BA28" i="3"/>
  <c r="AY29" i="3"/>
  <c r="AZ29" i="3"/>
  <c r="BA29" i="3"/>
  <c r="AY30" i="3"/>
  <c r="AZ30" i="3"/>
  <c r="BA30" i="3"/>
  <c r="AY31" i="3"/>
  <c r="AZ31" i="3"/>
  <c r="BA31" i="3"/>
  <c r="AY32" i="3"/>
  <c r="AZ32" i="3"/>
  <c r="BA32" i="3"/>
  <c r="AY33" i="3"/>
  <c r="AZ33" i="3"/>
  <c r="BA33" i="3"/>
  <c r="AY34" i="3"/>
  <c r="AZ34" i="3"/>
  <c r="BA34" i="3"/>
  <c r="AY35" i="3"/>
  <c r="AZ35" i="3"/>
  <c r="BA35" i="3"/>
  <c r="AY36" i="3"/>
  <c r="AZ36" i="3"/>
  <c r="BA36" i="3"/>
  <c r="AY37" i="3"/>
  <c r="AZ37" i="3"/>
  <c r="BA37" i="3"/>
  <c r="AY38" i="3"/>
  <c r="AZ38" i="3"/>
  <c r="BA38" i="3"/>
  <c r="AY39" i="3"/>
  <c r="AZ39" i="3"/>
  <c r="BA39" i="3"/>
  <c r="AY40" i="3"/>
  <c r="AZ40" i="3"/>
  <c r="BA40" i="3"/>
  <c r="AY41" i="3"/>
  <c r="AZ41" i="3"/>
  <c r="BA41" i="3"/>
  <c r="AY42" i="3"/>
  <c r="AZ42" i="3"/>
  <c r="BA42" i="3"/>
  <c r="AY43" i="3"/>
  <c r="AZ43" i="3"/>
  <c r="BA43" i="3"/>
  <c r="AY44" i="3"/>
  <c r="AZ44" i="3"/>
  <c r="BA44" i="3"/>
  <c r="AY45" i="3"/>
  <c r="AZ45" i="3"/>
  <c r="BA45" i="3"/>
  <c r="AY16" i="3"/>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10" i="71"/>
  <c r="B11" i="71"/>
  <c r="B12" i="71"/>
  <c r="B13" i="71"/>
  <c r="B14" i="71"/>
  <c r="B15" i="71"/>
  <c r="B16" i="71"/>
  <c r="B17" i="71"/>
  <c r="B18" i="71"/>
  <c r="B19" i="71"/>
  <c r="B20" i="71"/>
  <c r="B21" i="71"/>
  <c r="B22" i="71"/>
  <c r="B23" i="71"/>
  <c r="B24" i="71"/>
  <c r="B25" i="71"/>
  <c r="B26" i="71"/>
  <c r="B27" i="71"/>
  <c r="B28" i="71"/>
  <c r="B29" i="71"/>
  <c r="B30" i="71"/>
  <c r="B31" i="71"/>
  <c r="B32" i="71"/>
  <c r="B33" i="71"/>
  <c r="B34" i="71"/>
  <c r="B35" i="71"/>
  <c r="B36" i="71"/>
  <c r="B37" i="71"/>
  <c r="B38" i="71"/>
  <c r="B39" i="71"/>
  <c r="B10" i="71"/>
  <c r="F11" i="73"/>
  <c r="F12" i="73"/>
  <c r="F13" i="73"/>
  <c r="F14" i="73"/>
  <c r="F15" i="73"/>
  <c r="F16" i="73"/>
  <c r="F17" i="73"/>
  <c r="F18" i="73"/>
  <c r="F19" i="73"/>
  <c r="F20" i="73"/>
  <c r="F21" i="73"/>
  <c r="F22" i="73"/>
  <c r="F23" i="73"/>
  <c r="F24" i="73"/>
  <c r="F25" i="73"/>
  <c r="F26" i="73"/>
  <c r="F27" i="73"/>
  <c r="F28" i="73"/>
  <c r="F29" i="73"/>
  <c r="F30" i="73"/>
  <c r="F31" i="73"/>
  <c r="F32" i="73"/>
  <c r="F33" i="73"/>
  <c r="F34" i="73"/>
  <c r="F35" i="73"/>
  <c r="F36" i="73"/>
  <c r="F37" i="73"/>
  <c r="F38" i="73"/>
  <c r="F39" i="73"/>
  <c r="D11" i="73"/>
  <c r="D12" i="73"/>
  <c r="D13" i="73"/>
  <c r="D14" i="73"/>
  <c r="D15" i="73"/>
  <c r="D16" i="73"/>
  <c r="D17" i="73"/>
  <c r="D18" i="73"/>
  <c r="D19" i="73"/>
  <c r="D20" i="73"/>
  <c r="D21" i="73"/>
  <c r="D22" i="73"/>
  <c r="D23" i="73"/>
  <c r="D24" i="73"/>
  <c r="D25" i="73"/>
  <c r="D26" i="73"/>
  <c r="D27" i="73"/>
  <c r="D28" i="73"/>
  <c r="D29" i="73"/>
  <c r="D30" i="73"/>
  <c r="D31" i="73"/>
  <c r="D32" i="73"/>
  <c r="D33" i="73"/>
  <c r="D34" i="73"/>
  <c r="D35" i="73"/>
  <c r="D36" i="73"/>
  <c r="D37" i="73"/>
  <c r="D38" i="73"/>
  <c r="D39" i="73"/>
  <c r="C11" i="73"/>
  <c r="C12" i="73"/>
  <c r="C13" i="73"/>
  <c r="C14" i="73"/>
  <c r="C15" i="73"/>
  <c r="C16" i="73"/>
  <c r="C17" i="73"/>
  <c r="C18" i="73"/>
  <c r="C19" i="73"/>
  <c r="C20" i="73"/>
  <c r="C21" i="73"/>
  <c r="C22" i="73"/>
  <c r="C23" i="73"/>
  <c r="C24" i="73"/>
  <c r="C25" i="73"/>
  <c r="C26" i="73"/>
  <c r="C27" i="73"/>
  <c r="C28" i="73"/>
  <c r="C29" i="73"/>
  <c r="C30" i="73"/>
  <c r="C31" i="73"/>
  <c r="C32" i="73"/>
  <c r="C33" i="73"/>
  <c r="C34" i="73"/>
  <c r="C35" i="73"/>
  <c r="C36" i="73"/>
  <c r="C37" i="73"/>
  <c r="C38" i="73"/>
  <c r="C39" i="73"/>
  <c r="F10" i="73"/>
  <c r="D10" i="73"/>
  <c r="C10" i="73"/>
  <c r="E15" i="68"/>
  <c r="E16" i="68"/>
  <c r="E17" i="68"/>
  <c r="E18" i="68"/>
  <c r="E19" i="68"/>
  <c r="E20" i="68"/>
  <c r="E21" i="68"/>
  <c r="E22" i="68"/>
  <c r="E23" i="68"/>
  <c r="E14" i="68"/>
  <c r="C15" i="68"/>
  <c r="C16" i="68"/>
  <c r="C17" i="68"/>
  <c r="C18" i="68"/>
  <c r="C19" i="68"/>
  <c r="C20" i="68"/>
  <c r="C21" i="68"/>
  <c r="C22" i="68"/>
  <c r="C23" i="68"/>
  <c r="C14" i="68"/>
  <c r="S5" i="31"/>
  <c r="S6" i="31"/>
  <c r="S7" i="31"/>
  <c r="S8" i="31"/>
  <c r="S9" i="31"/>
  <c r="S10" i="31"/>
  <c r="S11" i="31"/>
  <c r="S12" i="31"/>
  <c r="S13" i="31"/>
  <c r="S14" i="31"/>
  <c r="S15" i="31"/>
  <c r="S16" i="31"/>
  <c r="S17" i="31"/>
  <c r="S18" i="31"/>
  <c r="S19" i="31"/>
  <c r="S20" i="31"/>
  <c r="S21" i="31"/>
  <c r="S22" i="31"/>
  <c r="S23" i="31"/>
  <c r="S24" i="31"/>
  <c r="S25" i="31"/>
  <c r="S26" i="31"/>
  <c r="S27" i="31"/>
  <c r="S28" i="31"/>
  <c r="S29" i="31"/>
  <c r="S30" i="31"/>
  <c r="S31" i="31"/>
  <c r="S32" i="31"/>
  <c r="S33" i="31"/>
  <c r="S4" i="31"/>
  <c r="BA16" i="3" l="1"/>
  <c r="AZ16" i="3"/>
  <c r="A4" i="30" l="1"/>
  <c r="A4" i="68"/>
  <c r="A3" i="71"/>
  <c r="A3" i="73"/>
  <c r="A3" i="62"/>
  <c r="L12" i="3" l="1"/>
  <c r="AR9" i="3"/>
  <c r="A2" i="12"/>
  <c r="J16" i="3" l="1"/>
  <c r="AN17" i="3" l="1"/>
  <c r="AN18" i="3"/>
  <c r="AN19" i="3"/>
  <c r="AN20" i="3"/>
  <c r="AN21" i="3"/>
  <c r="AN22" i="3"/>
  <c r="AN23" i="3"/>
  <c r="AN24" i="3"/>
  <c r="AN25" i="3"/>
  <c r="AN26" i="3"/>
  <c r="AN27" i="3"/>
  <c r="AN28" i="3"/>
  <c r="AN29" i="3"/>
  <c r="X17" i="3"/>
  <c r="X18" i="3"/>
  <c r="X19" i="3"/>
  <c r="X20" i="3"/>
  <c r="X21" i="3"/>
  <c r="X22" i="3"/>
  <c r="X23" i="3"/>
  <c r="X24" i="3"/>
  <c r="AI12" i="31" s="1"/>
  <c r="X25" i="3"/>
  <c r="AI13" i="31" s="1"/>
  <c r="X26" i="3"/>
  <c r="AI14" i="31" s="1"/>
  <c r="X27" i="3"/>
  <c r="AI15" i="31" s="1"/>
  <c r="X28" i="3"/>
  <c r="AI16" i="31" s="1"/>
  <c r="X29" i="3"/>
  <c r="AI17" i="31" s="1"/>
  <c r="X30" i="3"/>
  <c r="AI18" i="31" s="1"/>
  <c r="X31" i="3"/>
  <c r="AI19" i="31" s="1"/>
  <c r="X32" i="3"/>
  <c r="AI20" i="31" s="1"/>
  <c r="X33" i="3"/>
  <c r="AI21" i="31" s="1"/>
  <c r="X34" i="3"/>
  <c r="AI22" i="31" s="1"/>
  <c r="X35" i="3"/>
  <c r="AI23" i="31" s="1"/>
  <c r="X36" i="3"/>
  <c r="AI24" i="31" s="1"/>
  <c r="B74" i="31" l="1"/>
  <c r="B66" i="31"/>
  <c r="M69" i="31"/>
  <c r="M68" i="31"/>
  <c r="M67" i="31"/>
  <c r="M66" i="31"/>
  <c r="I69" i="31"/>
  <c r="I68" i="31"/>
  <c r="I67" i="31"/>
  <c r="I66" i="31"/>
  <c r="AS24" i="48"/>
  <c r="I70" i="31" l="1"/>
  <c r="J17" i="3" l="1"/>
  <c r="H17" i="3" s="1"/>
  <c r="J20" i="3"/>
  <c r="H20" i="3" s="1"/>
  <c r="J21" i="3"/>
  <c r="H21" i="3" s="1"/>
  <c r="J22" i="3"/>
  <c r="H22" i="3" s="1"/>
  <c r="J23" i="3"/>
  <c r="H23" i="3" s="1"/>
  <c r="J24" i="3"/>
  <c r="H24" i="3" s="1"/>
  <c r="J25" i="3"/>
  <c r="J26" i="3"/>
  <c r="J27" i="3"/>
  <c r="J28" i="3"/>
  <c r="H28" i="3" s="1"/>
  <c r="J29" i="3"/>
  <c r="H29" i="3" s="1"/>
  <c r="J30" i="3"/>
  <c r="J31" i="3"/>
  <c r="H31" i="3" s="1"/>
  <c r="J32" i="3"/>
  <c r="H32" i="3" s="1"/>
  <c r="J33" i="3"/>
  <c r="J34" i="3"/>
  <c r="J35" i="3"/>
  <c r="J36" i="3"/>
  <c r="J37" i="3"/>
  <c r="J38" i="3"/>
  <c r="J39" i="3"/>
  <c r="J40" i="3"/>
  <c r="J41" i="3"/>
  <c r="J42" i="3"/>
  <c r="J43" i="3"/>
  <c r="J44" i="3"/>
  <c r="J45" i="3"/>
  <c r="L32" i="3"/>
  <c r="BG32" i="3" s="1"/>
  <c r="L31" i="3"/>
  <c r="BG31" i="3" s="1"/>
  <c r="L30" i="3"/>
  <c r="BG30" i="3" s="1"/>
  <c r="H30" i="3"/>
  <c r="L29" i="3"/>
  <c r="BG29" i="3" s="1"/>
  <c r="L28" i="3"/>
  <c r="BG28" i="3" s="1"/>
  <c r="L27" i="3"/>
  <c r="BG27" i="3" s="1"/>
  <c r="H27" i="3"/>
  <c r="L26" i="3"/>
  <c r="BG26" i="3" s="1"/>
  <c r="H26" i="3"/>
  <c r="L25" i="3"/>
  <c r="BG25" i="3" s="1"/>
  <c r="H25" i="3"/>
  <c r="L24" i="3"/>
  <c r="BG24" i="3" s="1"/>
  <c r="L23" i="3"/>
  <c r="L22" i="3"/>
  <c r="L21" i="3"/>
  <c r="L20" i="3"/>
  <c r="F14" i="90" s="1"/>
  <c r="H14" i="90" s="1"/>
  <c r="F12" i="90"/>
  <c r="H12" i="90" s="1"/>
  <c r="L17" i="3"/>
  <c r="F11" i="90" s="1"/>
  <c r="H11" i="90" s="1"/>
  <c r="L16" i="3"/>
  <c r="O37" i="31" s="1"/>
  <c r="H16" i="3"/>
  <c r="B67" i="31"/>
  <c r="B82" i="31" s="1"/>
  <c r="B68" i="31"/>
  <c r="B90" i="31" s="1"/>
  <c r="B69" i="31"/>
  <c r="B98" i="31" s="1"/>
  <c r="B43" i="31"/>
  <c r="Q43" i="31"/>
  <c r="L43" i="31"/>
  <c r="G43" i="31"/>
  <c r="BG23" i="3" l="1"/>
  <c r="F17" i="90"/>
  <c r="H17" i="90" s="1"/>
  <c r="D17" i="89"/>
  <c r="F17" i="89" s="1"/>
  <c r="BG22" i="3"/>
  <c r="F16" i="90"/>
  <c r="H16" i="90" s="1"/>
  <c r="D16" i="89"/>
  <c r="F16" i="89" s="1"/>
  <c r="BG21" i="3"/>
  <c r="F15" i="90"/>
  <c r="H15" i="90" s="1"/>
  <c r="D15" i="89"/>
  <c r="F15" i="89" s="1"/>
  <c r="D45" i="89"/>
  <c r="F45" i="89" s="1"/>
  <c r="F45" i="90"/>
  <c r="H45" i="90" s="1"/>
  <c r="D10" i="89"/>
  <c r="F10" i="89" s="1"/>
  <c r="F10" i="90"/>
  <c r="H10" i="90" s="1"/>
  <c r="BG20" i="3"/>
  <c r="D14" i="89"/>
  <c r="F14" i="89" s="1"/>
  <c r="BG19" i="3"/>
  <c r="D13" i="89"/>
  <c r="F13" i="89" s="1"/>
  <c r="BG17" i="3"/>
  <c r="D11" i="89"/>
  <c r="F11" i="89" s="1"/>
  <c r="BG18" i="3"/>
  <c r="D12" i="89"/>
  <c r="F12" i="89" s="1"/>
  <c r="BG16" i="3"/>
  <c r="L54" i="31"/>
  <c r="A21" i="87"/>
  <c r="A21" i="86"/>
  <c r="Q54" i="31"/>
  <c r="AC21" i="87"/>
  <c r="AC21" i="86"/>
  <c r="G54" i="31"/>
  <c r="AC3" i="87"/>
  <c r="AC3" i="86"/>
  <c r="B54" i="31"/>
  <c r="A3" i="87"/>
  <c r="A3" i="86"/>
  <c r="W16" i="3"/>
  <c r="AI4" i="31" s="1"/>
  <c r="W17" i="3"/>
  <c r="AI5" i="31" s="1"/>
  <c r="W18" i="3"/>
  <c r="AI6" i="31" s="1"/>
  <c r="W19" i="3"/>
  <c r="AI7" i="31" s="1"/>
  <c r="W20" i="3"/>
  <c r="AI8" i="31" s="1"/>
  <c r="W21" i="3"/>
  <c r="AI9" i="31" s="1"/>
  <c r="W22" i="3"/>
  <c r="AI10" i="31" s="1"/>
  <c r="W23" i="3"/>
  <c r="AI11" i="31" s="1"/>
  <c r="W24" i="3"/>
  <c r="W25" i="3"/>
  <c r="W26" i="3"/>
  <c r="W27" i="3"/>
  <c r="W28" i="3"/>
  <c r="W29" i="3"/>
  <c r="W30" i="3"/>
  <c r="W31" i="3"/>
  <c r="W32" i="3"/>
  <c r="H40" i="90" l="1"/>
  <c r="F40" i="89"/>
  <c r="D34" i="68"/>
  <c r="B9" i="10" l="1"/>
  <c r="A27" i="12"/>
  <c r="G6" i="90" l="1"/>
  <c r="E6" i="89"/>
  <c r="D9" i="10"/>
  <c r="E9" i="10"/>
  <c r="F9" i="10"/>
  <c r="G9" i="10"/>
  <c r="H9" i="10"/>
  <c r="I9" i="10"/>
  <c r="J9" i="10"/>
  <c r="L9" i="10"/>
  <c r="M9" i="10"/>
  <c r="C9" i="10" l="1"/>
  <c r="K9" i="10"/>
  <c r="B43" i="68" l="1"/>
  <c r="B44" i="68"/>
  <c r="Z42" i="83"/>
  <c r="Z42" i="51"/>
  <c r="Z41" i="83" l="1"/>
  <c r="Z40" i="83"/>
  <c r="Z39" i="83"/>
  <c r="Z38" i="83"/>
  <c r="Z37" i="83"/>
  <c r="Z36" i="83"/>
  <c r="G36" i="83"/>
  <c r="Z35" i="83"/>
  <c r="G35" i="83"/>
  <c r="Z34" i="83"/>
  <c r="G34" i="83"/>
  <c r="Z33" i="83"/>
  <c r="G33" i="83"/>
  <c r="G32" i="83"/>
  <c r="G31" i="83"/>
  <c r="G30" i="83"/>
  <c r="G29" i="83"/>
  <c r="G28" i="83"/>
  <c r="G27" i="83"/>
  <c r="G26" i="83"/>
  <c r="G25" i="83"/>
  <c r="G24" i="83"/>
  <c r="G23" i="83"/>
  <c r="G22" i="83"/>
  <c r="G21" i="83"/>
  <c r="G20" i="83"/>
  <c r="G19" i="83"/>
  <c r="G18" i="83"/>
  <c r="G17" i="83"/>
  <c r="G16" i="83"/>
  <c r="G15" i="83"/>
  <c r="G14" i="83"/>
  <c r="G13" i="83"/>
  <c r="G12" i="83"/>
  <c r="G11" i="83"/>
  <c r="G10" i="83"/>
  <c r="G9" i="83"/>
  <c r="G8" i="83"/>
  <c r="G7" i="83"/>
  <c r="G37" i="82"/>
  <c r="G36" i="82"/>
  <c r="G35" i="82"/>
  <c r="G34" i="82"/>
  <c r="G33" i="82"/>
  <c r="G32" i="82"/>
  <c r="G31" i="82"/>
  <c r="G30" i="82"/>
  <c r="G29" i="82"/>
  <c r="G28" i="82"/>
  <c r="G27" i="82"/>
  <c r="G26" i="82"/>
  <c r="G25" i="82"/>
  <c r="G24" i="82"/>
  <c r="G23" i="82"/>
  <c r="G22" i="82"/>
  <c r="G21" i="82"/>
  <c r="G20" i="82"/>
  <c r="G19" i="82"/>
  <c r="G18" i="82"/>
  <c r="G17" i="82"/>
  <c r="G16" i="82"/>
  <c r="AQ22" i="82"/>
  <c r="G15" i="82"/>
  <c r="G14" i="82"/>
  <c r="G13" i="82"/>
  <c r="G12" i="82"/>
  <c r="G11" i="82"/>
  <c r="G10" i="82"/>
  <c r="G9" i="82"/>
  <c r="G8" i="82"/>
  <c r="R37" i="81"/>
  <c r="G37" i="81"/>
  <c r="R36" i="81"/>
  <c r="G36" i="81"/>
  <c r="R35" i="81"/>
  <c r="G35" i="81"/>
  <c r="R34" i="81"/>
  <c r="G34" i="81"/>
  <c r="R33" i="81"/>
  <c r="G33" i="81"/>
  <c r="R32" i="81"/>
  <c r="G32" i="81"/>
  <c r="R31" i="81"/>
  <c r="G31" i="81"/>
  <c r="R30" i="81"/>
  <c r="G30" i="81"/>
  <c r="R29" i="81"/>
  <c r="G29" i="81"/>
  <c r="R28" i="81"/>
  <c r="G28" i="81"/>
  <c r="R27" i="81"/>
  <c r="G27" i="81"/>
  <c r="R26" i="81"/>
  <c r="G26" i="81"/>
  <c r="R25" i="81"/>
  <c r="G25" i="81"/>
  <c r="R24" i="81"/>
  <c r="G24" i="81"/>
  <c r="R23" i="81"/>
  <c r="G23" i="81"/>
  <c r="R22" i="81"/>
  <c r="G22" i="81"/>
  <c r="R21" i="81"/>
  <c r="G21" i="81"/>
  <c r="R20" i="81"/>
  <c r="G20" i="81"/>
  <c r="R19" i="81"/>
  <c r="G19" i="81"/>
  <c r="R18" i="81"/>
  <c r="G18" i="81"/>
  <c r="AG25" i="81"/>
  <c r="R17" i="81"/>
  <c r="G17" i="81"/>
  <c r="AQ23" i="81"/>
  <c r="R16" i="81"/>
  <c r="G16" i="81"/>
  <c r="AQ22" i="81"/>
  <c r="R15" i="81"/>
  <c r="G15" i="81"/>
  <c r="R14" i="81"/>
  <c r="G14" i="81"/>
  <c r="R13" i="81"/>
  <c r="G13" i="81"/>
  <c r="R12" i="81"/>
  <c r="G12" i="81"/>
  <c r="R11" i="81"/>
  <c r="G11" i="81"/>
  <c r="R10" i="81"/>
  <c r="G10" i="81"/>
  <c r="R9" i="81"/>
  <c r="G9" i="81"/>
  <c r="R8" i="81"/>
  <c r="G8" i="81"/>
  <c r="AB16" i="3" l="1"/>
  <c r="P8" i="82"/>
  <c r="P8" i="81"/>
  <c r="E6" i="30"/>
  <c r="E4" i="71"/>
  <c r="E6" i="68"/>
  <c r="F4" i="73"/>
  <c r="E3" i="62"/>
  <c r="A28" i="12"/>
  <c r="A26" i="12"/>
  <c r="E5" i="71" s="1"/>
  <c r="A25" i="12"/>
  <c r="AK4" i="31" l="1"/>
  <c r="AC16" i="3"/>
  <c r="AJ4" i="31"/>
  <c r="F6" i="73"/>
  <c r="E6" i="71"/>
  <c r="E5" i="62"/>
  <c r="E8" i="68"/>
  <c r="E8" i="30"/>
  <c r="F5" i="73"/>
  <c r="E7" i="68"/>
  <c r="E4" i="62"/>
  <c r="E7" i="30"/>
  <c r="AJ20" i="3" l="1"/>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61" i="73" l="1"/>
  <c r="A59" i="73"/>
  <c r="D47" i="71" l="1"/>
  <c r="F47" i="71" s="1"/>
  <c r="E49" i="73"/>
  <c r="G49" i="73" s="1"/>
  <c r="E50" i="73"/>
  <c r="G50" i="73" s="1"/>
  <c r="F54" i="73"/>
  <c r="D50" i="71"/>
  <c r="D48" i="71" l="1"/>
  <c r="F48" i="71" s="1"/>
  <c r="D29" i="68"/>
  <c r="F29" i="68" s="1"/>
  <c r="D30" i="68"/>
  <c r="F30" i="68" s="1"/>
  <c r="D49" i="71"/>
  <c r="F49" i="71" s="1"/>
  <c r="D28" i="68"/>
  <c r="F28" i="68" s="1"/>
  <c r="E48" i="73"/>
  <c r="G48" i="73" s="1"/>
  <c r="R9" i="82"/>
  <c r="R10" i="82"/>
  <c r="R11" i="82"/>
  <c r="R12" i="82"/>
  <c r="R13" i="82"/>
  <c r="R14" i="82"/>
  <c r="R15" i="82"/>
  <c r="R16" i="82"/>
  <c r="R17" i="82"/>
  <c r="R18" i="82"/>
  <c r="R19" i="82"/>
  <c r="R20" i="82"/>
  <c r="R21" i="82"/>
  <c r="R22" i="82"/>
  <c r="R23" i="82"/>
  <c r="R24" i="82"/>
  <c r="R25" i="82"/>
  <c r="R26" i="82"/>
  <c r="R27" i="82"/>
  <c r="R28" i="82"/>
  <c r="R29" i="82"/>
  <c r="R30" i="82"/>
  <c r="R31" i="82"/>
  <c r="R32" i="82"/>
  <c r="R33" i="82"/>
  <c r="R34" i="82"/>
  <c r="R35" i="82"/>
  <c r="R36" i="82"/>
  <c r="R37" i="82"/>
  <c r="R8" i="82"/>
  <c r="Z33" i="51" l="1"/>
  <c r="Z34" i="51"/>
  <c r="Z35" i="51"/>
  <c r="Z36" i="51"/>
  <c r="Z37" i="51"/>
  <c r="Z38" i="51"/>
  <c r="Z39" i="51"/>
  <c r="Z40" i="51"/>
  <c r="Z41" i="51"/>
  <c r="C6" i="48" l="1"/>
  <c r="C5" i="83"/>
  <c r="C6" i="82"/>
  <c r="C6" i="81"/>
  <c r="C6" i="49"/>
  <c r="C5" i="51"/>
  <c r="C7" i="51" s="1"/>
  <c r="C35" i="81" l="1"/>
  <c r="C20" i="81"/>
  <c r="C15" i="81"/>
  <c r="C8" i="81"/>
  <c r="C13" i="81"/>
  <c r="C14" i="81"/>
  <c r="C16" i="81"/>
  <c r="C10" i="81"/>
  <c r="C9" i="81"/>
  <c r="C19" i="81"/>
  <c r="C25" i="81"/>
  <c r="C30" i="81"/>
  <c r="C24" i="81"/>
  <c r="C29" i="81"/>
  <c r="C34" i="81"/>
  <c r="C23" i="81"/>
  <c r="C33" i="81"/>
  <c r="C37" i="81"/>
  <c r="C12" i="81"/>
  <c r="C17" i="81"/>
  <c r="C18" i="81"/>
  <c r="C22" i="81"/>
  <c r="C28" i="81"/>
  <c r="C32" i="81"/>
  <c r="C36" i="81"/>
  <c r="C11" i="81"/>
  <c r="C21" i="81"/>
  <c r="C26" i="81"/>
  <c r="C27" i="81"/>
  <c r="C31" i="81"/>
  <c r="C35" i="82"/>
  <c r="C19" i="82"/>
  <c r="C23" i="82"/>
  <c r="C29" i="82"/>
  <c r="C33" i="82"/>
  <c r="C37" i="82"/>
  <c r="C11" i="82"/>
  <c r="C8" i="82"/>
  <c r="C9" i="82"/>
  <c r="C13" i="82"/>
  <c r="C14" i="82"/>
  <c r="C16" i="82"/>
  <c r="C17" i="82"/>
  <c r="C18" i="82"/>
  <c r="C22" i="82"/>
  <c r="C28" i="82"/>
  <c r="C32" i="82"/>
  <c r="C36" i="82"/>
  <c r="C20" i="82"/>
  <c r="C24" i="82"/>
  <c r="C25" i="82"/>
  <c r="C30" i="82"/>
  <c r="C34" i="82"/>
  <c r="C10" i="82"/>
  <c r="C15" i="82"/>
  <c r="C12" i="82"/>
  <c r="C21" i="82"/>
  <c r="C26" i="82"/>
  <c r="C27" i="82"/>
  <c r="C31" i="82"/>
  <c r="C35" i="83"/>
  <c r="C11" i="83"/>
  <c r="C16" i="83"/>
  <c r="C21" i="83"/>
  <c r="C29" i="83"/>
  <c r="C7" i="83"/>
  <c r="C8" i="83"/>
  <c r="C26" i="83"/>
  <c r="C36" i="83"/>
  <c r="C9" i="83"/>
  <c r="C13" i="83"/>
  <c r="C14" i="83"/>
  <c r="C18" i="83"/>
  <c r="C23" i="83"/>
  <c r="C27" i="83"/>
  <c r="C32" i="83"/>
  <c r="C25" i="83"/>
  <c r="C30" i="83"/>
  <c r="C12" i="83"/>
  <c r="C17" i="83"/>
  <c r="C22" i="83"/>
  <c r="C31" i="83"/>
  <c r="C34" i="83"/>
  <c r="C10" i="83"/>
  <c r="C15" i="83"/>
  <c r="C19" i="83"/>
  <c r="C20" i="83"/>
  <c r="C24" i="83"/>
  <c r="C28" i="83"/>
  <c r="C33" i="83"/>
  <c r="P11" i="82" l="1"/>
  <c r="P11" i="81"/>
  <c r="U7" i="31"/>
  <c r="T7" i="31"/>
  <c r="V7" i="31" s="1"/>
  <c r="U4" i="31"/>
  <c r="L33" i="3"/>
  <c r="L34" i="3"/>
  <c r="BG34" i="3" s="1"/>
  <c r="L35" i="3"/>
  <c r="BG35" i="3" s="1"/>
  <c r="L36" i="3"/>
  <c r="BG36" i="3" s="1"/>
  <c r="L37" i="3"/>
  <c r="BG37" i="3" s="1"/>
  <c r="L38" i="3"/>
  <c r="BG38" i="3" s="1"/>
  <c r="L39" i="3"/>
  <c r="BG39" i="3" s="1"/>
  <c r="L40" i="3"/>
  <c r="BG40" i="3" s="1"/>
  <c r="L41" i="3"/>
  <c r="BG41" i="3" s="1"/>
  <c r="L42" i="3"/>
  <c r="BG42" i="3" s="1"/>
  <c r="L43" i="3"/>
  <c r="BG43" i="3" s="1"/>
  <c r="L44" i="3"/>
  <c r="BG44" i="3" s="1"/>
  <c r="L45" i="3"/>
  <c r="BG45" i="3" s="1"/>
  <c r="BG33" i="3" l="1"/>
  <c r="O36" i="31"/>
  <c r="P37" i="82"/>
  <c r="P37" i="81"/>
  <c r="P36" i="82"/>
  <c r="P36" i="81"/>
  <c r="P35" i="82"/>
  <c r="P35" i="81"/>
  <c r="P34" i="82"/>
  <c r="P34" i="81"/>
  <c r="P33" i="82"/>
  <c r="P33" i="81"/>
  <c r="P32" i="82"/>
  <c r="P32" i="81"/>
  <c r="P31" i="82"/>
  <c r="P31" i="81"/>
  <c r="P30" i="82"/>
  <c r="P30" i="81"/>
  <c r="P29" i="82"/>
  <c r="P29" i="81"/>
  <c r="P28" i="82"/>
  <c r="P28" i="81"/>
  <c r="P27" i="82"/>
  <c r="P27" i="81"/>
  <c r="P26" i="82"/>
  <c r="P26" i="81"/>
  <c r="P25" i="82"/>
  <c r="P25" i="81"/>
  <c r="P24" i="82"/>
  <c r="P24" i="81"/>
  <c r="P23" i="82"/>
  <c r="P23" i="81"/>
  <c r="P22" i="82"/>
  <c r="P22" i="81"/>
  <c r="P21" i="82"/>
  <c r="P21" i="81"/>
  <c r="P20" i="82"/>
  <c r="P20" i="81"/>
  <c r="P19" i="82"/>
  <c r="P19" i="81"/>
  <c r="P18" i="82"/>
  <c r="P18" i="81"/>
  <c r="P17" i="82"/>
  <c r="P17" i="81"/>
  <c r="P16" i="82"/>
  <c r="P16" i="81"/>
  <c r="P15" i="82"/>
  <c r="P15" i="81"/>
  <c r="P14" i="82"/>
  <c r="P14" i="81"/>
  <c r="P13" i="82"/>
  <c r="P13" i="81"/>
  <c r="P12" i="82"/>
  <c r="P12" i="81"/>
  <c r="P10" i="82"/>
  <c r="P10" i="81"/>
  <c r="P9" i="82"/>
  <c r="P9" i="81"/>
  <c r="U18" i="31"/>
  <c r="T18" i="31"/>
  <c r="U33" i="31"/>
  <c r="T33" i="31"/>
  <c r="U25" i="31"/>
  <c r="T25" i="31"/>
  <c r="U24" i="31"/>
  <c r="T24" i="31"/>
  <c r="U23" i="31"/>
  <c r="T23" i="31"/>
  <c r="U22" i="31"/>
  <c r="T22" i="31"/>
  <c r="U29" i="31"/>
  <c r="T29" i="31"/>
  <c r="U28" i="31"/>
  <c r="T28" i="31"/>
  <c r="U20" i="31"/>
  <c r="T20" i="31"/>
  <c r="U26" i="31"/>
  <c r="T26" i="31"/>
  <c r="U17" i="31"/>
  <c r="T17" i="31"/>
  <c r="U32" i="31"/>
  <c r="T32" i="31"/>
  <c r="U16" i="31"/>
  <c r="T16" i="31"/>
  <c r="U31" i="31"/>
  <c r="T31" i="31"/>
  <c r="U15" i="31"/>
  <c r="T15" i="31"/>
  <c r="U30" i="31"/>
  <c r="T30" i="31"/>
  <c r="U21" i="31"/>
  <c r="T21" i="31"/>
  <c r="U27" i="31"/>
  <c r="T27" i="31"/>
  <c r="U19" i="31"/>
  <c r="T19" i="31"/>
  <c r="U8" i="31"/>
  <c r="T8" i="31"/>
  <c r="U11" i="31"/>
  <c r="T11" i="31"/>
  <c r="U10" i="31"/>
  <c r="T10" i="31"/>
  <c r="U9" i="31"/>
  <c r="T9" i="31"/>
  <c r="U6" i="31"/>
  <c r="T6" i="31"/>
  <c r="U14" i="31"/>
  <c r="T14" i="31"/>
  <c r="U5" i="31"/>
  <c r="T5" i="31"/>
  <c r="U13" i="31"/>
  <c r="AJ19" i="3" s="1"/>
  <c r="T13" i="31"/>
  <c r="U12" i="31"/>
  <c r="T12" i="31"/>
  <c r="T4" i="31"/>
  <c r="AI23" i="3"/>
  <c r="AI24" i="3"/>
  <c r="AI26" i="3"/>
  <c r="AI28" i="3"/>
  <c r="AI30" i="3"/>
  <c r="AI32" i="3"/>
  <c r="AI33" i="3"/>
  <c r="AI35" i="3"/>
  <c r="AI36" i="3"/>
  <c r="AI40" i="3"/>
  <c r="AI42" i="3"/>
  <c r="AI44" i="3"/>
  <c r="D44" i="89" l="1"/>
  <c r="F44" i="89" s="1"/>
  <c r="F44" i="90"/>
  <c r="V14" i="31"/>
  <c r="V18" i="31"/>
  <c r="AJ17" i="3"/>
  <c r="P39" i="81"/>
  <c r="AJ16" i="3"/>
  <c r="AJ18" i="3"/>
  <c r="P39" i="82"/>
  <c r="V11" i="31"/>
  <c r="V21" i="31"/>
  <c r="V16" i="31"/>
  <c r="V20" i="31"/>
  <c r="V23" i="31"/>
  <c r="V12" i="31"/>
  <c r="V5" i="31"/>
  <c r="V6" i="31"/>
  <c r="V30" i="31"/>
  <c r="V32" i="31"/>
  <c r="V28" i="31"/>
  <c r="V24" i="31"/>
  <c r="AI25" i="3"/>
  <c r="V13" i="31"/>
  <c r="AI22" i="3"/>
  <c r="V10" i="31"/>
  <c r="AI31" i="3"/>
  <c r="V19" i="31"/>
  <c r="AI39" i="3"/>
  <c r="V27" i="31"/>
  <c r="AI27" i="3"/>
  <c r="V15" i="31"/>
  <c r="AI43" i="3"/>
  <c r="V31" i="31"/>
  <c r="AI29" i="3"/>
  <c r="V17" i="31"/>
  <c r="AI38" i="3"/>
  <c r="V26" i="31"/>
  <c r="AI41" i="3"/>
  <c r="V29" i="31"/>
  <c r="AI34" i="3"/>
  <c r="V22" i="31"/>
  <c r="AI37" i="3"/>
  <c r="V25" i="31"/>
  <c r="AI45" i="3"/>
  <c r="V33" i="31"/>
  <c r="AI16" i="3"/>
  <c r="V4" i="31"/>
  <c r="AI21" i="3"/>
  <c r="V9" i="31"/>
  <c r="AI20" i="3"/>
  <c r="V8" i="31"/>
  <c r="E47" i="73"/>
  <c r="E52" i="73" s="1"/>
  <c r="D46" i="71"/>
  <c r="D27" i="68"/>
  <c r="F27" i="68" s="1"/>
  <c r="U2" i="31"/>
  <c r="AI19" i="3"/>
  <c r="AL19" i="3" s="1"/>
  <c r="AK19" i="3" s="1"/>
  <c r="AI18" i="3"/>
  <c r="AI17" i="3"/>
  <c r="AO19" i="3" l="1"/>
  <c r="AR19" i="3" s="1"/>
  <c r="AL17" i="3"/>
  <c r="AK17" i="3" s="1"/>
  <c r="AL18" i="3"/>
  <c r="AK18" i="3" s="1"/>
  <c r="AL16" i="3"/>
  <c r="AK16" i="3" s="1"/>
  <c r="H44" i="90"/>
  <c r="F49" i="90"/>
  <c r="H49" i="90" s="1"/>
  <c r="AP18" i="3"/>
  <c r="L9" i="82"/>
  <c r="L9" i="81"/>
  <c r="U8" i="81"/>
  <c r="L8" i="82"/>
  <c r="L8" i="81"/>
  <c r="L10" i="82"/>
  <c r="L10" i="81"/>
  <c r="AP17" i="3"/>
  <c r="AP19" i="3"/>
  <c r="T2" i="31"/>
  <c r="M13" i="80"/>
  <c r="AQ15" i="49"/>
  <c r="D20" i="31"/>
  <c r="D22" i="31" s="1"/>
  <c r="E54" i="73"/>
  <c r="G54" i="73" s="1"/>
  <c r="E34" i="68"/>
  <c r="A34" i="68"/>
  <c r="A54" i="73"/>
  <c r="E32" i="62"/>
  <c r="AO17" i="3" l="1"/>
  <c r="AR17" i="3" s="1"/>
  <c r="AO18" i="3"/>
  <c r="AR18" i="3" s="1"/>
  <c r="AO16" i="3"/>
  <c r="AR16" i="3" s="1"/>
  <c r="F34" i="68"/>
  <c r="AP16" i="3"/>
  <c r="AS24" i="49"/>
  <c r="AO26" i="49"/>
  <c r="AO26" i="48"/>
  <c r="D52" i="71" l="1"/>
  <c r="F52" i="71" s="1"/>
  <c r="F50" i="71"/>
  <c r="D33" i="68"/>
  <c r="F33" i="68" s="1"/>
  <c r="D31" i="68"/>
  <c r="F31" i="68" s="1"/>
  <c r="E53" i="73"/>
  <c r="G53" i="73" s="1"/>
  <c r="E51" i="73"/>
  <c r="G51" i="73" s="1"/>
  <c r="B15" i="68" l="1"/>
  <c r="B16" i="68"/>
  <c r="B17" i="68"/>
  <c r="B18" i="68"/>
  <c r="B19" i="68"/>
  <c r="B20" i="68"/>
  <c r="B21" i="68"/>
  <c r="B22" i="68"/>
  <c r="B23" i="68"/>
  <c r="B14" i="68"/>
  <c r="AH39" i="3" l="1"/>
  <c r="AH17" i="3"/>
  <c r="AH18" i="3"/>
  <c r="AH19" i="3"/>
  <c r="AH20" i="3"/>
  <c r="AH21" i="3"/>
  <c r="AH22" i="3"/>
  <c r="AH23" i="3"/>
  <c r="AH24" i="3"/>
  <c r="AH25" i="3"/>
  <c r="AH26" i="3"/>
  <c r="AH27" i="3"/>
  <c r="AH28" i="3"/>
  <c r="AH29" i="3"/>
  <c r="AH30" i="3"/>
  <c r="AH31" i="3"/>
  <c r="AH32" i="3"/>
  <c r="AH33" i="3"/>
  <c r="AH34" i="3"/>
  <c r="AH35" i="3"/>
  <c r="AH36" i="3"/>
  <c r="AH37" i="3"/>
  <c r="AH38" i="3"/>
  <c r="AH40" i="3"/>
  <c r="AH41" i="3"/>
  <c r="AH42" i="3"/>
  <c r="AH43" i="3"/>
  <c r="AH44" i="3"/>
  <c r="AH45" i="3"/>
  <c r="AH16" i="3"/>
  <c r="L14" i="3"/>
  <c r="F43" i="90" s="1"/>
  <c r="H43" i="90" s="1"/>
  <c r="H52" i="90" s="1"/>
  <c r="H54" i="90" s="1"/>
  <c r="D47" i="89" l="1"/>
  <c r="F47" i="89" s="1"/>
  <c r="D43" i="89"/>
  <c r="F43" i="89" s="1"/>
  <c r="D51" i="71"/>
  <c r="D45" i="71"/>
  <c r="AP26" i="3"/>
  <c r="E46" i="73"/>
  <c r="D26" i="68"/>
  <c r="O9" i="10"/>
  <c r="P9" i="10"/>
  <c r="Q9" i="10"/>
  <c r="R9" i="10"/>
  <c r="H33" i="3"/>
  <c r="S9" i="10" s="1"/>
  <c r="H34" i="3"/>
  <c r="T9" i="10" s="1"/>
  <c r="H35" i="3"/>
  <c r="U9" i="10" s="1"/>
  <c r="H36" i="3"/>
  <c r="V9" i="10" s="1"/>
  <c r="H37" i="3"/>
  <c r="W9" i="10" s="1"/>
  <c r="H38" i="3"/>
  <c r="X9" i="10" s="1"/>
  <c r="H39" i="3"/>
  <c r="Y9" i="10" s="1"/>
  <c r="H40" i="3"/>
  <c r="Z9" i="10" s="1"/>
  <c r="H41" i="3"/>
  <c r="AA9" i="10" s="1"/>
  <c r="H42" i="3"/>
  <c r="AB9" i="10" s="1"/>
  <c r="H43" i="3"/>
  <c r="AC9" i="10" s="1"/>
  <c r="H44" i="3"/>
  <c r="AD9" i="10" s="1"/>
  <c r="H45" i="3"/>
  <c r="F50" i="89" l="1"/>
  <c r="F52" i="89" s="1"/>
  <c r="AE9" i="10"/>
  <c r="E67" i="31"/>
  <c r="G67" i="31" s="1"/>
  <c r="N9" i="10"/>
  <c r="F67" i="31"/>
  <c r="F68" i="31"/>
  <c r="E66" i="31"/>
  <c r="G66" i="31" s="1"/>
  <c r="F66" i="31"/>
  <c r="E68" i="31"/>
  <c r="G68" i="31" s="1"/>
  <c r="E69" i="31"/>
  <c r="G69" i="31" s="1"/>
  <c r="F69" i="31"/>
  <c r="L37" i="82"/>
  <c r="L37" i="81"/>
  <c r="L36" i="82"/>
  <c r="L36" i="81"/>
  <c r="L35" i="82"/>
  <c r="L35" i="81"/>
  <c r="L34" i="82"/>
  <c r="L34" i="81"/>
  <c r="L33" i="82"/>
  <c r="L33" i="81"/>
  <c r="L32" i="82"/>
  <c r="L32" i="81"/>
  <c r="L31" i="82"/>
  <c r="L31" i="81"/>
  <c r="L30" i="82"/>
  <c r="L30" i="81"/>
  <c r="L29" i="82"/>
  <c r="L29" i="81"/>
  <c r="L28" i="82"/>
  <c r="L28" i="81"/>
  <c r="L27" i="82"/>
  <c r="L27" i="81"/>
  <c r="L26" i="82"/>
  <c r="L26" i="81"/>
  <c r="L25" i="82"/>
  <c r="L25" i="81"/>
  <c r="L24" i="82"/>
  <c r="L24" i="81"/>
  <c r="L23" i="82"/>
  <c r="L23" i="81"/>
  <c r="L22" i="82"/>
  <c r="L22" i="81"/>
  <c r="L21" i="82"/>
  <c r="L21" i="81"/>
  <c r="L20" i="82"/>
  <c r="L20" i="81"/>
  <c r="L19" i="82"/>
  <c r="L19" i="81"/>
  <c r="L18" i="82"/>
  <c r="L18" i="81"/>
  <c r="L17" i="82"/>
  <c r="L17" i="81"/>
  <c r="L16" i="82"/>
  <c r="L16" i="81"/>
  <c r="L15" i="82"/>
  <c r="L15" i="81"/>
  <c r="L14" i="82"/>
  <c r="L14" i="81"/>
  <c r="L13" i="82"/>
  <c r="L13" i="81"/>
  <c r="L12" i="82"/>
  <c r="L12" i="81"/>
  <c r="L11" i="82"/>
  <c r="L11" i="81"/>
  <c r="AE12" i="10"/>
  <c r="AE8" i="10"/>
  <c r="AE10" i="10"/>
  <c r="AE6" i="10"/>
  <c r="AE5" i="10"/>
  <c r="AD12" i="10"/>
  <c r="AD8" i="10"/>
  <c r="AD10" i="10"/>
  <c r="AD6" i="10"/>
  <c r="AD5" i="10"/>
  <c r="AC12" i="10"/>
  <c r="AC8" i="10"/>
  <c r="AC10" i="10"/>
  <c r="AC6" i="10"/>
  <c r="AC5" i="10"/>
  <c r="AB12" i="10"/>
  <c r="AA12" i="10"/>
  <c r="AB8" i="10"/>
  <c r="AB10" i="10"/>
  <c r="AB6" i="10"/>
  <c r="AB5" i="10"/>
  <c r="AA8" i="10"/>
  <c r="AA10" i="10"/>
  <c r="AA6" i="10"/>
  <c r="AA5" i="10"/>
  <c r="AC17" i="10" l="1"/>
  <c r="AC18" i="10"/>
  <c r="AC22" i="10"/>
  <c r="AC15" i="10"/>
  <c r="AC19" i="10"/>
  <c r="AC23" i="10"/>
  <c r="AC16" i="10"/>
  <c r="AC20" i="10"/>
  <c r="AC32" i="10"/>
  <c r="AC25" i="10"/>
  <c r="AC30" i="10"/>
  <c r="AC35" i="10"/>
  <c r="AC24" i="10"/>
  <c r="AC26" i="10"/>
  <c r="AC33" i="10"/>
  <c r="AC36" i="10"/>
  <c r="AC29" i="10"/>
  <c r="AC37" i="10"/>
  <c r="AC40" i="10"/>
  <c r="AC41" i="10"/>
  <c r="AC27" i="10"/>
  <c r="AB18" i="10"/>
  <c r="AB22" i="10"/>
  <c r="AB15" i="10"/>
  <c r="AB19" i="10"/>
  <c r="AB23" i="10"/>
  <c r="AB16" i="10"/>
  <c r="AB20" i="10"/>
  <c r="AB24" i="10"/>
  <c r="AB17" i="10"/>
  <c r="AB29" i="10"/>
  <c r="AB33" i="10"/>
  <c r="AB26" i="10"/>
  <c r="AB36" i="10"/>
  <c r="AB37" i="10"/>
  <c r="AB27" i="10"/>
  <c r="AB35" i="10"/>
  <c r="AB41" i="10"/>
  <c r="AB25" i="10"/>
  <c r="AB32" i="10"/>
  <c r="AB30" i="10"/>
  <c r="AB40" i="10"/>
  <c r="AD16" i="10"/>
  <c r="AD20" i="10"/>
  <c r="AD24" i="10"/>
  <c r="AD17" i="10"/>
  <c r="AD25" i="10"/>
  <c r="AD18" i="10"/>
  <c r="AD22" i="10"/>
  <c r="AD23" i="10"/>
  <c r="AD15" i="10"/>
  <c r="AD27" i="10"/>
  <c r="AD19" i="10"/>
  <c r="AD32" i="10"/>
  <c r="AD30" i="10"/>
  <c r="AD35" i="10"/>
  <c r="AD26" i="10"/>
  <c r="AD33" i="10"/>
  <c r="AD36" i="10"/>
  <c r="AD40" i="10"/>
  <c r="AD29" i="10"/>
  <c r="AD41" i="10"/>
  <c r="AD37" i="10"/>
  <c r="AA15" i="10"/>
  <c r="AA19" i="10"/>
  <c r="AA23" i="10"/>
  <c r="AA16" i="10"/>
  <c r="AA20" i="10"/>
  <c r="AA24" i="10"/>
  <c r="AA17" i="10"/>
  <c r="AA22" i="10"/>
  <c r="AA26" i="10"/>
  <c r="AA30" i="10"/>
  <c r="AA33" i="10"/>
  <c r="AA37" i="10"/>
  <c r="AA27" i="10"/>
  <c r="AA29" i="10"/>
  <c r="AA18" i="10"/>
  <c r="AA25" i="10"/>
  <c r="AA32" i="10"/>
  <c r="AA35" i="10"/>
  <c r="AA40" i="10"/>
  <c r="AA36" i="10"/>
  <c r="AA41" i="10"/>
  <c r="AE15" i="10"/>
  <c r="AE19" i="10"/>
  <c r="AE23" i="10"/>
  <c r="AE16" i="10"/>
  <c r="AE20" i="10"/>
  <c r="AE24" i="10"/>
  <c r="AE17" i="10"/>
  <c r="AE18" i="10"/>
  <c r="AE22" i="10"/>
  <c r="AE25" i="10"/>
  <c r="AE26" i="10"/>
  <c r="AE30" i="10"/>
  <c r="AE27" i="10"/>
  <c r="AE29" i="10"/>
  <c r="AE37" i="10"/>
  <c r="AE32" i="10"/>
  <c r="AE35" i="10"/>
  <c r="AE33" i="10"/>
  <c r="AE36" i="10"/>
  <c r="AE40" i="10"/>
  <c r="AE41" i="10"/>
  <c r="G70" i="31"/>
  <c r="L67" i="31"/>
  <c r="N67" i="31" s="1"/>
  <c r="H67" i="31"/>
  <c r="J67" i="31" s="1"/>
  <c r="L66" i="31"/>
  <c r="N66" i="31" s="1"/>
  <c r="O66" i="31" s="1"/>
  <c r="D79" i="31" s="1"/>
  <c r="H66" i="31"/>
  <c r="L69" i="31"/>
  <c r="N69" i="31" s="1"/>
  <c r="O69" i="31" s="1"/>
  <c r="D103" i="31" s="1"/>
  <c r="H69" i="31"/>
  <c r="J69" i="31" s="1"/>
  <c r="L68" i="31"/>
  <c r="N68" i="31" s="1"/>
  <c r="O68" i="31" s="1"/>
  <c r="D95" i="31" s="1"/>
  <c r="H68" i="31"/>
  <c r="J68" i="31" s="1"/>
  <c r="AH14" i="3"/>
  <c r="X4" i="31" s="1"/>
  <c r="A35" i="73"/>
  <c r="B35" i="73"/>
  <c r="E35" i="73"/>
  <c r="G35" i="73" s="1"/>
  <c r="A36" i="73"/>
  <c r="B36" i="73"/>
  <c r="E36" i="73"/>
  <c r="G36" i="73" s="1"/>
  <c r="A37" i="73"/>
  <c r="B37" i="73"/>
  <c r="E37" i="73"/>
  <c r="G37" i="73" s="1"/>
  <c r="A38" i="73"/>
  <c r="B38" i="73"/>
  <c r="E38" i="73"/>
  <c r="G38" i="73" s="1"/>
  <c r="A39" i="73"/>
  <c r="B39" i="73"/>
  <c r="E39" i="73"/>
  <c r="G39" i="73" s="1"/>
  <c r="D35" i="71"/>
  <c r="F35" i="71" s="1"/>
  <c r="D36" i="71"/>
  <c r="F36" i="71" s="1"/>
  <c r="D37" i="71"/>
  <c r="F37" i="71" s="1"/>
  <c r="D38" i="71"/>
  <c r="F38" i="71" s="1"/>
  <c r="D39" i="71"/>
  <c r="F39" i="71" s="1"/>
  <c r="G32" i="51"/>
  <c r="G33" i="51"/>
  <c r="G34" i="51"/>
  <c r="G35" i="51"/>
  <c r="G36" i="51"/>
  <c r="G33" i="49"/>
  <c r="P33" i="49"/>
  <c r="G34" i="49"/>
  <c r="L34" i="49"/>
  <c r="P34" i="49"/>
  <c r="G35" i="49"/>
  <c r="L35" i="49"/>
  <c r="P35" i="49"/>
  <c r="G36" i="49"/>
  <c r="P36" i="49"/>
  <c r="G37" i="49"/>
  <c r="P37" i="49"/>
  <c r="G33" i="48"/>
  <c r="P33" i="48"/>
  <c r="R33" i="48"/>
  <c r="G34" i="48"/>
  <c r="P34" i="48"/>
  <c r="R34" i="48"/>
  <c r="G35" i="48"/>
  <c r="L35" i="48"/>
  <c r="P35" i="48"/>
  <c r="R35" i="48"/>
  <c r="G36" i="48"/>
  <c r="L36" i="48"/>
  <c r="P36" i="48"/>
  <c r="R36" i="48"/>
  <c r="G37" i="48"/>
  <c r="P37" i="48"/>
  <c r="R37" i="48"/>
  <c r="W41" i="3"/>
  <c r="U33" i="81" s="1"/>
  <c r="X41" i="3"/>
  <c r="AI29" i="31" s="1"/>
  <c r="W42" i="3"/>
  <c r="X42" i="3"/>
  <c r="AI30" i="31" s="1"/>
  <c r="R34" i="49"/>
  <c r="W43" i="3"/>
  <c r="X43" i="3"/>
  <c r="AI31" i="31" s="1"/>
  <c r="AB43" i="3"/>
  <c r="W44" i="3"/>
  <c r="X44" i="3"/>
  <c r="AI32" i="31" s="1"/>
  <c r="AB44" i="3"/>
  <c r="W45" i="3"/>
  <c r="U37" i="81" s="1"/>
  <c r="X45" i="3"/>
  <c r="AI33" i="31" s="1"/>
  <c r="U35" i="82" l="1"/>
  <c r="AJ31" i="31"/>
  <c r="AK31" i="31"/>
  <c r="AC43" i="3"/>
  <c r="U36" i="82"/>
  <c r="AK32" i="31"/>
  <c r="AJ32" i="31"/>
  <c r="AC44" i="3"/>
  <c r="K67" i="31"/>
  <c r="P67" i="31"/>
  <c r="K68" i="31"/>
  <c r="P68" i="31"/>
  <c r="J66" i="31"/>
  <c r="K69" i="31"/>
  <c r="P69" i="31"/>
  <c r="N57" i="31"/>
  <c r="O57" i="31"/>
  <c r="E57" i="31"/>
  <c r="D57" i="31"/>
  <c r="T57" i="31"/>
  <c r="S57" i="31"/>
  <c r="O67" i="31"/>
  <c r="I57" i="31" s="1"/>
  <c r="U36" i="48"/>
  <c r="U36" i="81"/>
  <c r="U35" i="48"/>
  <c r="U35" i="81"/>
  <c r="U34" i="48"/>
  <c r="U34" i="81"/>
  <c r="AP41" i="3"/>
  <c r="AP45" i="3"/>
  <c r="X33" i="31"/>
  <c r="Y33" i="31" s="1"/>
  <c r="X29" i="31"/>
  <c r="Y29" i="31" s="1"/>
  <c r="X25" i="31"/>
  <c r="Y25" i="31" s="1"/>
  <c r="X21" i="31"/>
  <c r="Y21" i="31" s="1"/>
  <c r="X17" i="31"/>
  <c r="Y17" i="31" s="1"/>
  <c r="X13" i="31"/>
  <c r="Y13" i="31" s="1"/>
  <c r="X9" i="31"/>
  <c r="Y9" i="31" s="1"/>
  <c r="X5" i="31"/>
  <c r="Y5" i="31" s="1"/>
  <c r="X18" i="31"/>
  <c r="Y18" i="31" s="1"/>
  <c r="X32" i="31"/>
  <c r="Y32" i="31" s="1"/>
  <c r="X28" i="31"/>
  <c r="Y28" i="31" s="1"/>
  <c r="X24" i="31"/>
  <c r="Y24" i="31" s="1"/>
  <c r="X20" i="31"/>
  <c r="Y20" i="31" s="1"/>
  <c r="X16" i="31"/>
  <c r="Y16" i="31" s="1"/>
  <c r="X12" i="31"/>
  <c r="Y12" i="31" s="1"/>
  <c r="X8" i="31"/>
  <c r="Y8" i="31" s="1"/>
  <c r="Y4" i="31"/>
  <c r="X26" i="31"/>
  <c r="Y26" i="31" s="1"/>
  <c r="X22" i="31"/>
  <c r="Y22" i="31" s="1"/>
  <c r="X10" i="31"/>
  <c r="Y10" i="31" s="1"/>
  <c r="X31" i="31"/>
  <c r="Y31" i="31" s="1"/>
  <c r="X27" i="31"/>
  <c r="Y27" i="31" s="1"/>
  <c r="X23" i="31"/>
  <c r="Y23" i="31" s="1"/>
  <c r="X19" i="31"/>
  <c r="Y19" i="31" s="1"/>
  <c r="X15" i="31"/>
  <c r="Y15" i="31" s="1"/>
  <c r="X11" i="31"/>
  <c r="Y11" i="31" s="1"/>
  <c r="X7" i="31"/>
  <c r="Y7" i="31" s="1"/>
  <c r="X30" i="31"/>
  <c r="Y30" i="31" s="1"/>
  <c r="X14" i="31"/>
  <c r="Y14" i="31" s="1"/>
  <c r="X6" i="31"/>
  <c r="Y6" i="31" s="1"/>
  <c r="L33" i="48"/>
  <c r="Y41" i="3"/>
  <c r="Y45" i="3"/>
  <c r="L37" i="48"/>
  <c r="L37" i="49"/>
  <c r="L36" i="49"/>
  <c r="L33" i="49"/>
  <c r="Y42" i="3"/>
  <c r="AB41" i="3"/>
  <c r="U37" i="48"/>
  <c r="L34" i="48"/>
  <c r="U33" i="48"/>
  <c r="R37" i="49"/>
  <c r="R33" i="49"/>
  <c r="R36" i="49"/>
  <c r="U35" i="49"/>
  <c r="U36" i="49"/>
  <c r="R35" i="49"/>
  <c r="AB45" i="3"/>
  <c r="Y43" i="3"/>
  <c r="Y44" i="3"/>
  <c r="AB42" i="3"/>
  <c r="AJ29" i="31" l="1"/>
  <c r="AK29" i="31"/>
  <c r="AC41" i="3"/>
  <c r="Q32" i="51" s="1"/>
  <c r="U37" i="82"/>
  <c r="AJ33" i="31"/>
  <c r="AK33" i="31"/>
  <c r="AC45" i="3"/>
  <c r="U34" i="82"/>
  <c r="AJ30" i="31"/>
  <c r="AK30" i="31"/>
  <c r="AC42" i="3"/>
  <c r="R57" i="31"/>
  <c r="D101" i="31"/>
  <c r="J57" i="31"/>
  <c r="D87" i="31"/>
  <c r="R46" i="31"/>
  <c r="D100" i="31"/>
  <c r="P66" i="31"/>
  <c r="K66" i="31"/>
  <c r="M57" i="31"/>
  <c r="D93" i="31"/>
  <c r="M46" i="31"/>
  <c r="D92" i="31"/>
  <c r="H57" i="31"/>
  <c r="D85" i="31"/>
  <c r="H46" i="31"/>
  <c r="D84" i="31"/>
  <c r="O70" i="31"/>
  <c r="K35" i="83"/>
  <c r="Y36" i="81"/>
  <c r="K34" i="83"/>
  <c r="Y35" i="81"/>
  <c r="K33" i="83"/>
  <c r="Y34" i="81"/>
  <c r="K36" i="83"/>
  <c r="Y37" i="81"/>
  <c r="K32" i="83"/>
  <c r="Y33" i="81"/>
  <c r="Q34" i="83"/>
  <c r="Y35" i="82"/>
  <c r="Y36" i="49"/>
  <c r="Q35" i="83"/>
  <c r="Y36" i="82"/>
  <c r="U33" i="82"/>
  <c r="AP42" i="3"/>
  <c r="AP44" i="3"/>
  <c r="AP43" i="3"/>
  <c r="Q35" i="51"/>
  <c r="U33" i="49"/>
  <c r="Y37" i="48"/>
  <c r="K36" i="51"/>
  <c r="K35" i="51"/>
  <c r="Y36" i="48"/>
  <c r="Y33" i="48"/>
  <c r="K32" i="51"/>
  <c r="K34" i="51"/>
  <c r="Y35" i="48"/>
  <c r="K33" i="51"/>
  <c r="Y34" i="48"/>
  <c r="Q34" i="51"/>
  <c r="Y35" i="49"/>
  <c r="U34" i="49"/>
  <c r="U37" i="49"/>
  <c r="Z12" i="10"/>
  <c r="Y12" i="10"/>
  <c r="X12" i="10"/>
  <c r="W12" i="10"/>
  <c r="V12" i="10"/>
  <c r="Z5" i="10"/>
  <c r="Z6" i="10"/>
  <c r="Z10" i="10"/>
  <c r="Z8" i="10"/>
  <c r="Y8" i="10"/>
  <c r="Y10" i="10"/>
  <c r="Y6" i="10"/>
  <c r="Y5" i="10"/>
  <c r="X8" i="10"/>
  <c r="X10" i="10"/>
  <c r="X6" i="10"/>
  <c r="X5" i="10"/>
  <c r="W8" i="10"/>
  <c r="W10" i="10"/>
  <c r="W6" i="10"/>
  <c r="W5" i="10"/>
  <c r="V8" i="10"/>
  <c r="V10" i="10"/>
  <c r="V6" i="10"/>
  <c r="V5" i="10"/>
  <c r="U8" i="10"/>
  <c r="T8" i="10"/>
  <c r="S8" i="10"/>
  <c r="R8" i="10"/>
  <c r="Q8" i="10"/>
  <c r="P8" i="10"/>
  <c r="O8" i="10"/>
  <c r="U35" i="83" l="1"/>
  <c r="V16" i="10"/>
  <c r="V20" i="10"/>
  <c r="V24" i="10"/>
  <c r="V17" i="10"/>
  <c r="V25" i="10"/>
  <c r="V18" i="10"/>
  <c r="V22" i="10"/>
  <c r="V15" i="10"/>
  <c r="V19" i="10"/>
  <c r="V23" i="10"/>
  <c r="V27" i="10"/>
  <c r="V26" i="10"/>
  <c r="V33" i="10"/>
  <c r="V29" i="10"/>
  <c r="V35" i="10"/>
  <c r="V32" i="10"/>
  <c r="V36" i="10"/>
  <c r="V37" i="10"/>
  <c r="V40" i="10"/>
  <c r="V30" i="10"/>
  <c r="V41" i="10"/>
  <c r="W15" i="10"/>
  <c r="W19" i="10"/>
  <c r="W23" i="10"/>
  <c r="W16" i="10"/>
  <c r="W20" i="10"/>
  <c r="W24" i="10"/>
  <c r="W17" i="10"/>
  <c r="W18" i="10"/>
  <c r="W26" i="10"/>
  <c r="W30" i="10"/>
  <c r="W25" i="10"/>
  <c r="W37" i="10"/>
  <c r="W22" i="10"/>
  <c r="W33" i="10"/>
  <c r="W27" i="10"/>
  <c r="W29" i="10"/>
  <c r="W35" i="10"/>
  <c r="W32" i="10"/>
  <c r="W36" i="10"/>
  <c r="W40" i="10"/>
  <c r="W41" i="10"/>
  <c r="X18" i="10"/>
  <c r="X22" i="10"/>
  <c r="X15" i="10"/>
  <c r="X19" i="10"/>
  <c r="X23" i="10"/>
  <c r="X16" i="10"/>
  <c r="X20" i="10"/>
  <c r="X24" i="10"/>
  <c r="X29" i="10"/>
  <c r="X33" i="10"/>
  <c r="X17" i="10"/>
  <c r="X30" i="10"/>
  <c r="X32" i="10"/>
  <c r="X36" i="10"/>
  <c r="X25" i="10"/>
  <c r="X26" i="10"/>
  <c r="X37" i="10"/>
  <c r="X41" i="10"/>
  <c r="X27" i="10"/>
  <c r="X35" i="10"/>
  <c r="X40" i="10"/>
  <c r="Z16" i="10"/>
  <c r="Z20" i="10"/>
  <c r="Z24" i="10"/>
  <c r="Z17" i="10"/>
  <c r="Z25" i="10"/>
  <c r="Z18" i="10"/>
  <c r="Z22" i="10"/>
  <c r="Z15" i="10"/>
  <c r="Z19" i="10"/>
  <c r="Z27" i="10"/>
  <c r="Z29" i="10"/>
  <c r="Z32" i="10"/>
  <c r="Z35" i="10"/>
  <c r="Z30" i="10"/>
  <c r="Z36" i="10"/>
  <c r="Z26" i="10"/>
  <c r="Z40" i="10"/>
  <c r="Z37" i="10"/>
  <c r="Z41" i="10"/>
  <c r="Z23" i="10"/>
  <c r="Z33" i="10"/>
  <c r="Y17" i="10"/>
  <c r="Y18" i="10"/>
  <c r="Y22" i="10"/>
  <c r="Y15" i="10"/>
  <c r="Y19" i="10"/>
  <c r="Y23" i="10"/>
  <c r="Y16" i="10"/>
  <c r="Y20" i="10"/>
  <c r="Y24" i="10"/>
  <c r="Y25" i="10"/>
  <c r="Y32" i="10"/>
  <c r="Y27" i="10"/>
  <c r="Y35" i="10"/>
  <c r="Y30" i="10"/>
  <c r="Y36" i="10"/>
  <c r="Y26" i="10"/>
  <c r="Y33" i="10"/>
  <c r="Y37" i="10"/>
  <c r="Y40" i="10"/>
  <c r="Y29" i="10"/>
  <c r="Y41" i="10"/>
  <c r="U34" i="83"/>
  <c r="K70" i="31"/>
  <c r="D76" i="31"/>
  <c r="C46" i="31"/>
  <c r="D77" i="31"/>
  <c r="P70" i="31"/>
  <c r="C57" i="31"/>
  <c r="Y37" i="82"/>
  <c r="Q36" i="83"/>
  <c r="U36" i="83" s="1"/>
  <c r="Q33" i="83"/>
  <c r="U33" i="83" s="1"/>
  <c r="Y34" i="82"/>
  <c r="Y33" i="49"/>
  <c r="Q32" i="83"/>
  <c r="U32" i="83" s="1"/>
  <c r="Y33" i="82"/>
  <c r="U35" i="51"/>
  <c r="U34" i="51"/>
  <c r="U32" i="51"/>
  <c r="AI14" i="3"/>
  <c r="Y37" i="49"/>
  <c r="Q36" i="51"/>
  <c r="U36" i="51" s="1"/>
  <c r="Y34" i="49"/>
  <c r="Q33" i="51"/>
  <c r="U33" i="51" s="1"/>
  <c r="A29" i="30"/>
  <c r="A30" i="30"/>
  <c r="A28" i="30"/>
  <c r="A57" i="73" l="1"/>
  <c r="A60" i="71"/>
  <c r="A58" i="71"/>
  <c r="A56" i="71"/>
  <c r="B24" i="62" l="1"/>
  <c r="B25" i="62"/>
  <c r="B26" i="62"/>
  <c r="B27" i="62"/>
  <c r="B28" i="62"/>
  <c r="B29" i="62"/>
  <c r="B30" i="62"/>
  <c r="B31" i="62"/>
  <c r="D32" i="62"/>
  <c r="D53" i="71"/>
  <c r="A32" i="62"/>
  <c r="AG17" i="48" l="1"/>
  <c r="AQ16" i="48"/>
  <c r="AQ15" i="48"/>
  <c r="U6" i="10" l="1"/>
  <c r="T6" i="10"/>
  <c r="S6" i="10"/>
  <c r="R6" i="10"/>
  <c r="Q6" i="10"/>
  <c r="P6" i="10"/>
  <c r="O6" i="10"/>
  <c r="N6" i="10"/>
  <c r="M6" i="10"/>
  <c r="L6" i="10"/>
  <c r="K6" i="10"/>
  <c r="J6" i="10"/>
  <c r="I6" i="10"/>
  <c r="H6" i="10"/>
  <c r="G6" i="10"/>
  <c r="F6" i="10"/>
  <c r="E6" i="10"/>
  <c r="D6" i="10"/>
  <c r="C6" i="10"/>
  <c r="B6" i="10"/>
  <c r="J5" i="10"/>
  <c r="U5" i="10"/>
  <c r="T5" i="10"/>
  <c r="S5" i="10"/>
  <c r="R5" i="10"/>
  <c r="Q5" i="10"/>
  <c r="P5" i="10"/>
  <c r="O5" i="10"/>
  <c r="N5" i="10"/>
  <c r="M5" i="10"/>
  <c r="L5" i="10"/>
  <c r="K5" i="10"/>
  <c r="I5" i="10"/>
  <c r="H5" i="10"/>
  <c r="G5" i="10"/>
  <c r="F5" i="10"/>
  <c r="E5" i="10"/>
  <c r="D5" i="10"/>
  <c r="C5" i="10"/>
  <c r="B5" i="10"/>
  <c r="A42" i="73" l="1"/>
  <c r="A33" i="62"/>
  <c r="A10" i="73"/>
  <c r="B11" i="73"/>
  <c r="B12" i="73"/>
  <c r="B13" i="73"/>
  <c r="B14" i="73"/>
  <c r="B15" i="73"/>
  <c r="B16" i="73"/>
  <c r="B17" i="73"/>
  <c r="B18" i="73"/>
  <c r="B19" i="73"/>
  <c r="B20" i="73"/>
  <c r="B21" i="73"/>
  <c r="B22" i="73"/>
  <c r="B23" i="73"/>
  <c r="B24" i="73"/>
  <c r="B25" i="73"/>
  <c r="B26" i="73"/>
  <c r="B27" i="73"/>
  <c r="B28" i="73"/>
  <c r="B29" i="73"/>
  <c r="B30" i="73"/>
  <c r="B31" i="73"/>
  <c r="B32" i="73"/>
  <c r="B33" i="73"/>
  <c r="B34" i="73"/>
  <c r="B10" i="73"/>
  <c r="A11" i="73"/>
  <c r="A12" i="73"/>
  <c r="A13" i="73"/>
  <c r="A14" i="73"/>
  <c r="A15" i="73"/>
  <c r="A16" i="73"/>
  <c r="A17" i="73"/>
  <c r="A18" i="73"/>
  <c r="A19" i="73"/>
  <c r="A20" i="73"/>
  <c r="A21" i="73"/>
  <c r="A22" i="73"/>
  <c r="A23" i="73"/>
  <c r="A24" i="73"/>
  <c r="A25" i="73"/>
  <c r="A26" i="73"/>
  <c r="A27" i="73"/>
  <c r="A28" i="73"/>
  <c r="A29" i="73"/>
  <c r="A30" i="73"/>
  <c r="A31" i="73"/>
  <c r="A32" i="73"/>
  <c r="A33" i="73"/>
  <c r="A34" i="73"/>
  <c r="E34" i="73"/>
  <c r="G34" i="73" s="1"/>
  <c r="E33" i="73"/>
  <c r="G33" i="73" s="1"/>
  <c r="E32" i="73"/>
  <c r="G32" i="73" s="1"/>
  <c r="E31" i="73"/>
  <c r="G31" i="73" s="1"/>
  <c r="E30" i="73"/>
  <c r="G30" i="73" s="1"/>
  <c r="E29" i="73"/>
  <c r="G29" i="73" s="1"/>
  <c r="E28" i="73"/>
  <c r="G28" i="73" s="1"/>
  <c r="E27" i="73"/>
  <c r="G27" i="73" s="1"/>
  <c r="E26" i="73"/>
  <c r="G26" i="73" s="1"/>
  <c r="E25" i="73"/>
  <c r="G25" i="73" s="1"/>
  <c r="E24" i="73"/>
  <c r="G24" i="73" s="1"/>
  <c r="E23" i="73"/>
  <c r="G23" i="73" s="1"/>
  <c r="E22" i="73"/>
  <c r="G22" i="73" s="1"/>
  <c r="E21" i="73"/>
  <c r="G21" i="73" s="1"/>
  <c r="E20" i="73"/>
  <c r="G20" i="73" s="1"/>
  <c r="E19" i="73"/>
  <c r="G19" i="73" s="1"/>
  <c r="E18" i="73"/>
  <c r="G18" i="73" s="1"/>
  <c r="E17" i="73"/>
  <c r="G17" i="73" s="1"/>
  <c r="E16" i="73"/>
  <c r="G16" i="73" s="1"/>
  <c r="E15" i="73"/>
  <c r="G15" i="73" s="1"/>
  <c r="E14" i="73"/>
  <c r="G14" i="73" s="1"/>
  <c r="E13" i="73"/>
  <c r="G13" i="73" s="1"/>
  <c r="E12" i="73"/>
  <c r="G12" i="73" s="1"/>
  <c r="E11" i="73"/>
  <c r="G11" i="73" s="1"/>
  <c r="E10" i="73"/>
  <c r="H1" i="73"/>
  <c r="E53" i="71"/>
  <c r="F53" i="71" s="1"/>
  <c r="A53" i="71"/>
  <c r="G10" i="73" l="1"/>
  <c r="U10" i="10"/>
  <c r="T10" i="10"/>
  <c r="S10" i="10"/>
  <c r="R10" i="10"/>
  <c r="Q10" i="10"/>
  <c r="P10" i="10"/>
  <c r="O10" i="10"/>
  <c r="N10" i="10"/>
  <c r="M10" i="10"/>
  <c r="L10" i="10"/>
  <c r="K10" i="10"/>
  <c r="J10" i="10"/>
  <c r="I10" i="10"/>
  <c r="H10" i="10"/>
  <c r="G10" i="10"/>
  <c r="F10" i="10"/>
  <c r="E10" i="10"/>
  <c r="D10" i="10"/>
  <c r="C10" i="10"/>
  <c r="G40" i="73" l="1"/>
  <c r="U12" i="10" l="1"/>
  <c r="T12" i="10"/>
  <c r="S12" i="10"/>
  <c r="R12" i="10"/>
  <c r="Q12" i="10"/>
  <c r="P12" i="10"/>
  <c r="O12" i="10"/>
  <c r="D34" i="71"/>
  <c r="F34" i="71" s="1"/>
  <c r="D33" i="71"/>
  <c r="F33" i="71" s="1"/>
  <c r="D32" i="71"/>
  <c r="F32" i="71" s="1"/>
  <c r="D31" i="71"/>
  <c r="F31" i="71" s="1"/>
  <c r="D30" i="71"/>
  <c r="F30" i="71" s="1"/>
  <c r="D29" i="71"/>
  <c r="F29" i="71" s="1"/>
  <c r="D28" i="71"/>
  <c r="F28" i="71" s="1"/>
  <c r="D27" i="71"/>
  <c r="F27" i="71" s="1"/>
  <c r="D26" i="71"/>
  <c r="F26" i="71" s="1"/>
  <c r="D25" i="71"/>
  <c r="F25" i="71" s="1"/>
  <c r="D24" i="71"/>
  <c r="F24" i="71" s="1"/>
  <c r="D23" i="71"/>
  <c r="F23" i="71" s="1"/>
  <c r="D22" i="71"/>
  <c r="F22" i="71" s="1"/>
  <c r="D21" i="71"/>
  <c r="F21" i="71" s="1"/>
  <c r="D20" i="71"/>
  <c r="F20" i="71" s="1"/>
  <c r="D19" i="71"/>
  <c r="F19" i="71" s="1"/>
  <c r="D18" i="71"/>
  <c r="F18" i="71" s="1"/>
  <c r="D17" i="71"/>
  <c r="F17" i="71" s="1"/>
  <c r="D16" i="71"/>
  <c r="F16" i="71" s="1"/>
  <c r="D15" i="71"/>
  <c r="F15" i="71" s="1"/>
  <c r="D14" i="71"/>
  <c r="F14" i="71" s="1"/>
  <c r="D13" i="71"/>
  <c r="F13" i="71" s="1"/>
  <c r="D12" i="71"/>
  <c r="F12" i="71" s="1"/>
  <c r="D11" i="71"/>
  <c r="F11" i="71" s="1"/>
  <c r="D10" i="71"/>
  <c r="G1" i="71"/>
  <c r="R16" i="10" l="1"/>
  <c r="R20" i="10"/>
  <c r="R24" i="10"/>
  <c r="R17" i="10"/>
  <c r="R25" i="10"/>
  <c r="R18" i="10"/>
  <c r="R22" i="10"/>
  <c r="R19" i="10"/>
  <c r="R23" i="10"/>
  <c r="R26" i="10"/>
  <c r="R27" i="10"/>
  <c r="R15" i="10"/>
  <c r="R30" i="10"/>
  <c r="R33" i="10"/>
  <c r="R35" i="10"/>
  <c r="R29" i="10"/>
  <c r="R36" i="10"/>
  <c r="R32" i="10"/>
  <c r="R37" i="10"/>
  <c r="R40" i="10"/>
  <c r="R41" i="10"/>
  <c r="O15" i="10"/>
  <c r="O19" i="10"/>
  <c r="O23" i="10"/>
  <c r="O16" i="10"/>
  <c r="O20" i="10"/>
  <c r="O24" i="10"/>
  <c r="O17" i="10"/>
  <c r="O18" i="10"/>
  <c r="O25" i="10"/>
  <c r="O22" i="10"/>
  <c r="O30" i="10"/>
  <c r="O26" i="10"/>
  <c r="O27" i="10"/>
  <c r="O29" i="10"/>
  <c r="O37" i="10"/>
  <c r="O32" i="10"/>
  <c r="O35" i="10"/>
  <c r="O36" i="10"/>
  <c r="O33" i="10"/>
  <c r="O40" i="10"/>
  <c r="O41" i="10"/>
  <c r="S15" i="10"/>
  <c r="S19" i="10"/>
  <c r="S23" i="10"/>
  <c r="S16" i="10"/>
  <c r="S20" i="10"/>
  <c r="S24" i="10"/>
  <c r="S17" i="10"/>
  <c r="S18" i="10"/>
  <c r="S22" i="10"/>
  <c r="S25" i="10"/>
  <c r="S30" i="10"/>
  <c r="S32" i="10"/>
  <c r="S37" i="10"/>
  <c r="S26" i="10"/>
  <c r="S33" i="10"/>
  <c r="S35" i="10"/>
  <c r="S29" i="10"/>
  <c r="S27" i="10"/>
  <c r="S36" i="10"/>
  <c r="S40" i="10"/>
  <c r="S41" i="10"/>
  <c r="P18" i="10"/>
  <c r="P22" i="10"/>
  <c r="P15" i="10"/>
  <c r="P19" i="10"/>
  <c r="P23" i="10"/>
  <c r="P16" i="10"/>
  <c r="P20" i="10"/>
  <c r="P24" i="10"/>
  <c r="P17" i="10"/>
  <c r="P25" i="10"/>
  <c r="P29" i="10"/>
  <c r="P33" i="10"/>
  <c r="P36" i="10"/>
  <c r="P26" i="10"/>
  <c r="P27" i="10"/>
  <c r="P37" i="10"/>
  <c r="P30" i="10"/>
  <c r="P32" i="10"/>
  <c r="P41" i="10"/>
  <c r="P35" i="10"/>
  <c r="P40" i="10"/>
  <c r="T18" i="10"/>
  <c r="T22" i="10"/>
  <c r="T15" i="10"/>
  <c r="T19" i="10"/>
  <c r="T23" i="10"/>
  <c r="T16" i="10"/>
  <c r="T20" i="10"/>
  <c r="T24" i="10"/>
  <c r="T17" i="10"/>
  <c r="T29" i="10"/>
  <c r="T33" i="10"/>
  <c r="T27" i="10"/>
  <c r="T36" i="10"/>
  <c r="T30" i="10"/>
  <c r="T32" i="10"/>
  <c r="T37" i="10"/>
  <c r="T25" i="10"/>
  <c r="T26" i="10"/>
  <c r="T41" i="10"/>
  <c r="T35" i="10"/>
  <c r="T40" i="10"/>
  <c r="Q17" i="10"/>
  <c r="Q25" i="10"/>
  <c r="Q18" i="10"/>
  <c r="Q22" i="10"/>
  <c r="Q26" i="10"/>
  <c r="Q15" i="10"/>
  <c r="Q19" i="10"/>
  <c r="Q23" i="10"/>
  <c r="Q24" i="10"/>
  <c r="Q16" i="10"/>
  <c r="Q32" i="10"/>
  <c r="Q33" i="10"/>
  <c r="Q35" i="10"/>
  <c r="Q20" i="10"/>
  <c r="Q29" i="10"/>
  <c r="Q36" i="10"/>
  <c r="Q27" i="10"/>
  <c r="Q37" i="10"/>
  <c r="Q40" i="10"/>
  <c r="Q30" i="10"/>
  <c r="Q41" i="10"/>
  <c r="U17" i="10"/>
  <c r="U25" i="10"/>
  <c r="U18" i="10"/>
  <c r="U22" i="10"/>
  <c r="U26" i="10"/>
  <c r="U15" i="10"/>
  <c r="U19" i="10"/>
  <c r="U23" i="10"/>
  <c r="U20" i="10"/>
  <c r="U24" i="10"/>
  <c r="U32" i="10"/>
  <c r="U29" i="10"/>
  <c r="U35" i="10"/>
  <c r="U27" i="10"/>
  <c r="U36" i="10"/>
  <c r="U16" i="10"/>
  <c r="U30" i="10"/>
  <c r="U37" i="10"/>
  <c r="U40" i="10"/>
  <c r="U41" i="10"/>
  <c r="U33" i="10"/>
  <c r="F10" i="71"/>
  <c r="F40" i="71" l="1"/>
  <c r="N8" i="10"/>
  <c r="M8" i="10"/>
  <c r="L8" i="10"/>
  <c r="K8" i="10"/>
  <c r="J8" i="10"/>
  <c r="I8" i="10"/>
  <c r="H8" i="10"/>
  <c r="G8" i="10"/>
  <c r="F8" i="10"/>
  <c r="E8" i="10"/>
  <c r="D8" i="10"/>
  <c r="C8" i="10"/>
  <c r="B8" i="10"/>
  <c r="N12" i="10"/>
  <c r="M12" i="10"/>
  <c r="L12" i="10"/>
  <c r="K12" i="10"/>
  <c r="J12" i="10"/>
  <c r="I12" i="10"/>
  <c r="H12" i="10"/>
  <c r="G12" i="10"/>
  <c r="F12" i="10"/>
  <c r="E12" i="10"/>
  <c r="D12" i="10"/>
  <c r="C12" i="10"/>
  <c r="B12" i="10"/>
  <c r="H38" i="10" l="1"/>
  <c r="H39" i="10"/>
  <c r="H13" i="10"/>
  <c r="F13" i="10"/>
  <c r="F38" i="10"/>
  <c r="F39" i="10"/>
  <c r="G38" i="10"/>
  <c r="G39" i="10"/>
  <c r="G13" i="10"/>
  <c r="C15" i="10"/>
  <c r="C39" i="10"/>
  <c r="C13" i="10"/>
  <c r="C38" i="10"/>
  <c r="E38" i="10"/>
  <c r="E13" i="10"/>
  <c r="E39" i="10"/>
  <c r="D38" i="10"/>
  <c r="D13" i="10"/>
  <c r="D39" i="10"/>
  <c r="B13" i="10"/>
  <c r="B39" i="10"/>
  <c r="B38" i="10"/>
  <c r="B33" i="10"/>
  <c r="B27" i="10"/>
  <c r="B23" i="10"/>
  <c r="B18" i="10"/>
  <c r="B35" i="10"/>
  <c r="B19" i="10"/>
  <c r="B41" i="10"/>
  <c r="B37" i="10"/>
  <c r="B32" i="10"/>
  <c r="B26" i="10"/>
  <c r="B22" i="10"/>
  <c r="B17" i="10"/>
  <c r="B29" i="10"/>
  <c r="B40" i="10"/>
  <c r="B36" i="10"/>
  <c r="B30" i="10"/>
  <c r="B25" i="10"/>
  <c r="B20" i="10"/>
  <c r="B16" i="10"/>
  <c r="B24" i="10"/>
  <c r="B15" i="10"/>
  <c r="E17" i="10"/>
  <c r="E25" i="10"/>
  <c r="E18" i="10"/>
  <c r="E22" i="10"/>
  <c r="E26" i="10"/>
  <c r="E15" i="10"/>
  <c r="E19" i="10"/>
  <c r="E23" i="10"/>
  <c r="E20" i="10"/>
  <c r="E24" i="10"/>
  <c r="E32" i="10"/>
  <c r="E29" i="10"/>
  <c r="E35" i="10"/>
  <c r="E16" i="10"/>
  <c r="E27" i="10"/>
  <c r="E36" i="10"/>
  <c r="E30" i="10"/>
  <c r="E37" i="10"/>
  <c r="E40" i="10"/>
  <c r="E41" i="10"/>
  <c r="E33" i="10"/>
  <c r="J16" i="10"/>
  <c r="J20" i="10"/>
  <c r="J24" i="10"/>
  <c r="J17" i="10"/>
  <c r="J25" i="10"/>
  <c r="J18" i="10"/>
  <c r="J22" i="10"/>
  <c r="J15" i="10"/>
  <c r="J19" i="10"/>
  <c r="J27" i="10"/>
  <c r="J29" i="10"/>
  <c r="J26" i="10"/>
  <c r="J32" i="10"/>
  <c r="J35" i="10"/>
  <c r="J23" i="10"/>
  <c r="J30" i="10"/>
  <c r="J36" i="10"/>
  <c r="J33" i="10"/>
  <c r="J40" i="10"/>
  <c r="J37" i="10"/>
  <c r="J41" i="10"/>
  <c r="D18" i="10"/>
  <c r="D22" i="10"/>
  <c r="D15" i="10"/>
  <c r="D19" i="10"/>
  <c r="D23" i="10"/>
  <c r="D16" i="10"/>
  <c r="D20" i="10"/>
  <c r="D24" i="10"/>
  <c r="D25" i="10"/>
  <c r="D17" i="10"/>
  <c r="D29" i="10"/>
  <c r="D33" i="10"/>
  <c r="D27" i="10"/>
  <c r="D36" i="10"/>
  <c r="D30" i="10"/>
  <c r="D32" i="10"/>
  <c r="D37" i="10"/>
  <c r="D26" i="10"/>
  <c r="D41" i="10"/>
  <c r="D35" i="10"/>
  <c r="D40" i="10"/>
  <c r="I17" i="10"/>
  <c r="I25" i="10"/>
  <c r="I18" i="10"/>
  <c r="I22" i="10"/>
  <c r="I26" i="10"/>
  <c r="I15" i="10"/>
  <c r="I19" i="10"/>
  <c r="I23" i="10"/>
  <c r="I16" i="10"/>
  <c r="I20" i="10"/>
  <c r="I24" i="10"/>
  <c r="I32" i="10"/>
  <c r="I27" i="10"/>
  <c r="I35" i="10"/>
  <c r="I30" i="10"/>
  <c r="I36" i="10"/>
  <c r="I33" i="10"/>
  <c r="I37" i="10"/>
  <c r="I40" i="10"/>
  <c r="I41" i="10"/>
  <c r="I29" i="10"/>
  <c r="M17" i="10"/>
  <c r="M25" i="10"/>
  <c r="M18" i="10"/>
  <c r="M22" i="10"/>
  <c r="M26" i="10"/>
  <c r="M15" i="10"/>
  <c r="M19" i="10"/>
  <c r="M23" i="10"/>
  <c r="M16" i="10"/>
  <c r="M20" i="10"/>
  <c r="M32" i="10"/>
  <c r="M24" i="10"/>
  <c r="M30" i="10"/>
  <c r="M35" i="10"/>
  <c r="M33" i="10"/>
  <c r="M36" i="10"/>
  <c r="M29" i="10"/>
  <c r="M37" i="10"/>
  <c r="M27" i="10"/>
  <c r="M40" i="10"/>
  <c r="M41" i="10"/>
  <c r="F16" i="10"/>
  <c r="F20" i="10"/>
  <c r="F24" i="10"/>
  <c r="F17" i="10"/>
  <c r="F25" i="10"/>
  <c r="F18" i="10"/>
  <c r="F22" i="10"/>
  <c r="F15" i="10"/>
  <c r="F19" i="10"/>
  <c r="F23" i="10"/>
  <c r="F27" i="10"/>
  <c r="F33" i="10"/>
  <c r="F29" i="10"/>
  <c r="F35" i="10"/>
  <c r="F32" i="10"/>
  <c r="F36" i="10"/>
  <c r="F37" i="10"/>
  <c r="F40" i="10"/>
  <c r="F26" i="10"/>
  <c r="F41" i="10"/>
  <c r="F30" i="10"/>
  <c r="N16" i="10"/>
  <c r="N20" i="10"/>
  <c r="N24" i="10"/>
  <c r="N17" i="10"/>
  <c r="N25" i="10"/>
  <c r="N18" i="10"/>
  <c r="N22" i="10"/>
  <c r="N23" i="10"/>
  <c r="N15" i="10"/>
  <c r="N27" i="10"/>
  <c r="N32" i="10"/>
  <c r="N30" i="10"/>
  <c r="N35" i="10"/>
  <c r="N33" i="10"/>
  <c r="N36" i="10"/>
  <c r="N19" i="10"/>
  <c r="N40" i="10"/>
  <c r="N41" i="10"/>
  <c r="N26" i="10"/>
  <c r="N29" i="10"/>
  <c r="N37" i="10"/>
  <c r="C19" i="10"/>
  <c r="C23" i="10"/>
  <c r="C16" i="10"/>
  <c r="C20" i="10"/>
  <c r="C24" i="10"/>
  <c r="C17" i="10"/>
  <c r="C25" i="10"/>
  <c r="C18" i="10"/>
  <c r="C22" i="10"/>
  <c r="C30" i="10"/>
  <c r="C32" i="10"/>
  <c r="C37" i="10"/>
  <c r="C26" i="10"/>
  <c r="C33" i="10"/>
  <c r="C35" i="10"/>
  <c r="C29" i="10"/>
  <c r="C36" i="10"/>
  <c r="C27" i="10"/>
  <c r="C40" i="10"/>
  <c r="C41" i="10"/>
  <c r="G15" i="10"/>
  <c r="G19" i="10"/>
  <c r="G23" i="10"/>
  <c r="G16" i="10"/>
  <c r="G20" i="10"/>
  <c r="G24" i="10"/>
  <c r="G17" i="10"/>
  <c r="G25" i="10"/>
  <c r="G18" i="10"/>
  <c r="G26" i="10"/>
  <c r="G30" i="10"/>
  <c r="G22" i="10"/>
  <c r="G37" i="10"/>
  <c r="G33" i="10"/>
  <c r="G27" i="10"/>
  <c r="G29" i="10"/>
  <c r="G35" i="10"/>
  <c r="G32" i="10"/>
  <c r="G36" i="10"/>
  <c r="G40" i="10"/>
  <c r="G41" i="10"/>
  <c r="K15" i="10"/>
  <c r="K19" i="10"/>
  <c r="K23" i="10"/>
  <c r="K16" i="10"/>
  <c r="K20" i="10"/>
  <c r="K24" i="10"/>
  <c r="K17" i="10"/>
  <c r="K22" i="10"/>
  <c r="K25" i="10"/>
  <c r="K30" i="10"/>
  <c r="K33" i="10"/>
  <c r="K37" i="10"/>
  <c r="K18" i="10"/>
  <c r="K27" i="10"/>
  <c r="K29" i="10"/>
  <c r="K26" i="10"/>
  <c r="K32" i="10"/>
  <c r="K35" i="10"/>
  <c r="K40" i="10"/>
  <c r="K36" i="10"/>
  <c r="K41" i="10"/>
  <c r="H18" i="10"/>
  <c r="H22" i="10"/>
  <c r="H15" i="10"/>
  <c r="H19" i="10"/>
  <c r="H23" i="10"/>
  <c r="H16" i="10"/>
  <c r="H20" i="10"/>
  <c r="H24" i="10"/>
  <c r="H25" i="10"/>
  <c r="H29" i="10"/>
  <c r="H33" i="10"/>
  <c r="H26" i="10"/>
  <c r="H30" i="10"/>
  <c r="H32" i="10"/>
  <c r="H36" i="10"/>
  <c r="H37" i="10"/>
  <c r="H17" i="10"/>
  <c r="H41" i="10"/>
  <c r="H27" i="10"/>
  <c r="H35" i="10"/>
  <c r="H40" i="10"/>
  <c r="L18" i="10"/>
  <c r="L22" i="10"/>
  <c r="L15" i="10"/>
  <c r="L19" i="10"/>
  <c r="L23" i="10"/>
  <c r="L16" i="10"/>
  <c r="L20" i="10"/>
  <c r="L24" i="10"/>
  <c r="L17" i="10"/>
  <c r="L26" i="10"/>
  <c r="L29" i="10"/>
  <c r="L33" i="10"/>
  <c r="L36" i="10"/>
  <c r="L37" i="10"/>
  <c r="L25" i="10"/>
  <c r="L27" i="10"/>
  <c r="L30" i="10"/>
  <c r="L35" i="10"/>
  <c r="L41" i="10"/>
  <c r="L32" i="10"/>
  <c r="L40" i="10"/>
  <c r="B42" i="68"/>
  <c r="F45" i="71" l="1"/>
  <c r="G47" i="73"/>
  <c r="G46" i="73"/>
  <c r="G52" i="73"/>
  <c r="F46" i="71"/>
  <c r="F51" i="71"/>
  <c r="D32" i="68"/>
  <c r="F32" i="68" s="1"/>
  <c r="F54" i="71" l="1"/>
  <c r="G55" i="73"/>
  <c r="D21" i="68"/>
  <c r="D22" i="68"/>
  <c r="D23" i="68"/>
  <c r="F26" i="68"/>
  <c r="D15" i="68"/>
  <c r="D16" i="68"/>
  <c r="D17" i="68"/>
  <c r="D18" i="68"/>
  <c r="D19" i="68"/>
  <c r="D20" i="68"/>
  <c r="D14" i="68"/>
  <c r="K1" i="68"/>
  <c r="F35" i="68" l="1"/>
  <c r="F21" i="68"/>
  <c r="F22" i="68"/>
  <c r="F23" i="68"/>
  <c r="F17" i="68"/>
  <c r="F19" i="68"/>
  <c r="F18" i="68"/>
  <c r="F20" i="68"/>
  <c r="F14" i="68"/>
  <c r="F16" i="68"/>
  <c r="F15" i="68"/>
  <c r="F24" i="68" l="1"/>
  <c r="D33" i="31"/>
  <c r="B38" i="30" l="1"/>
  <c r="B39" i="30"/>
  <c r="B40" i="30"/>
  <c r="B41" i="30"/>
  <c r="B42" i="30"/>
  <c r="B43" i="30"/>
  <c r="B44" i="30"/>
  <c r="B45" i="30"/>
  <c r="B46" i="30"/>
  <c r="B47" i="30"/>
  <c r="B48" i="30"/>
  <c r="B49" i="30"/>
  <c r="B50" i="30"/>
  <c r="B51" i="30"/>
  <c r="B52" i="30"/>
  <c r="B53" i="30"/>
  <c r="B54" i="30"/>
  <c r="B55" i="30"/>
  <c r="B56" i="30"/>
  <c r="B57" i="30"/>
  <c r="B58" i="30"/>
  <c r="B59" i="30"/>
  <c r="B60" i="30"/>
  <c r="B61" i="30"/>
  <c r="B37" i="30"/>
  <c r="C34" i="49" l="1"/>
  <c r="C36" i="49"/>
  <c r="C33" i="49"/>
  <c r="C35" i="49"/>
  <c r="C37" i="49"/>
  <c r="C36" i="48"/>
  <c r="C35" i="48"/>
  <c r="C34" i="48"/>
  <c r="C33" i="48"/>
  <c r="C37" i="48"/>
  <c r="C36" i="51"/>
  <c r="C34" i="51"/>
  <c r="C33" i="51"/>
  <c r="C35" i="51"/>
  <c r="C32" i="51"/>
  <c r="C31" i="51"/>
  <c r="C27" i="51"/>
  <c r="C23" i="51"/>
  <c r="C19" i="51"/>
  <c r="C15" i="51"/>
  <c r="C11" i="51"/>
  <c r="C24" i="51"/>
  <c r="C16" i="51"/>
  <c r="C8" i="51"/>
  <c r="C30" i="51"/>
  <c r="C26" i="51"/>
  <c r="C22" i="51"/>
  <c r="C18" i="51"/>
  <c r="C14" i="51"/>
  <c r="C10" i="51"/>
  <c r="C28" i="51"/>
  <c r="C20" i="51"/>
  <c r="C12" i="51"/>
  <c r="C29" i="51"/>
  <c r="C25" i="51"/>
  <c r="C21" i="51"/>
  <c r="C17" i="51"/>
  <c r="C13" i="51"/>
  <c r="C9" i="51"/>
  <c r="C29" i="49"/>
  <c r="C25" i="49"/>
  <c r="C21" i="49"/>
  <c r="C17" i="49"/>
  <c r="C13" i="49"/>
  <c r="C9" i="49"/>
  <c r="C30" i="49"/>
  <c r="C22" i="49"/>
  <c r="C10" i="49"/>
  <c r="C32" i="49"/>
  <c r="C28" i="49"/>
  <c r="C24" i="49"/>
  <c r="C20" i="49"/>
  <c r="C16" i="49"/>
  <c r="C12" i="49"/>
  <c r="C8" i="49"/>
  <c r="C26" i="49"/>
  <c r="C14" i="49"/>
  <c r="C31" i="49"/>
  <c r="C27" i="49"/>
  <c r="C23" i="49"/>
  <c r="C19" i="49"/>
  <c r="C15" i="49"/>
  <c r="C11" i="49"/>
  <c r="C18" i="49"/>
  <c r="C13" i="48"/>
  <c r="C12" i="48"/>
  <c r="C17" i="48"/>
  <c r="C21" i="48"/>
  <c r="C25" i="48"/>
  <c r="C29" i="48"/>
  <c r="C8" i="48"/>
  <c r="C19" i="48"/>
  <c r="C27" i="48"/>
  <c r="C11" i="48"/>
  <c r="C16" i="48"/>
  <c r="C20" i="48"/>
  <c r="C24" i="48"/>
  <c r="C28" i="48"/>
  <c r="C32" i="48"/>
  <c r="C9" i="48"/>
  <c r="C14" i="48"/>
  <c r="C18" i="48"/>
  <c r="C22" i="48"/>
  <c r="C26" i="48"/>
  <c r="C30" i="48"/>
  <c r="C15" i="48"/>
  <c r="C23" i="48"/>
  <c r="C31" i="48"/>
  <c r="C10" i="48"/>
  <c r="D24" i="62"/>
  <c r="D25" i="62"/>
  <c r="D26" i="62"/>
  <c r="D27" i="62"/>
  <c r="D28" i="62"/>
  <c r="D29" i="62"/>
  <c r="D30" i="62"/>
  <c r="D31" i="62"/>
  <c r="AP39" i="3" l="1"/>
  <c r="AP37" i="3"/>
  <c r="AP40" i="3"/>
  <c r="AP38" i="3"/>
  <c r="AP36" i="3"/>
  <c r="B13" i="62"/>
  <c r="B14" i="62"/>
  <c r="B15" i="62"/>
  <c r="B16" i="62"/>
  <c r="B17" i="62"/>
  <c r="B18" i="62"/>
  <c r="B19" i="62"/>
  <c r="B20" i="62"/>
  <c r="B21" i="62"/>
  <c r="B22" i="62"/>
  <c r="B23" i="62"/>
  <c r="B12" i="62"/>
  <c r="G1" i="62"/>
  <c r="D17" i="62" l="1"/>
  <c r="D13" i="62"/>
  <c r="D20" i="62"/>
  <c r="D16" i="62"/>
  <c r="D12" i="62"/>
  <c r="D21" i="62"/>
  <c r="D23" i="62"/>
  <c r="D19" i="62"/>
  <c r="D15" i="62"/>
  <c r="D22" i="62"/>
  <c r="D18" i="62"/>
  <c r="D14" i="62"/>
  <c r="AP34" i="3" l="1"/>
  <c r="AP25" i="3"/>
  <c r="AP32" i="3"/>
  <c r="AP29" i="3"/>
  <c r="AP22" i="3"/>
  <c r="AP31" i="3"/>
  <c r="AP28" i="3"/>
  <c r="AP20" i="3"/>
  <c r="AP21" i="3"/>
  <c r="AP35" i="3"/>
  <c r="AP23" i="3"/>
  <c r="AP27" i="3"/>
  <c r="AP30" i="3"/>
  <c r="AP24" i="3"/>
  <c r="AP33" i="3"/>
  <c r="AJ14" i="3"/>
  <c r="AU35" i="87" l="1"/>
  <c r="B103" i="31"/>
  <c r="B102" i="31"/>
  <c r="AV19" i="3"/>
  <c r="AU35" i="86"/>
  <c r="S45" i="31"/>
  <c r="S56" i="31" s="1"/>
  <c r="AT19" i="3"/>
  <c r="AS19" i="3"/>
  <c r="AP14" i="3"/>
  <c r="C2" i="3" s="1"/>
  <c r="G15" i="62"/>
  <c r="G9" i="49"/>
  <c r="G10" i="49"/>
  <c r="G11" i="49"/>
  <c r="G12" i="49"/>
  <c r="G13" i="49"/>
  <c r="G14" i="49"/>
  <c r="G15" i="49"/>
  <c r="G16" i="49"/>
  <c r="G17" i="49"/>
  <c r="G18" i="49"/>
  <c r="G19" i="49"/>
  <c r="G20" i="49"/>
  <c r="G21" i="49"/>
  <c r="G22" i="49"/>
  <c r="G23" i="49"/>
  <c r="G24" i="49"/>
  <c r="G25" i="49"/>
  <c r="G26" i="49"/>
  <c r="G27" i="49"/>
  <c r="G28" i="49"/>
  <c r="G29" i="49"/>
  <c r="G30" i="49"/>
  <c r="G31" i="49"/>
  <c r="G32" i="49"/>
  <c r="G9" i="48"/>
  <c r="G10" i="48"/>
  <c r="G11" i="48"/>
  <c r="G12" i="48"/>
  <c r="G13" i="48"/>
  <c r="G14" i="48"/>
  <c r="G15" i="48"/>
  <c r="G16" i="48"/>
  <c r="G17" i="48"/>
  <c r="G18" i="48"/>
  <c r="G19" i="48"/>
  <c r="G20" i="48"/>
  <c r="G21" i="48"/>
  <c r="G22" i="48"/>
  <c r="G23" i="48"/>
  <c r="G24" i="48"/>
  <c r="G25" i="48"/>
  <c r="G26" i="48"/>
  <c r="G27" i="48"/>
  <c r="G28" i="48"/>
  <c r="G29" i="48"/>
  <c r="G30" i="48"/>
  <c r="G31" i="48"/>
  <c r="G32" i="48"/>
  <c r="AQ19" i="3" l="1"/>
  <c r="AW19" i="3" s="1"/>
  <c r="AN19" i="51"/>
  <c r="G31" i="51" l="1"/>
  <c r="G30" i="51"/>
  <c r="G29" i="51"/>
  <c r="G28" i="51"/>
  <c r="G27" i="51"/>
  <c r="G26" i="51"/>
  <c r="G25" i="51"/>
  <c r="G24" i="51"/>
  <c r="G23" i="51"/>
  <c r="G22" i="51"/>
  <c r="G21" i="51"/>
  <c r="G20" i="51"/>
  <c r="G19" i="51"/>
  <c r="G18" i="51"/>
  <c r="G17" i="51"/>
  <c r="G16" i="51"/>
  <c r="G15" i="51"/>
  <c r="G14" i="51"/>
  <c r="G13" i="51"/>
  <c r="G12" i="51"/>
  <c r="G11" i="51"/>
  <c r="G10" i="51"/>
  <c r="G9" i="51"/>
  <c r="G8" i="51"/>
  <c r="G7" i="51"/>
  <c r="R9" i="49"/>
  <c r="R10" i="49"/>
  <c r="R11" i="49"/>
  <c r="R12" i="49"/>
  <c r="R13" i="49"/>
  <c r="R14" i="49"/>
  <c r="R15" i="49"/>
  <c r="R16" i="49"/>
  <c r="R17" i="49"/>
  <c r="R18" i="49"/>
  <c r="R19" i="49"/>
  <c r="R20" i="49"/>
  <c r="R21" i="49"/>
  <c r="R22" i="49"/>
  <c r="R23" i="49"/>
  <c r="R24" i="49"/>
  <c r="R25" i="49"/>
  <c r="R26" i="49"/>
  <c r="R27" i="49"/>
  <c r="R28" i="49"/>
  <c r="R29" i="49"/>
  <c r="R30" i="49"/>
  <c r="R31" i="49"/>
  <c r="R32" i="49"/>
  <c r="R8" i="49"/>
  <c r="P32" i="49"/>
  <c r="P31" i="49"/>
  <c r="P30" i="49"/>
  <c r="P29" i="49"/>
  <c r="P28" i="49"/>
  <c r="P27" i="49"/>
  <c r="P26" i="49"/>
  <c r="P25" i="49"/>
  <c r="P24" i="49"/>
  <c r="P23" i="49"/>
  <c r="P22" i="49"/>
  <c r="P21" i="49"/>
  <c r="P20" i="49"/>
  <c r="P19" i="49"/>
  <c r="P18" i="49"/>
  <c r="P17" i="49"/>
  <c r="P16" i="49"/>
  <c r="P15" i="49"/>
  <c r="P14" i="49"/>
  <c r="P13" i="49"/>
  <c r="P12" i="49"/>
  <c r="P11" i="49"/>
  <c r="P10" i="49"/>
  <c r="P9" i="49"/>
  <c r="P8" i="49"/>
  <c r="G8" i="49"/>
  <c r="P39" i="49" l="1"/>
  <c r="AA19" i="51"/>
  <c r="BA19" i="51" s="1"/>
  <c r="R32" i="48"/>
  <c r="P32" i="48"/>
  <c r="R31" i="48"/>
  <c r="P31" i="48"/>
  <c r="R30" i="48"/>
  <c r="P30" i="48"/>
  <c r="R29" i="48"/>
  <c r="P29" i="48"/>
  <c r="R28" i="48"/>
  <c r="P28" i="48"/>
  <c r="R27" i="48"/>
  <c r="P27" i="48"/>
  <c r="R26" i="48"/>
  <c r="P26" i="48"/>
  <c r="R25" i="48"/>
  <c r="P25" i="48"/>
  <c r="R24" i="48"/>
  <c r="P24" i="48"/>
  <c r="R23" i="48"/>
  <c r="P23" i="48"/>
  <c r="R22" i="48"/>
  <c r="P22" i="48"/>
  <c r="R21" i="48"/>
  <c r="P21" i="48"/>
  <c r="R20" i="48"/>
  <c r="P20" i="48"/>
  <c r="R19" i="48"/>
  <c r="P19" i="48"/>
  <c r="R18" i="48"/>
  <c r="P18" i="48"/>
  <c r="R17" i="48"/>
  <c r="P17" i="48"/>
  <c r="R16" i="48"/>
  <c r="P16" i="48"/>
  <c r="R15" i="48"/>
  <c r="P15" i="48"/>
  <c r="R14" i="48"/>
  <c r="P14" i="48"/>
  <c r="R13" i="48"/>
  <c r="P13" i="48"/>
  <c r="R12" i="48"/>
  <c r="P12" i="48"/>
  <c r="R11" i="48"/>
  <c r="P11" i="48"/>
  <c r="R10" i="48"/>
  <c r="P10" i="48"/>
  <c r="R9" i="48"/>
  <c r="P9" i="48"/>
  <c r="R8" i="48"/>
  <c r="P8" i="48"/>
  <c r="G8" i="48"/>
  <c r="P39" i="48" l="1"/>
  <c r="G38" i="30"/>
  <c r="G39" i="30"/>
  <c r="G40" i="30"/>
  <c r="G41" i="30"/>
  <c r="G42" i="30"/>
  <c r="G43" i="30"/>
  <c r="G44" i="30"/>
  <c r="G45" i="30"/>
  <c r="G46" i="30"/>
  <c r="G47" i="30"/>
  <c r="G48" i="30"/>
  <c r="G49" i="30"/>
  <c r="G50" i="30"/>
  <c r="G51" i="30"/>
  <c r="G52" i="30"/>
  <c r="G53" i="30"/>
  <c r="G54" i="30"/>
  <c r="G55" i="30"/>
  <c r="G56" i="30"/>
  <c r="G57" i="30"/>
  <c r="G58" i="30"/>
  <c r="G59" i="30"/>
  <c r="G60" i="30"/>
  <c r="G61" i="30"/>
  <c r="G37" i="30"/>
  <c r="D38" i="30"/>
  <c r="D39" i="30"/>
  <c r="D40" i="30"/>
  <c r="D41" i="30"/>
  <c r="D42" i="30"/>
  <c r="D43" i="30"/>
  <c r="D44" i="30"/>
  <c r="D45" i="30"/>
  <c r="D46" i="30"/>
  <c r="D47" i="30"/>
  <c r="D48" i="30"/>
  <c r="D49" i="30"/>
  <c r="D50" i="30"/>
  <c r="D51" i="30"/>
  <c r="D52" i="30"/>
  <c r="D53" i="30"/>
  <c r="D54" i="30"/>
  <c r="D55" i="30"/>
  <c r="D56" i="30"/>
  <c r="D57" i="30"/>
  <c r="D58" i="30"/>
  <c r="D59" i="30"/>
  <c r="D60" i="30"/>
  <c r="D61" i="30"/>
  <c r="D37" i="30"/>
  <c r="C38" i="30"/>
  <c r="C39" i="30"/>
  <c r="C40" i="30"/>
  <c r="C41" i="30"/>
  <c r="C42" i="30"/>
  <c r="C43" i="30"/>
  <c r="C44" i="30"/>
  <c r="C45" i="30"/>
  <c r="C46" i="30"/>
  <c r="C47" i="30"/>
  <c r="C48" i="30"/>
  <c r="C49" i="30"/>
  <c r="C50" i="30"/>
  <c r="C51" i="30"/>
  <c r="C52" i="30"/>
  <c r="C53" i="30"/>
  <c r="C54" i="30"/>
  <c r="C55" i="30"/>
  <c r="C56" i="30"/>
  <c r="C57" i="30"/>
  <c r="C58" i="30"/>
  <c r="C59" i="30"/>
  <c r="C60" i="30"/>
  <c r="C61" i="30"/>
  <c r="C37" i="30"/>
  <c r="F25" i="30" l="1"/>
  <c r="F23" i="30"/>
  <c r="F22" i="30"/>
  <c r="F21" i="30"/>
  <c r="F20" i="30"/>
  <c r="F19" i="30"/>
  <c r="G1" i="30"/>
  <c r="X37" i="3" l="1"/>
  <c r="AI25" i="31" s="1"/>
  <c r="X38" i="3"/>
  <c r="AI26" i="31" s="1"/>
  <c r="X39" i="3"/>
  <c r="AI27" i="31" s="1"/>
  <c r="X40" i="3"/>
  <c r="AI28" i="31" s="1"/>
  <c r="AI2" i="31" l="1"/>
  <c r="E15" i="62"/>
  <c r="AM19" i="3" l="1"/>
  <c r="L9" i="49"/>
  <c r="L9" i="48"/>
  <c r="L10" i="49"/>
  <c r="L10" i="48"/>
  <c r="L13" i="49"/>
  <c r="L13" i="48"/>
  <c r="L12" i="49"/>
  <c r="L12" i="48"/>
  <c r="L15" i="49"/>
  <c r="L15" i="48"/>
  <c r="L11" i="48"/>
  <c r="L11" i="49"/>
  <c r="L14" i="49"/>
  <c r="L14" i="48"/>
  <c r="L8" i="49"/>
  <c r="L8" i="48"/>
  <c r="L17" i="48" l="1"/>
  <c r="L17" i="49"/>
  <c r="L16" i="49"/>
  <c r="L16" i="48"/>
  <c r="AB18" i="3" l="1"/>
  <c r="AB19" i="3"/>
  <c r="AB22" i="3"/>
  <c r="AB23" i="3"/>
  <c r="AB20" i="3"/>
  <c r="AB24" i="3"/>
  <c r="U16" i="82" l="1"/>
  <c r="AJ12" i="31"/>
  <c r="AK12" i="31"/>
  <c r="AC24" i="3"/>
  <c r="U15" i="82"/>
  <c r="AJ11" i="31"/>
  <c r="AC23" i="3"/>
  <c r="AK11" i="31"/>
  <c r="U12" i="82"/>
  <c r="AJ8" i="31"/>
  <c r="AK8" i="31"/>
  <c r="AC20" i="3"/>
  <c r="U11" i="82"/>
  <c r="AJ7" i="31"/>
  <c r="AK7" i="31"/>
  <c r="AC19" i="3"/>
  <c r="U14" i="82"/>
  <c r="AJ10" i="31"/>
  <c r="AK10" i="31"/>
  <c r="AC22" i="3"/>
  <c r="U10" i="82"/>
  <c r="AJ6" i="31"/>
  <c r="AK6" i="31"/>
  <c r="AC18" i="3"/>
  <c r="Y25" i="3"/>
  <c r="U17" i="81"/>
  <c r="Y22" i="3"/>
  <c r="U14" i="81"/>
  <c r="Y19" i="3"/>
  <c r="U11" i="81"/>
  <c r="Y18" i="3"/>
  <c r="U10" i="81"/>
  <c r="Y21" i="3"/>
  <c r="U13" i="81"/>
  <c r="Y16" i="3"/>
  <c r="N17" i="31"/>
  <c r="N16" i="31"/>
  <c r="L25" i="48"/>
  <c r="L25" i="49"/>
  <c r="L21" i="48"/>
  <c r="L21" i="49"/>
  <c r="L32" i="48"/>
  <c r="L32" i="49"/>
  <c r="L24" i="48"/>
  <c r="L24" i="49"/>
  <c r="L20" i="49"/>
  <c r="L20" i="48"/>
  <c r="L31" i="49"/>
  <c r="L31" i="48"/>
  <c r="L27" i="49"/>
  <c r="L27" i="48"/>
  <c r="L23" i="49"/>
  <c r="L23" i="48"/>
  <c r="L19" i="49"/>
  <c r="L19" i="48"/>
  <c r="L29" i="48"/>
  <c r="L29" i="49"/>
  <c r="L28" i="49"/>
  <c r="L28" i="48"/>
  <c r="L30" i="49"/>
  <c r="L30" i="48"/>
  <c r="L26" i="49"/>
  <c r="L26" i="48"/>
  <c r="L22" i="49"/>
  <c r="L22" i="48"/>
  <c r="L18" i="49"/>
  <c r="L18" i="48"/>
  <c r="U15" i="49"/>
  <c r="U16" i="49"/>
  <c r="U8" i="48"/>
  <c r="U11" i="48"/>
  <c r="U17" i="48"/>
  <c r="U11" i="49"/>
  <c r="U12" i="49"/>
  <c r="U14" i="49"/>
  <c r="U14" i="48"/>
  <c r="U13" i="48"/>
  <c r="U10" i="48"/>
  <c r="U10" i="49"/>
  <c r="W37" i="3"/>
  <c r="W33" i="3"/>
  <c r="W35" i="3"/>
  <c r="AB34" i="3"/>
  <c r="AB26" i="3"/>
  <c r="W38" i="3"/>
  <c r="AB38" i="3"/>
  <c r="AB30" i="3"/>
  <c r="W34" i="3"/>
  <c r="AB39" i="3"/>
  <c r="AB31" i="3"/>
  <c r="AB40" i="3"/>
  <c r="AB36" i="3"/>
  <c r="AB32" i="3"/>
  <c r="AB28" i="3"/>
  <c r="AB35" i="3"/>
  <c r="AB27" i="3"/>
  <c r="U9" i="81"/>
  <c r="W36" i="3"/>
  <c r="W39" i="3"/>
  <c r="U8" i="82"/>
  <c r="AB37" i="3"/>
  <c r="AB33" i="3"/>
  <c r="AB29" i="3"/>
  <c r="AB25" i="3"/>
  <c r="AB21" i="3"/>
  <c r="AB17" i="3"/>
  <c r="W40" i="3"/>
  <c r="U17" i="82" l="1"/>
  <c r="AJ13" i="31"/>
  <c r="AK13" i="31"/>
  <c r="AC25" i="3"/>
  <c r="U19" i="82"/>
  <c r="AJ15" i="31"/>
  <c r="AC27" i="3"/>
  <c r="AK15" i="31"/>
  <c r="U22" i="82"/>
  <c r="AJ18" i="31"/>
  <c r="AK18" i="31"/>
  <c r="AC30" i="3"/>
  <c r="U20" i="82"/>
  <c r="AJ16" i="31"/>
  <c r="AK16" i="31"/>
  <c r="AC28" i="3"/>
  <c r="U29" i="82"/>
  <c r="AJ25" i="31"/>
  <c r="AK25" i="31"/>
  <c r="AC37" i="3"/>
  <c r="U24" i="82"/>
  <c r="AJ20" i="31"/>
  <c r="AK20" i="31"/>
  <c r="AC32" i="3"/>
  <c r="U21" i="82"/>
  <c r="AJ17" i="31"/>
  <c r="AK17" i="31"/>
  <c r="AC29" i="3"/>
  <c r="U28" i="82"/>
  <c r="AK24" i="31"/>
  <c r="AJ24" i="31"/>
  <c r="AC36" i="3"/>
  <c r="U18" i="82"/>
  <c r="AJ14" i="31"/>
  <c r="AK14" i="31"/>
  <c r="AC26" i="3"/>
  <c r="U27" i="82"/>
  <c r="AC35" i="3"/>
  <c r="AJ23" i="31"/>
  <c r="AK23" i="31"/>
  <c r="U25" i="82"/>
  <c r="AJ21" i="31"/>
  <c r="AK21" i="31"/>
  <c r="AC33" i="3"/>
  <c r="U32" i="82"/>
  <c r="AJ28" i="31"/>
  <c r="AK28" i="31"/>
  <c r="AC40" i="3"/>
  <c r="U9" i="82"/>
  <c r="AK5" i="31"/>
  <c r="AJ5" i="31"/>
  <c r="AC17" i="3"/>
  <c r="U23" i="82"/>
  <c r="AC31" i="3"/>
  <c r="AJ19" i="31"/>
  <c r="AK19" i="31"/>
  <c r="U30" i="82"/>
  <c r="AJ26" i="31"/>
  <c r="AK26" i="31"/>
  <c r="AC38" i="3"/>
  <c r="U26" i="82"/>
  <c r="AJ22" i="31"/>
  <c r="AK22" i="31"/>
  <c r="AC34" i="3"/>
  <c r="U13" i="82"/>
  <c r="AJ9" i="31"/>
  <c r="AK9" i="31"/>
  <c r="AC21" i="3"/>
  <c r="U31" i="82"/>
  <c r="AJ27" i="31"/>
  <c r="AC39" i="3"/>
  <c r="AK27" i="31"/>
  <c r="Y24" i="3"/>
  <c r="U16" i="81"/>
  <c r="Y32" i="3"/>
  <c r="U24" i="81"/>
  <c r="Y40" i="3"/>
  <c r="U32" i="81"/>
  <c r="Y31" i="3"/>
  <c r="U23" i="81"/>
  <c r="Y39" i="3"/>
  <c r="U31" i="81"/>
  <c r="Y28" i="3"/>
  <c r="U20" i="81"/>
  <c r="Y36" i="3"/>
  <c r="U28" i="81"/>
  <c r="Y26" i="3"/>
  <c r="C69" i="31" s="1"/>
  <c r="U18" i="81"/>
  <c r="Y34" i="3"/>
  <c r="U26" i="81"/>
  <c r="Y29" i="3"/>
  <c r="U21" i="81"/>
  <c r="Y30" i="3"/>
  <c r="U22" i="81"/>
  <c r="Y38" i="3"/>
  <c r="U30" i="81"/>
  <c r="Y27" i="3"/>
  <c r="U19" i="81"/>
  <c r="Y35" i="3"/>
  <c r="U27" i="81"/>
  <c r="Y33" i="3"/>
  <c r="U25" i="81"/>
  <c r="Y37" i="3"/>
  <c r="U29" i="81"/>
  <c r="K16" i="83"/>
  <c r="Y17" i="81"/>
  <c r="K7" i="83"/>
  <c r="Y8" i="81"/>
  <c r="Y23" i="3"/>
  <c r="C68" i="31" s="1"/>
  <c r="U15" i="81"/>
  <c r="Y20" i="3"/>
  <c r="U12" i="81"/>
  <c r="AN22" i="82"/>
  <c r="AN22" i="81"/>
  <c r="AN23" i="82"/>
  <c r="AS19" i="82" s="1"/>
  <c r="AN23" i="81"/>
  <c r="K12" i="83"/>
  <c r="Y13" i="81"/>
  <c r="K9" i="83"/>
  <c r="Y10" i="81"/>
  <c r="K10" i="83"/>
  <c r="Y11" i="81"/>
  <c r="K13" i="83"/>
  <c r="Y14" i="81"/>
  <c r="Y15" i="82"/>
  <c r="Q14" i="83"/>
  <c r="Y12" i="82"/>
  <c r="Q11" i="83"/>
  <c r="Q10" i="51"/>
  <c r="Q10" i="83"/>
  <c r="Y11" i="82"/>
  <c r="Q13" i="83"/>
  <c r="Y14" i="82"/>
  <c r="Y10" i="82"/>
  <c r="Q9" i="83"/>
  <c r="Q15" i="83"/>
  <c r="Y16" i="82"/>
  <c r="Y17" i="3"/>
  <c r="C66" i="31" s="1"/>
  <c r="W14" i="3"/>
  <c r="AB14" i="3"/>
  <c r="D68" i="31"/>
  <c r="U21" i="49"/>
  <c r="K7" i="51"/>
  <c r="Y8" i="48"/>
  <c r="K10" i="51"/>
  <c r="Y11" i="48"/>
  <c r="Q15" i="51"/>
  <c r="Y16" i="49"/>
  <c r="U24" i="49"/>
  <c r="U22" i="49"/>
  <c r="U19" i="48"/>
  <c r="U16" i="48"/>
  <c r="U23" i="48"/>
  <c r="U9" i="48"/>
  <c r="K13" i="51"/>
  <c r="Y14" i="48"/>
  <c r="U28" i="49"/>
  <c r="U30" i="49"/>
  <c r="U27" i="48"/>
  <c r="U29" i="49"/>
  <c r="U20" i="48"/>
  <c r="K12" i="51"/>
  <c r="Y13" i="48"/>
  <c r="Q11" i="51"/>
  <c r="Y12" i="49"/>
  <c r="U27" i="49"/>
  <c r="U32" i="49"/>
  <c r="U18" i="48"/>
  <c r="U21" i="48"/>
  <c r="U26" i="49"/>
  <c r="U25" i="48"/>
  <c r="U29" i="48"/>
  <c r="AN16" i="49"/>
  <c r="AS13" i="49" s="1"/>
  <c r="AN18" i="83" s="1"/>
  <c r="AN16" i="48"/>
  <c r="U15" i="48"/>
  <c r="Y15" i="49"/>
  <c r="Q14" i="51"/>
  <c r="K16" i="51"/>
  <c r="Y17" i="48"/>
  <c r="U31" i="49"/>
  <c r="U30" i="48"/>
  <c r="U9" i="49"/>
  <c r="U25" i="49"/>
  <c r="U12" i="48"/>
  <c r="Q13" i="51"/>
  <c r="Y14" i="49"/>
  <c r="U19" i="49"/>
  <c r="U18" i="49"/>
  <c r="U24" i="48"/>
  <c r="U13" i="49"/>
  <c r="U31" i="48"/>
  <c r="U32" i="48"/>
  <c r="U17" i="49"/>
  <c r="U8" i="49"/>
  <c r="U28" i="48"/>
  <c r="Y11" i="49"/>
  <c r="U20" i="49"/>
  <c r="U23" i="49"/>
  <c r="U26" i="48"/>
  <c r="U22" i="48"/>
  <c r="AN15" i="48"/>
  <c r="AN15" i="49"/>
  <c r="K9" i="51"/>
  <c r="Y10" i="48"/>
  <c r="Q9" i="51"/>
  <c r="Y10" i="49"/>
  <c r="U39" i="82" l="1"/>
  <c r="AJ2" i="31"/>
  <c r="F21" i="94" s="1"/>
  <c r="AK2" i="31"/>
  <c r="F23" i="94" s="1"/>
  <c r="D67" i="31"/>
  <c r="C86" i="31" s="1"/>
  <c r="C67" i="31"/>
  <c r="C85" i="31" s="1"/>
  <c r="AS13" i="48"/>
  <c r="I20" i="31" s="1"/>
  <c r="C95" i="31"/>
  <c r="C94" i="31"/>
  <c r="C47" i="31"/>
  <c r="C48" i="31" s="1"/>
  <c r="C76" i="31"/>
  <c r="C77" i="31"/>
  <c r="R47" i="31"/>
  <c r="R48" i="31" s="1"/>
  <c r="C101" i="31"/>
  <c r="C100" i="31"/>
  <c r="M47" i="31"/>
  <c r="M58" i="31" s="1"/>
  <c r="M59" i="31" s="1"/>
  <c r="C92" i="31"/>
  <c r="C93" i="31"/>
  <c r="O47" i="31"/>
  <c r="O58" i="31" s="1"/>
  <c r="O59" i="31" s="1"/>
  <c r="N47" i="31"/>
  <c r="N58" i="31" s="1"/>
  <c r="D69" i="31"/>
  <c r="D66" i="31"/>
  <c r="U39" i="81"/>
  <c r="U13" i="83"/>
  <c r="U10" i="83"/>
  <c r="U9" i="83"/>
  <c r="K28" i="83"/>
  <c r="Y29" i="81"/>
  <c r="K24" i="83"/>
  <c r="Y25" i="81"/>
  <c r="K26" i="83"/>
  <c r="Y27" i="81"/>
  <c r="K18" i="83"/>
  <c r="Y19" i="81"/>
  <c r="K29" i="83"/>
  <c r="Y30" i="81"/>
  <c r="K21" i="83"/>
  <c r="Y22" i="81"/>
  <c r="K20" i="83"/>
  <c r="Y21" i="81"/>
  <c r="K25" i="83"/>
  <c r="Y26" i="81"/>
  <c r="K17" i="83"/>
  <c r="Y18" i="81"/>
  <c r="K27" i="83"/>
  <c r="Y28" i="81"/>
  <c r="K19" i="83"/>
  <c r="Y20" i="81"/>
  <c r="K30" i="83"/>
  <c r="Y31" i="81"/>
  <c r="K22" i="83"/>
  <c r="Y23" i="81"/>
  <c r="K31" i="83"/>
  <c r="Y32" i="81"/>
  <c r="K23" i="83"/>
  <c r="Y24" i="81"/>
  <c r="K15" i="83"/>
  <c r="U15" i="83" s="1"/>
  <c r="Y16" i="81"/>
  <c r="Y14" i="3"/>
  <c r="K8" i="83"/>
  <c r="Y9" i="81"/>
  <c r="AS19" i="81"/>
  <c r="K11" i="83"/>
  <c r="Y12" i="81"/>
  <c r="K14" i="83"/>
  <c r="U14" i="83" s="1"/>
  <c r="Y15" i="81"/>
  <c r="Y22" i="82"/>
  <c r="Q21" i="83"/>
  <c r="Y17" i="82"/>
  <c r="Q16" i="83"/>
  <c r="U16" i="83" s="1"/>
  <c r="Q29" i="83"/>
  <c r="Y30" i="82"/>
  <c r="Q22" i="83"/>
  <c r="Y23" i="82"/>
  <c r="Q31" i="83"/>
  <c r="Y32" i="82"/>
  <c r="Q30" i="83"/>
  <c r="Y31" i="82"/>
  <c r="Q19" i="83"/>
  <c r="Y20" i="82"/>
  <c r="Q26" i="83"/>
  <c r="Y27" i="82"/>
  <c r="Q27" i="83"/>
  <c r="Y28" i="82"/>
  <c r="Q8" i="83"/>
  <c r="Y9" i="82"/>
  <c r="Q23" i="83"/>
  <c r="Y24" i="82"/>
  <c r="Q28" i="83"/>
  <c r="Y29" i="82"/>
  <c r="Q24" i="83"/>
  <c r="Y25" i="82"/>
  <c r="Q18" i="83"/>
  <c r="Y19" i="82"/>
  <c r="Q12" i="83"/>
  <c r="U12" i="83" s="1"/>
  <c r="Y13" i="82"/>
  <c r="Q20" i="83"/>
  <c r="Y21" i="82"/>
  <c r="Q17" i="83"/>
  <c r="U17" i="83" s="1"/>
  <c r="Y18" i="82"/>
  <c r="Y26" i="82"/>
  <c r="Q25" i="83"/>
  <c r="Q7" i="83"/>
  <c r="Y8" i="82"/>
  <c r="AN13" i="51"/>
  <c r="K20" i="31"/>
  <c r="K33" i="31" s="1"/>
  <c r="J20" i="31"/>
  <c r="J33" i="31" s="1"/>
  <c r="AC14" i="3"/>
  <c r="U39" i="48"/>
  <c r="U39" i="49"/>
  <c r="U10" i="51"/>
  <c r="U13" i="51"/>
  <c r="K14" i="51"/>
  <c r="U14" i="51" s="1"/>
  <c r="Y15" i="48"/>
  <c r="K18" i="51"/>
  <c r="Y19" i="48"/>
  <c r="K25" i="51"/>
  <c r="Y26" i="48"/>
  <c r="Q8" i="51"/>
  <c r="Y9" i="49"/>
  <c r="Q16" i="51"/>
  <c r="U16" i="51" s="1"/>
  <c r="Y17" i="49"/>
  <c r="K26" i="51"/>
  <c r="Y27" i="48"/>
  <c r="K20" i="51"/>
  <c r="Y21" i="48"/>
  <c r="Q27" i="51"/>
  <c r="Y28" i="49"/>
  <c r="K21" i="51"/>
  <c r="Y22" i="48"/>
  <c r="K31" i="51"/>
  <c r="Y32" i="48"/>
  <c r="K17" i="51"/>
  <c r="Y18" i="48"/>
  <c r="Q19" i="51"/>
  <c r="Y20" i="49"/>
  <c r="K28" i="51"/>
  <c r="Y29" i="48"/>
  <c r="K27" i="51"/>
  <c r="Y28" i="48"/>
  <c r="K19" i="51"/>
  <c r="Y20" i="48"/>
  <c r="Y27" i="49"/>
  <c r="Q26" i="51"/>
  <c r="Q29" i="51"/>
  <c r="Y30" i="49"/>
  <c r="Q17" i="51"/>
  <c r="Y18" i="49"/>
  <c r="Y19" i="49"/>
  <c r="Q18" i="51"/>
  <c r="Q21" i="51"/>
  <c r="Y22" i="49"/>
  <c r="Y31" i="49"/>
  <c r="Q30" i="51"/>
  <c r="Q28" i="51"/>
  <c r="Y29" i="49"/>
  <c r="Q12" i="51"/>
  <c r="U12" i="51" s="1"/>
  <c r="Y13" i="49"/>
  <c r="K23" i="51"/>
  <c r="Y24" i="48"/>
  <c r="K29" i="51"/>
  <c r="Y30" i="48"/>
  <c r="Q24" i="51"/>
  <c r="Y25" i="49"/>
  <c r="Y8" i="49"/>
  <c r="Q7" i="51"/>
  <c r="K11" i="51"/>
  <c r="U11" i="51" s="1"/>
  <c r="Y12" i="48"/>
  <c r="K8" i="51"/>
  <c r="Y9" i="48"/>
  <c r="K15" i="51"/>
  <c r="U15" i="51" s="1"/>
  <c r="Y16" i="48"/>
  <c r="Q20" i="51"/>
  <c r="Y21" i="49"/>
  <c r="Q25" i="51"/>
  <c r="Y26" i="49"/>
  <c r="K30" i="51"/>
  <c r="Y31" i="48"/>
  <c r="Q31" i="51"/>
  <c r="Y32" i="49"/>
  <c r="Y23" i="49"/>
  <c r="Q22" i="51"/>
  <c r="K22" i="51"/>
  <c r="Y23" i="48"/>
  <c r="Q23" i="51"/>
  <c r="Y24" i="49"/>
  <c r="K24" i="51"/>
  <c r="Y25" i="48"/>
  <c r="U9" i="51"/>
  <c r="U19" i="83" l="1"/>
  <c r="U23" i="83"/>
  <c r="F25" i="94"/>
  <c r="C21" i="31"/>
  <c r="C22" i="31" s="1"/>
  <c r="D24" i="31" s="1"/>
  <c r="J47" i="31"/>
  <c r="J48" i="31" s="1"/>
  <c r="C87" i="31"/>
  <c r="I47" i="31"/>
  <c r="I58" i="31" s="1"/>
  <c r="C70" i="31"/>
  <c r="H47" i="31"/>
  <c r="H58" i="31" s="1"/>
  <c r="H59" i="31" s="1"/>
  <c r="C84" i="31"/>
  <c r="M84" i="31" s="1"/>
  <c r="R58" i="31"/>
  <c r="R59" i="31" s="1"/>
  <c r="C58" i="31"/>
  <c r="C59" i="31" s="1"/>
  <c r="M48" i="31"/>
  <c r="O48" i="31"/>
  <c r="U29" i="83"/>
  <c r="U8" i="83"/>
  <c r="C79" i="31"/>
  <c r="D70" i="31"/>
  <c r="C78" i="31"/>
  <c r="E92" i="31"/>
  <c r="I92" i="31"/>
  <c r="J92" i="31"/>
  <c r="K92" i="31"/>
  <c r="M92" i="31"/>
  <c r="H92" i="31"/>
  <c r="L92" i="31"/>
  <c r="N92" i="31"/>
  <c r="F92" i="31"/>
  <c r="G92" i="31"/>
  <c r="O92" i="31"/>
  <c r="S47" i="31"/>
  <c r="S58" i="31" s="1"/>
  <c r="C103" i="31"/>
  <c r="C102" i="31"/>
  <c r="E85" i="31"/>
  <c r="K85" i="31"/>
  <c r="L85" i="31"/>
  <c r="H85" i="31"/>
  <c r="J85" i="31"/>
  <c r="M85" i="31"/>
  <c r="F85" i="31"/>
  <c r="N85" i="31"/>
  <c r="G85" i="31"/>
  <c r="O85" i="31"/>
  <c r="I85" i="31"/>
  <c r="D47" i="31"/>
  <c r="D58" i="31" s="1"/>
  <c r="E100" i="31"/>
  <c r="M100" i="31"/>
  <c r="F100" i="31"/>
  <c r="N100" i="31"/>
  <c r="G100" i="31"/>
  <c r="O100" i="31"/>
  <c r="H100" i="31"/>
  <c r="I100" i="31"/>
  <c r="J100" i="31"/>
  <c r="K100" i="31"/>
  <c r="L100" i="31"/>
  <c r="E93" i="31"/>
  <c r="G93" i="31"/>
  <c r="O93" i="31"/>
  <c r="H93" i="31"/>
  <c r="I93" i="31"/>
  <c r="J93" i="31"/>
  <c r="L93" i="31"/>
  <c r="F93" i="31"/>
  <c r="K93" i="31"/>
  <c r="N93" i="31"/>
  <c r="M93" i="31"/>
  <c r="E47" i="31"/>
  <c r="E58" i="31" s="1"/>
  <c r="E59" i="31" s="1"/>
  <c r="E101" i="31"/>
  <c r="K101" i="31"/>
  <c r="L101" i="31"/>
  <c r="M101" i="31"/>
  <c r="N101" i="31"/>
  <c r="O101" i="31"/>
  <c r="F101" i="31"/>
  <c r="G101" i="31"/>
  <c r="I101" i="31"/>
  <c r="J101" i="31"/>
  <c r="H101" i="31"/>
  <c r="F77" i="31"/>
  <c r="O77" i="31"/>
  <c r="G77" i="31"/>
  <c r="H77" i="31"/>
  <c r="E77" i="31"/>
  <c r="I77" i="31"/>
  <c r="J77" i="31"/>
  <c r="K77" i="31"/>
  <c r="L77" i="31"/>
  <c r="M77" i="31"/>
  <c r="N77" i="31"/>
  <c r="G76" i="31"/>
  <c r="E76" i="31"/>
  <c r="F76" i="31"/>
  <c r="N76" i="31"/>
  <c r="L76" i="31"/>
  <c r="M76" i="31"/>
  <c r="O76" i="31"/>
  <c r="H76" i="31"/>
  <c r="I76" i="31"/>
  <c r="K76" i="31"/>
  <c r="J76" i="31"/>
  <c r="O60" i="31"/>
  <c r="T47" i="31"/>
  <c r="T48" i="31" s="1"/>
  <c r="M62" i="31"/>
  <c r="I34" i="87" s="1"/>
  <c r="U24" i="83"/>
  <c r="U27" i="83"/>
  <c r="U31" i="83"/>
  <c r="U20" i="83"/>
  <c r="U28" i="83"/>
  <c r="U26" i="83"/>
  <c r="U22" i="83"/>
  <c r="U21" i="83"/>
  <c r="U25" i="83"/>
  <c r="U18" i="83"/>
  <c r="U30" i="83"/>
  <c r="Y39" i="81"/>
  <c r="U11" i="83"/>
  <c r="K38" i="83"/>
  <c r="Y39" i="82"/>
  <c r="AS7" i="82" s="1"/>
  <c r="AS41" i="82" s="1"/>
  <c r="U7" i="83"/>
  <c r="Q38" i="83"/>
  <c r="I33" i="31"/>
  <c r="AA18" i="83"/>
  <c r="Y39" i="48"/>
  <c r="AO8" i="48" s="1"/>
  <c r="K38" i="51"/>
  <c r="D21" i="31"/>
  <c r="E21" i="31"/>
  <c r="E22" i="31" s="1"/>
  <c r="Q38" i="51"/>
  <c r="Y39" i="49"/>
  <c r="U7" i="51"/>
  <c r="AA13" i="51"/>
  <c r="BA13" i="51" s="1"/>
  <c r="U31" i="51"/>
  <c r="U23" i="51"/>
  <c r="U28" i="51"/>
  <c r="U20" i="51"/>
  <c r="U25" i="51"/>
  <c r="U22" i="51"/>
  <c r="U18" i="51"/>
  <c r="U21" i="51"/>
  <c r="U26" i="51"/>
  <c r="U17" i="51"/>
  <c r="U19" i="51"/>
  <c r="U30" i="51"/>
  <c r="U24" i="51"/>
  <c r="U27" i="51"/>
  <c r="U29" i="51"/>
  <c r="U8" i="51"/>
  <c r="D23" i="31" l="1"/>
  <c r="AU32" i="87"/>
  <c r="D25" i="31"/>
  <c r="I21" i="31"/>
  <c r="I34" i="31" s="1"/>
  <c r="H48" i="31"/>
  <c r="H51" i="31" s="1"/>
  <c r="AK16" i="86" s="1"/>
  <c r="K84" i="31"/>
  <c r="J58" i="31"/>
  <c r="J59" i="31" s="1"/>
  <c r="J60" i="31" s="1"/>
  <c r="H84" i="31"/>
  <c r="O84" i="31"/>
  <c r="N84" i="31"/>
  <c r="I84" i="31"/>
  <c r="F84" i="31"/>
  <c r="J84" i="31"/>
  <c r="G84" i="31"/>
  <c r="L84" i="31"/>
  <c r="E84" i="31"/>
  <c r="C62" i="31"/>
  <c r="I16" i="87" s="1"/>
  <c r="O49" i="31"/>
  <c r="M51" i="31"/>
  <c r="I34" i="86" s="1"/>
  <c r="AU32" i="86"/>
  <c r="R51" i="31"/>
  <c r="AK34" i="86" s="1"/>
  <c r="T49" i="31"/>
  <c r="T58" i="31"/>
  <c r="T59" i="31" s="1"/>
  <c r="R62" i="31" s="1"/>
  <c r="AK34" i="87" s="1"/>
  <c r="S48" i="31"/>
  <c r="R50" i="31" s="1"/>
  <c r="S59" i="31"/>
  <c r="R61" i="31" s="1"/>
  <c r="AK32" i="87" s="1"/>
  <c r="E48" i="31"/>
  <c r="K102" i="31"/>
  <c r="L102" i="31"/>
  <c r="M102" i="31"/>
  <c r="N102" i="31"/>
  <c r="F102" i="31"/>
  <c r="I102" i="31"/>
  <c r="E102" i="31"/>
  <c r="O102" i="31"/>
  <c r="H102" i="31"/>
  <c r="G102" i="31"/>
  <c r="J102" i="31"/>
  <c r="H103" i="31"/>
  <c r="I103" i="31"/>
  <c r="J103" i="31"/>
  <c r="L103" i="31"/>
  <c r="E103" i="31"/>
  <c r="N103" i="31"/>
  <c r="G103" i="31"/>
  <c r="F103" i="31"/>
  <c r="K103" i="31"/>
  <c r="M103" i="31"/>
  <c r="O103" i="31"/>
  <c r="E60" i="31"/>
  <c r="AO10" i="81"/>
  <c r="AS7" i="81"/>
  <c r="AS41" i="81" s="1"/>
  <c r="AO10" i="82"/>
  <c r="U38" i="83"/>
  <c r="Q41" i="83"/>
  <c r="BA18" i="83"/>
  <c r="U38" i="51"/>
  <c r="AS6" i="48"/>
  <c r="K21" i="31"/>
  <c r="AO8" i="49"/>
  <c r="AS6" i="49"/>
  <c r="E24" i="31"/>
  <c r="E23" i="31"/>
  <c r="Q41" i="51"/>
  <c r="I35" i="31"/>
  <c r="J21" i="31"/>
  <c r="J49" i="31" l="1"/>
  <c r="H62" i="31"/>
  <c r="AK16" i="87" s="1"/>
  <c r="S49" i="31"/>
  <c r="T60" i="31"/>
  <c r="S60" i="31"/>
  <c r="C51" i="31"/>
  <c r="I16" i="86" s="1"/>
  <c r="E49" i="31"/>
  <c r="AK32" i="86"/>
  <c r="R63" i="31"/>
  <c r="R52" i="31"/>
  <c r="AS41" i="48"/>
  <c r="B4" i="31" s="1"/>
  <c r="C4" i="31" s="1"/>
  <c r="F4" i="31" s="1"/>
  <c r="AA9" i="83"/>
  <c r="AA29" i="83" s="1"/>
  <c r="AS41" i="49"/>
  <c r="B7" i="31" s="1"/>
  <c r="B12" i="31" s="1"/>
  <c r="C12" i="31" s="1"/>
  <c r="F12" i="31" s="1"/>
  <c r="AN9" i="83"/>
  <c r="AA7" i="51"/>
  <c r="AA29" i="51" s="1"/>
  <c r="D29" i="31"/>
  <c r="AN7" i="51"/>
  <c r="AN29" i="51" s="1"/>
  <c r="J34" i="31"/>
  <c r="K22" i="31"/>
  <c r="K34" i="31"/>
  <c r="K35" i="31" s="1"/>
  <c r="K36" i="31" s="1"/>
  <c r="I22" i="31"/>
  <c r="AK36" i="87" l="1"/>
  <c r="AK36" i="86"/>
  <c r="K23" i="31"/>
  <c r="D31" i="31"/>
  <c r="C7" i="31"/>
  <c r="G7" i="31" s="1"/>
  <c r="AN29" i="83"/>
  <c r="BA29" i="83" s="1"/>
  <c r="BA9" i="83"/>
  <c r="BA29" i="51"/>
  <c r="AQ28" i="64" s="1"/>
  <c r="BA7" i="51"/>
  <c r="G12" i="31"/>
  <c r="J12" i="31"/>
  <c r="M12" i="31"/>
  <c r="L12" i="31"/>
  <c r="H12" i="31"/>
  <c r="I12" i="31"/>
  <c r="O12" i="31"/>
  <c r="N12" i="31"/>
  <c r="K12" i="31"/>
  <c r="V34" i="76"/>
  <c r="G4" i="31"/>
  <c r="K4" i="31"/>
  <c r="O4" i="31"/>
  <c r="L4" i="31"/>
  <c r="I4" i="31"/>
  <c r="M4" i="31"/>
  <c r="J4" i="31"/>
  <c r="N4" i="31"/>
  <c r="H4" i="31"/>
  <c r="K24" i="31"/>
  <c r="V34" i="75" l="1"/>
  <c r="V30" i="64"/>
  <c r="H7" i="31"/>
  <c r="F7" i="31"/>
  <c r="I7" i="31"/>
  <c r="K7" i="31"/>
  <c r="L7" i="31"/>
  <c r="J7" i="31"/>
  <c r="N7" i="31"/>
  <c r="M7" i="31"/>
  <c r="O7" i="31"/>
  <c r="AQ32" i="75"/>
  <c r="K4" i="68"/>
  <c r="AQ32" i="76"/>
  <c r="V30" i="52"/>
  <c r="AQ28" i="52"/>
  <c r="F37" i="68" l="1"/>
  <c r="G14" i="62"/>
  <c r="G13" i="62"/>
  <c r="E13" i="62" l="1"/>
  <c r="AM17" i="3"/>
  <c r="E14" i="62"/>
  <c r="AM18" i="3"/>
  <c r="B95" i="31" l="1"/>
  <c r="B94" i="31"/>
  <c r="B87" i="31"/>
  <c r="B86" i="31"/>
  <c r="S35" i="86"/>
  <c r="S32" i="86" s="1"/>
  <c r="S35" i="87"/>
  <c r="S32" i="87" s="1"/>
  <c r="AU17" i="86"/>
  <c r="AU14" i="86" s="1"/>
  <c r="AU17" i="87"/>
  <c r="AU14" i="87" s="1"/>
  <c r="AV18" i="3"/>
  <c r="AV17" i="3"/>
  <c r="N45" i="31"/>
  <c r="AT18" i="3"/>
  <c r="AS18" i="3"/>
  <c r="AT17" i="3"/>
  <c r="AS17" i="3"/>
  <c r="I45" i="31"/>
  <c r="AN34" i="3"/>
  <c r="AL34" i="3" s="1"/>
  <c r="AO34" i="3" s="1"/>
  <c r="AL24" i="3"/>
  <c r="AO24" i="3" s="1"/>
  <c r="AV24" i="3" s="1"/>
  <c r="AN33" i="3"/>
  <c r="AL33" i="3" s="1"/>
  <c r="AO33" i="3" s="1"/>
  <c r="AV33" i="3" s="1"/>
  <c r="AN32" i="3"/>
  <c r="AL32" i="3" s="1"/>
  <c r="AO32" i="3" s="1"/>
  <c r="AV32" i="3" s="1"/>
  <c r="AL28" i="3"/>
  <c r="AO28" i="3" s="1"/>
  <c r="AV28" i="3" s="1"/>
  <c r="AL21" i="3"/>
  <c r="AO21" i="3" s="1"/>
  <c r="AV21" i="3" s="1"/>
  <c r="AL29" i="3"/>
  <c r="AO29" i="3" s="1"/>
  <c r="AL23" i="3"/>
  <c r="AO23" i="3" s="1"/>
  <c r="AV23" i="3" s="1"/>
  <c r="AL25" i="3"/>
  <c r="AO25" i="3" s="1"/>
  <c r="AV25" i="3" s="1"/>
  <c r="AL22" i="3"/>
  <c r="AL27" i="3"/>
  <c r="AO27" i="3" s="1"/>
  <c r="AN31" i="3"/>
  <c r="AL31" i="3" s="1"/>
  <c r="AO31" i="3" s="1"/>
  <c r="AV31" i="3" s="1"/>
  <c r="AN35" i="3"/>
  <c r="AL35" i="3" s="1"/>
  <c r="AO35" i="3" s="1"/>
  <c r="AN30" i="3"/>
  <c r="AL30" i="3" s="1"/>
  <c r="AO30" i="3" s="1"/>
  <c r="AV30" i="3" s="1"/>
  <c r="AN36" i="3"/>
  <c r="AL36" i="3" s="1"/>
  <c r="AO36" i="3" s="1"/>
  <c r="AV36" i="3" s="1"/>
  <c r="AN39" i="3"/>
  <c r="AL39" i="3" s="1"/>
  <c r="AO39" i="3" s="1"/>
  <c r="AV39" i="3" s="1"/>
  <c r="AN37" i="3"/>
  <c r="AL37" i="3" s="1"/>
  <c r="AO37" i="3" s="1"/>
  <c r="AN38" i="3"/>
  <c r="AL38" i="3" s="1"/>
  <c r="AO38" i="3" s="1"/>
  <c r="AV38" i="3" s="1"/>
  <c r="AN40" i="3"/>
  <c r="AL40" i="3" s="1"/>
  <c r="AO40" i="3" s="1"/>
  <c r="AV40" i="3" s="1"/>
  <c r="AN43" i="3"/>
  <c r="AL43" i="3" s="1"/>
  <c r="AO43" i="3" s="1"/>
  <c r="AN44" i="3"/>
  <c r="AL44" i="3" s="1"/>
  <c r="AO44" i="3" s="1"/>
  <c r="AV44" i="3" s="1"/>
  <c r="AN42" i="3"/>
  <c r="AL42" i="3" s="1"/>
  <c r="AO42" i="3" s="1"/>
  <c r="AV42" i="3" s="1"/>
  <c r="AN41" i="3"/>
  <c r="AL41" i="3" s="1"/>
  <c r="AO41" i="3" s="1"/>
  <c r="AV41" i="3" s="1"/>
  <c r="AN45" i="3"/>
  <c r="AL45" i="3" s="1"/>
  <c r="AO45" i="3" s="1"/>
  <c r="AV45" i="3" s="1"/>
  <c r="AL26" i="3"/>
  <c r="AO26" i="3" s="1"/>
  <c r="AV26" i="3" s="1"/>
  <c r="AL20" i="3"/>
  <c r="AO20" i="3" s="1"/>
  <c r="AV20" i="3" s="1"/>
  <c r="F86" i="31" l="1"/>
  <c r="N86" i="31"/>
  <c r="L86" i="31"/>
  <c r="G86" i="31"/>
  <c r="O86" i="31"/>
  <c r="K86" i="31"/>
  <c r="M86" i="31"/>
  <c r="H86" i="31"/>
  <c r="I86" i="31"/>
  <c r="J86" i="31"/>
  <c r="L87" i="31"/>
  <c r="H87" i="31"/>
  <c r="M87" i="31"/>
  <c r="F87" i="31"/>
  <c r="N87" i="31"/>
  <c r="K87" i="31"/>
  <c r="G87" i="31"/>
  <c r="O87" i="31"/>
  <c r="I87" i="31"/>
  <c r="J87" i="31"/>
  <c r="E86" i="31"/>
  <c r="E87" i="31"/>
  <c r="E94" i="31"/>
  <c r="F94" i="31"/>
  <c r="G94" i="31"/>
  <c r="H94" i="31"/>
  <c r="I94" i="31"/>
  <c r="J94" i="31"/>
  <c r="K94" i="31"/>
  <c r="L94" i="31"/>
  <c r="M94" i="31"/>
  <c r="N94" i="31"/>
  <c r="O94" i="31"/>
  <c r="E95" i="31"/>
  <c r="F95" i="31"/>
  <c r="G95" i="31"/>
  <c r="H95" i="31"/>
  <c r="I95" i="31"/>
  <c r="J95" i="31"/>
  <c r="K95" i="31"/>
  <c r="L95" i="31"/>
  <c r="M95" i="31"/>
  <c r="N95" i="31"/>
  <c r="O95" i="31"/>
  <c r="AV35" i="3"/>
  <c r="AV34" i="3"/>
  <c r="N48" i="31"/>
  <c r="N56" i="31"/>
  <c r="N59" i="31" s="1"/>
  <c r="I48" i="31"/>
  <c r="I49" i="31" s="1"/>
  <c r="I56" i="31"/>
  <c r="I59" i="31" s="1"/>
  <c r="AQ18" i="3"/>
  <c r="AW18" i="3" s="1"/>
  <c r="AL14" i="3"/>
  <c r="AV37" i="3"/>
  <c r="AR37" i="3"/>
  <c r="AV29" i="3"/>
  <c r="AR29" i="3"/>
  <c r="AV43" i="3"/>
  <c r="AR43" i="3"/>
  <c r="AV27" i="3"/>
  <c r="AR27" i="3"/>
  <c r="AO22" i="3"/>
  <c r="AV22" i="3" s="1"/>
  <c r="AR24" i="3"/>
  <c r="AQ17" i="3"/>
  <c r="AW17" i="3" s="1"/>
  <c r="AR33" i="3"/>
  <c r="AM16" i="3"/>
  <c r="G12" i="62"/>
  <c r="E12" i="62"/>
  <c r="AT20" i="3"/>
  <c r="AS20" i="3"/>
  <c r="AR20" i="3"/>
  <c r="AK20" i="3"/>
  <c r="G16" i="62" s="1"/>
  <c r="E16" i="62"/>
  <c r="AM20" i="3"/>
  <c r="AT26" i="3"/>
  <c r="AR26" i="3"/>
  <c r="AS26" i="3"/>
  <c r="AK26" i="3"/>
  <c r="G22" i="62" s="1"/>
  <c r="AM26" i="3"/>
  <c r="E22" i="62"/>
  <c r="AT45" i="3"/>
  <c r="AR45" i="3"/>
  <c r="AS45" i="3"/>
  <c r="AM45" i="3"/>
  <c r="AK45" i="3"/>
  <c r="AR41" i="3"/>
  <c r="AS41" i="3"/>
  <c r="AT41" i="3"/>
  <c r="AM41" i="3"/>
  <c r="AK41" i="3"/>
  <c r="AR42" i="3"/>
  <c r="AT42" i="3"/>
  <c r="AS42" i="3"/>
  <c r="AM42" i="3"/>
  <c r="AK42" i="3"/>
  <c r="AR44" i="3"/>
  <c r="AT44" i="3"/>
  <c r="AS44" i="3"/>
  <c r="AM44" i="3"/>
  <c r="AK44" i="3"/>
  <c r="AT43" i="3"/>
  <c r="AS43" i="3"/>
  <c r="AM43" i="3"/>
  <c r="AK43" i="3"/>
  <c r="AR40" i="3"/>
  <c r="AT40" i="3"/>
  <c r="AS40" i="3"/>
  <c r="AM40" i="3"/>
  <c r="AK40" i="3"/>
  <c r="AR38" i="3"/>
  <c r="AS38" i="3"/>
  <c r="AT38" i="3"/>
  <c r="AM38" i="3"/>
  <c r="AK38" i="3"/>
  <c r="AT37" i="3"/>
  <c r="AS37" i="3"/>
  <c r="AM37" i="3"/>
  <c r="AK37" i="3"/>
  <c r="AR39" i="3"/>
  <c r="AT39" i="3"/>
  <c r="AS39" i="3"/>
  <c r="AM39" i="3"/>
  <c r="AK39" i="3"/>
  <c r="AS36" i="3"/>
  <c r="AR36" i="3"/>
  <c r="AT36" i="3"/>
  <c r="AM36" i="3"/>
  <c r="AK36" i="3"/>
  <c r="G32" i="62" s="1"/>
  <c r="AR30" i="3"/>
  <c r="AT30" i="3"/>
  <c r="AS30" i="3"/>
  <c r="AK30" i="3"/>
  <c r="G26" i="62" s="1"/>
  <c r="AM30" i="3"/>
  <c r="E26" i="62"/>
  <c r="AT35" i="3"/>
  <c r="AR35" i="3"/>
  <c r="AS35" i="3"/>
  <c r="AK35" i="3"/>
  <c r="G31" i="62" s="1"/>
  <c r="AM35" i="3"/>
  <c r="E31" i="62"/>
  <c r="AR31" i="3"/>
  <c r="AT31" i="3"/>
  <c r="AS31" i="3"/>
  <c r="AK31" i="3"/>
  <c r="G27" i="62" s="1"/>
  <c r="AM31" i="3"/>
  <c r="E27" i="62"/>
  <c r="AT27" i="3"/>
  <c r="AS27" i="3"/>
  <c r="AK27" i="3"/>
  <c r="G23" i="62" s="1"/>
  <c r="AM27" i="3"/>
  <c r="E23" i="62"/>
  <c r="AK22" i="3"/>
  <c r="G18" i="62" s="1"/>
  <c r="AM22" i="3"/>
  <c r="E18" i="62"/>
  <c r="AT25" i="3"/>
  <c r="AR25" i="3"/>
  <c r="AS25" i="3"/>
  <c r="AK25" i="3"/>
  <c r="G21" i="62" s="1"/>
  <c r="AM25" i="3"/>
  <c r="E21" i="62"/>
  <c r="AT23" i="3"/>
  <c r="AR23" i="3"/>
  <c r="AS23" i="3"/>
  <c r="AK23" i="3"/>
  <c r="G19" i="62" s="1"/>
  <c r="AM23" i="3"/>
  <c r="E19" i="62"/>
  <c r="AT29" i="3"/>
  <c r="AS29" i="3"/>
  <c r="AK29" i="3"/>
  <c r="G25" i="62" s="1"/>
  <c r="AM29" i="3"/>
  <c r="E25" i="62"/>
  <c r="AT21" i="3"/>
  <c r="AR21" i="3"/>
  <c r="AS21" i="3"/>
  <c r="AK21" i="3"/>
  <c r="G17" i="62" s="1"/>
  <c r="AM21" i="3"/>
  <c r="E17" i="62"/>
  <c r="AR28" i="3"/>
  <c r="AS28" i="3"/>
  <c r="AT28" i="3"/>
  <c r="AK28" i="3"/>
  <c r="G24" i="62" s="1"/>
  <c r="AM28" i="3"/>
  <c r="E24" i="62"/>
  <c r="AT32" i="3"/>
  <c r="AR32" i="3"/>
  <c r="AS32" i="3"/>
  <c r="AK32" i="3"/>
  <c r="G28" i="62" s="1"/>
  <c r="AM32" i="3"/>
  <c r="E28" i="62"/>
  <c r="AT33" i="3"/>
  <c r="AS33" i="3"/>
  <c r="AK33" i="3"/>
  <c r="G29" i="62" s="1"/>
  <c r="AM33" i="3"/>
  <c r="E29" i="62"/>
  <c r="AT24" i="3"/>
  <c r="AS24" i="3"/>
  <c r="AK24" i="3"/>
  <c r="G20" i="62" s="1"/>
  <c r="AM24" i="3"/>
  <c r="E20" i="62"/>
  <c r="AS34" i="3"/>
  <c r="AR34" i="3"/>
  <c r="AT34" i="3"/>
  <c r="AK34" i="3"/>
  <c r="G30" i="62" s="1"/>
  <c r="AM34" i="3"/>
  <c r="E30" i="62"/>
  <c r="H56" i="90" l="1"/>
  <c r="F53" i="89"/>
  <c r="G54" i="89" s="1"/>
  <c r="J9" i="89" s="1"/>
  <c r="H55" i="90"/>
  <c r="B79" i="31"/>
  <c r="B78" i="31"/>
  <c r="E78" i="31" s="1"/>
  <c r="S17" i="86"/>
  <c r="S14" i="86" s="1"/>
  <c r="S17" i="87"/>
  <c r="S14" i="87" s="1"/>
  <c r="D45" i="31"/>
  <c r="M61" i="31"/>
  <c r="N60" i="31"/>
  <c r="H61" i="31"/>
  <c r="I60" i="31"/>
  <c r="M50" i="31"/>
  <c r="N49" i="31"/>
  <c r="H50" i="31"/>
  <c r="AK14" i="3"/>
  <c r="E18" i="30"/>
  <c r="F18" i="30" s="1"/>
  <c r="AT22" i="3"/>
  <c r="I6" i="31"/>
  <c r="I8" i="31" s="1"/>
  <c r="AR22" i="3"/>
  <c r="G42" i="73"/>
  <c r="F41" i="71"/>
  <c r="F42" i="71" s="1"/>
  <c r="F56" i="71" s="1"/>
  <c r="E11" i="31"/>
  <c r="E13" i="31" s="1"/>
  <c r="D3" i="79"/>
  <c r="E33" i="62"/>
  <c r="N6" i="31"/>
  <c r="N8" i="31" s="1"/>
  <c r="L11" i="31"/>
  <c r="L13" i="31" s="1"/>
  <c r="F6" i="31"/>
  <c r="F8" i="31" s="1"/>
  <c r="N11" i="31"/>
  <c r="N13" i="31" s="1"/>
  <c r="G41" i="73"/>
  <c r="AR5" i="52"/>
  <c r="AG28" i="52" s="1"/>
  <c r="AQ34" i="52" s="1"/>
  <c r="J11" i="31"/>
  <c r="J13" i="31" s="1"/>
  <c r="K6" i="31"/>
  <c r="K8" i="31" s="1"/>
  <c r="J6" i="31"/>
  <c r="J8" i="31" s="1"/>
  <c r="M6" i="31"/>
  <c r="M8" i="31" s="1"/>
  <c r="B32" i="31"/>
  <c r="B33" i="31" s="1"/>
  <c r="G6" i="31"/>
  <c r="G8" i="31" s="1"/>
  <c r="K11" i="31"/>
  <c r="K13" i="31" s="1"/>
  <c r="AG7" i="76"/>
  <c r="AR7" i="76" s="1"/>
  <c r="I11" i="31"/>
  <c r="I13" i="31" s="1"/>
  <c r="F11" i="31"/>
  <c r="F13" i="31" s="1"/>
  <c r="AQ35" i="3"/>
  <c r="AW35" i="3" s="1"/>
  <c r="H6" i="31"/>
  <c r="H8" i="31" s="1"/>
  <c r="AQ32" i="3"/>
  <c r="AW32" i="3" s="1"/>
  <c r="AQ21" i="3"/>
  <c r="AW21" i="3" s="1"/>
  <c r="AS22" i="3"/>
  <c r="F38" i="68"/>
  <c r="F39" i="68" s="1"/>
  <c r="E6" i="31"/>
  <c r="E8" i="31" s="1"/>
  <c r="L6" i="31"/>
  <c r="L8" i="31" s="1"/>
  <c r="O6" i="31"/>
  <c r="O8" i="31" s="1"/>
  <c r="AQ43" i="3"/>
  <c r="AW43" i="3" s="1"/>
  <c r="AQ26" i="3"/>
  <c r="AW26" i="3" s="1"/>
  <c r="AQ37" i="3"/>
  <c r="AW37" i="3" s="1"/>
  <c r="AQ29" i="3"/>
  <c r="AW29" i="3" s="1"/>
  <c r="H11" i="31"/>
  <c r="H13" i="31" s="1"/>
  <c r="AQ24" i="3"/>
  <c r="AW24" i="3" s="1"/>
  <c r="G11" i="31"/>
  <c r="G13" i="31" s="1"/>
  <c r="M11" i="31"/>
  <c r="M13" i="31" s="1"/>
  <c r="O11" i="31"/>
  <c r="O13" i="31" s="1"/>
  <c r="AQ27" i="3"/>
  <c r="AW27" i="3" s="1"/>
  <c r="AQ30" i="3"/>
  <c r="AW30" i="3" s="1"/>
  <c r="AQ40" i="3"/>
  <c r="AW40" i="3" s="1"/>
  <c r="AQ45" i="3"/>
  <c r="AW45" i="3" s="1"/>
  <c r="AQ33" i="3"/>
  <c r="AW33" i="3" s="1"/>
  <c r="AQ39" i="3"/>
  <c r="AW39" i="3" s="1"/>
  <c r="AQ25" i="3"/>
  <c r="AW25" i="3" s="1"/>
  <c r="AQ23" i="3"/>
  <c r="AW23" i="3" s="1"/>
  <c r="AQ42" i="3"/>
  <c r="AW42" i="3" s="1"/>
  <c r="AQ44" i="3"/>
  <c r="AW44" i="3" s="1"/>
  <c r="AQ31" i="3"/>
  <c r="AW31" i="3" s="1"/>
  <c r="AQ20" i="3"/>
  <c r="AW20" i="3" s="1"/>
  <c r="AS16" i="3"/>
  <c r="AV16" i="3"/>
  <c r="AQ34" i="3"/>
  <c r="AW34" i="3" s="1"/>
  <c r="AQ28" i="3"/>
  <c r="AW28" i="3" s="1"/>
  <c r="AQ36" i="3"/>
  <c r="AW36" i="3" s="1"/>
  <c r="AQ38" i="3"/>
  <c r="AW38" i="3" s="1"/>
  <c r="AQ41" i="3"/>
  <c r="AW41" i="3" s="1"/>
  <c r="AO14" i="3"/>
  <c r="AT16" i="3"/>
  <c r="AM14" i="3"/>
  <c r="N5" i="52" l="1"/>
  <c r="I7" i="76" s="1"/>
  <c r="C12" i="79"/>
  <c r="E12" i="79" s="1"/>
  <c r="L20" i="92"/>
  <c r="O20" i="92" s="1"/>
  <c r="O32" i="92" s="1"/>
  <c r="O33" i="92" s="1"/>
  <c r="O34" i="92" s="1"/>
  <c r="D16" i="92" s="1"/>
  <c r="H57" i="90"/>
  <c r="E35" i="62"/>
  <c r="J7" i="62" s="1"/>
  <c r="G33" i="62"/>
  <c r="G35" i="62" s="1"/>
  <c r="J5" i="62" s="1"/>
  <c r="J6" i="62" s="1"/>
  <c r="G78" i="31"/>
  <c r="H78" i="31"/>
  <c r="F78" i="31"/>
  <c r="I78" i="31"/>
  <c r="J78" i="31"/>
  <c r="K78" i="31"/>
  <c r="L78" i="31"/>
  <c r="M78" i="31"/>
  <c r="N78" i="31"/>
  <c r="O78" i="31"/>
  <c r="F79" i="31"/>
  <c r="G79" i="31"/>
  <c r="H79" i="31"/>
  <c r="I79" i="31"/>
  <c r="J79" i="31"/>
  <c r="K79" i="31"/>
  <c r="L79" i="31"/>
  <c r="M79" i="31"/>
  <c r="N79" i="31"/>
  <c r="O79" i="31"/>
  <c r="E79" i="31"/>
  <c r="M63" i="31"/>
  <c r="I36" i="87" s="1"/>
  <c r="I32" i="87"/>
  <c r="H63" i="31"/>
  <c r="AK18" i="87" s="1"/>
  <c r="AK14" i="87"/>
  <c r="AK14" i="86"/>
  <c r="M52" i="31"/>
  <c r="I32" i="86"/>
  <c r="H52" i="31"/>
  <c r="D48" i="31"/>
  <c r="D56" i="31"/>
  <c r="D59" i="31" s="1"/>
  <c r="D60" i="31" s="1"/>
  <c r="O6" i="68"/>
  <c r="O7" i="68" s="1"/>
  <c r="F10" i="68" s="1"/>
  <c r="J9" i="71"/>
  <c r="J10" i="71" s="1"/>
  <c r="F60" i="71" s="1"/>
  <c r="J11" i="71"/>
  <c r="F26" i="30"/>
  <c r="AT14" i="3"/>
  <c r="G2" i="3" s="1"/>
  <c r="AQ22" i="3"/>
  <c r="AW22" i="3" s="1"/>
  <c r="AR14" i="3"/>
  <c r="E2" i="3" s="1"/>
  <c r="G43" i="73"/>
  <c r="G57" i="73" s="1"/>
  <c r="K9" i="73" s="1"/>
  <c r="AQ32" i="52"/>
  <c r="AS14" i="3"/>
  <c r="F2" i="3" s="1"/>
  <c r="H4" i="68"/>
  <c r="K8" i="68" s="1"/>
  <c r="AQ16" i="3"/>
  <c r="AW16" i="3" s="1"/>
  <c r="R7" i="76"/>
  <c r="AG32" i="76"/>
  <c r="AM9" i="76"/>
  <c r="AL12" i="3"/>
  <c r="B2" i="3"/>
  <c r="M9" i="76" l="1"/>
  <c r="D11" i="76" s="1"/>
  <c r="M11" i="76" s="1"/>
  <c r="Z5" i="52"/>
  <c r="J10" i="30"/>
  <c r="J11" i="30" s="1"/>
  <c r="J12" i="30"/>
  <c r="J13" i="30" s="1"/>
  <c r="J10" i="89"/>
  <c r="J19" i="31" s="1"/>
  <c r="J22" i="31" s="1"/>
  <c r="J24" i="31" s="1"/>
  <c r="J11" i="89"/>
  <c r="L11" i="90"/>
  <c r="L9" i="90"/>
  <c r="L10" i="90" s="1"/>
  <c r="G8" i="62"/>
  <c r="I36" i="86"/>
  <c r="AK18" i="86"/>
  <c r="C61" i="31"/>
  <c r="C50" i="31"/>
  <c r="D49" i="31"/>
  <c r="J12" i="71"/>
  <c r="F58" i="71"/>
  <c r="J8" i="62"/>
  <c r="E8" i="62" s="1"/>
  <c r="K11" i="73"/>
  <c r="AQ14" i="3"/>
  <c r="AQ36" i="76"/>
  <c r="AQ38" i="76"/>
  <c r="J25" i="31" l="1"/>
  <c r="J23" i="31"/>
  <c r="V32" i="75" s="1"/>
  <c r="F59" i="89"/>
  <c r="N5" i="64"/>
  <c r="J12" i="89"/>
  <c r="L12" i="90"/>
  <c r="H59" i="90" s="1"/>
  <c r="H61" i="90"/>
  <c r="I14" i="87"/>
  <c r="C63" i="31"/>
  <c r="C52" i="31"/>
  <c r="I14" i="86"/>
  <c r="K12" i="73"/>
  <c r="G59" i="73"/>
  <c r="F11" i="30"/>
  <c r="F13" i="30"/>
  <c r="AM12" i="3"/>
  <c r="D2" i="3"/>
  <c r="K10" i="73"/>
  <c r="G61" i="73" s="1"/>
  <c r="V28" i="52" l="1"/>
  <c r="V32" i="52" s="1"/>
  <c r="V28" i="64"/>
  <c r="V32" i="64" s="1"/>
  <c r="F57" i="89"/>
  <c r="AR5" i="64"/>
  <c r="I7" i="75"/>
  <c r="Z5" i="64"/>
  <c r="I18" i="87"/>
  <c r="I18" i="86"/>
  <c r="AG7" i="75" l="1"/>
  <c r="AG28" i="64"/>
  <c r="V36" i="75"/>
  <c r="AQ34" i="64" l="1"/>
  <c r="AQ32" i="64"/>
  <c r="AN12" i="3" s="1"/>
  <c r="G12" i="79" s="1"/>
  <c r="AR7" i="75"/>
  <c r="AM9" i="75" s="1"/>
  <c r="R7" i="75" l="1"/>
  <c r="AG32" i="75"/>
  <c r="AQ38" i="75" l="1"/>
  <c r="AQ36" i="75"/>
  <c r="J32" i="31"/>
  <c r="J35" i="31" s="1"/>
  <c r="J36" i="31" s="1"/>
  <c r="V32" i="76" s="1"/>
  <c r="V36" i="76" s="1"/>
  <c r="M9" i="75"/>
  <c r="D11" i="75" s="1"/>
  <c r="M11" i="75" s="1"/>
</calcChain>
</file>

<file path=xl/sharedStrings.xml><?xml version="1.0" encoding="utf-8"?>
<sst xmlns="http://schemas.openxmlformats.org/spreadsheetml/2006/main" count="1464" uniqueCount="578">
  <si>
    <t>契約月数</t>
    <rPh sb="0" eb="2">
      <t>ケイヤク</t>
    </rPh>
    <rPh sb="2" eb="4">
      <t>ゲッスウ</t>
    </rPh>
    <phoneticPr fontId="2"/>
  </si>
  <si>
    <t>10年間コスト</t>
    <rPh sb="2" eb="4">
      <t>ネンカン</t>
    </rPh>
    <phoneticPr fontId="2"/>
  </si>
  <si>
    <t>毎月</t>
    <rPh sb="0" eb="2">
      <t>マイツキ</t>
    </rPh>
    <phoneticPr fontId="2"/>
  </si>
  <si>
    <t>商品原価</t>
    <rPh sb="0" eb="2">
      <t>ショウヒン</t>
    </rPh>
    <rPh sb="2" eb="4">
      <t>ゲンカ</t>
    </rPh>
    <phoneticPr fontId="3"/>
  </si>
  <si>
    <t>商品合計</t>
    <rPh sb="0" eb="2">
      <t>ショウヒン</t>
    </rPh>
    <rPh sb="2" eb="4">
      <t>ゴウケイ</t>
    </rPh>
    <phoneticPr fontId="3"/>
  </si>
  <si>
    <t>工事費</t>
    <rPh sb="0" eb="3">
      <t>コウジヒ</t>
    </rPh>
    <phoneticPr fontId="2"/>
  </si>
  <si>
    <t>売価</t>
    <rPh sb="0" eb="2">
      <t>バイカ</t>
    </rPh>
    <phoneticPr fontId="2"/>
  </si>
  <si>
    <t>現状</t>
    <rPh sb="0" eb="2">
      <t>ゲンジョウ</t>
    </rPh>
    <phoneticPr fontId="2"/>
  </si>
  <si>
    <t>LEDのみ</t>
    <phoneticPr fontId="2"/>
  </si>
  <si>
    <t>電力も</t>
    <rPh sb="0" eb="2">
      <t>デンリョク</t>
    </rPh>
    <phoneticPr fontId="2"/>
  </si>
  <si>
    <t>リース期間/年</t>
    <rPh sb="3" eb="5">
      <t>キカン</t>
    </rPh>
    <rPh sb="6" eb="7">
      <t>ネン</t>
    </rPh>
    <phoneticPr fontId="2"/>
  </si>
  <si>
    <t>料率</t>
    <rPh sb="0" eb="2">
      <t>リョウリツ</t>
    </rPh>
    <phoneticPr fontId="2"/>
  </si>
  <si>
    <t>リース期間月数</t>
    <rPh sb="3" eb="5">
      <t>キカン</t>
    </rPh>
    <rPh sb="5" eb="7">
      <t>ゲッスウ</t>
    </rPh>
    <phoneticPr fontId="2"/>
  </si>
  <si>
    <t>A</t>
  </si>
  <si>
    <t>B</t>
  </si>
  <si>
    <t>C</t>
  </si>
  <si>
    <t>D</t>
  </si>
  <si>
    <t>E</t>
  </si>
  <si>
    <t>F</t>
  </si>
  <si>
    <t>G</t>
  </si>
  <si>
    <t>H</t>
  </si>
  <si>
    <t>I</t>
  </si>
  <si>
    <t>J</t>
  </si>
  <si>
    <t>K</t>
  </si>
  <si>
    <t>L</t>
  </si>
  <si>
    <t>5年間</t>
    <rPh sb="1" eb="3">
      <t>ネンカン</t>
    </rPh>
    <phoneticPr fontId="2"/>
  </si>
  <si>
    <t>6年目以降</t>
    <rPh sb="1" eb="3">
      <t>ネンメ</t>
    </rPh>
    <rPh sb="3" eb="5">
      <t>イコウ</t>
    </rPh>
    <phoneticPr fontId="2"/>
  </si>
  <si>
    <t>⑥非なし</t>
    <phoneticPr fontId="2"/>
  </si>
  <si>
    <t>⑥非あり</t>
    <phoneticPr fontId="2"/>
  </si>
  <si>
    <t>M</t>
  </si>
  <si>
    <t>B</t>
    <phoneticPr fontId="2"/>
  </si>
  <si>
    <t>N</t>
  </si>
  <si>
    <t>バイパス</t>
    <phoneticPr fontId="2"/>
  </si>
  <si>
    <t>削減金額</t>
    <rPh sb="0" eb="2">
      <t>サクゲン</t>
    </rPh>
    <rPh sb="2" eb="4">
      <t>キンガク</t>
    </rPh>
    <phoneticPr fontId="2"/>
  </si>
  <si>
    <t>O</t>
  </si>
  <si>
    <t>リース代</t>
    <rPh sb="3" eb="4">
      <t>ダイ</t>
    </rPh>
    <phoneticPr fontId="2"/>
  </si>
  <si>
    <t>P</t>
  </si>
  <si>
    <t>交換コスト</t>
    <rPh sb="0" eb="2">
      <t>コウカン</t>
    </rPh>
    <phoneticPr fontId="2"/>
  </si>
  <si>
    <t>電球数</t>
    <rPh sb="0" eb="2">
      <t>デンキュウ</t>
    </rPh>
    <rPh sb="2" eb="3">
      <t>スウ</t>
    </rPh>
    <phoneticPr fontId="2"/>
  </si>
  <si>
    <t>人工</t>
    <rPh sb="0" eb="1">
      <t>ニン</t>
    </rPh>
    <rPh sb="1" eb="2">
      <t>ク</t>
    </rPh>
    <phoneticPr fontId="2"/>
  </si>
  <si>
    <t>Q</t>
  </si>
  <si>
    <t>電気代</t>
    <rPh sb="0" eb="3">
      <t>デンキダイ</t>
    </rPh>
    <phoneticPr fontId="2"/>
  </si>
  <si>
    <t>R</t>
  </si>
  <si>
    <t>合計</t>
    <rPh sb="0" eb="2">
      <t>ゴウケイ</t>
    </rPh>
    <phoneticPr fontId="2"/>
  </si>
  <si>
    <t>S</t>
  </si>
  <si>
    <t>T</t>
  </si>
  <si>
    <t>U</t>
  </si>
  <si>
    <t>V</t>
  </si>
  <si>
    <t>W</t>
  </si>
  <si>
    <t>Z</t>
  </si>
  <si>
    <t>Y</t>
  </si>
  <si>
    <t>⑦非なし</t>
    <phoneticPr fontId="2"/>
  </si>
  <si>
    <t>⑦非あり</t>
    <phoneticPr fontId="2"/>
  </si>
  <si>
    <t>AA</t>
  </si>
  <si>
    <t>AB</t>
  </si>
  <si>
    <t>1棟のみ</t>
    <rPh sb="1" eb="2">
      <t>トウ</t>
    </rPh>
    <phoneticPr fontId="2"/>
  </si>
  <si>
    <t>試算エリア</t>
  </si>
  <si>
    <t>AC</t>
  </si>
  <si>
    <t>複数棟</t>
    <rPh sb="0" eb="2">
      <t>フクスウ</t>
    </rPh>
    <rPh sb="2" eb="3">
      <t>トウ</t>
    </rPh>
    <phoneticPr fontId="2"/>
  </si>
  <si>
    <t>物件名</t>
  </si>
  <si>
    <t>AD</t>
  </si>
  <si>
    <t>特殊工事</t>
    <rPh sb="0" eb="2">
      <t>トクシュ</t>
    </rPh>
    <rPh sb="2" eb="4">
      <t>コウジ</t>
    </rPh>
    <phoneticPr fontId="2"/>
  </si>
  <si>
    <t>通常施工</t>
    <rPh sb="0" eb="4">
      <t>ツウジョウセコウ</t>
    </rPh>
    <phoneticPr fontId="2"/>
  </si>
  <si>
    <t>高所作業費用</t>
    <rPh sb="0" eb="2">
      <t>コウショ</t>
    </rPh>
    <rPh sb="2" eb="4">
      <t>サギョウ</t>
    </rPh>
    <rPh sb="4" eb="6">
      <t>ヒヨウ</t>
    </rPh>
    <phoneticPr fontId="2"/>
  </si>
  <si>
    <t>非常灯別置</t>
    <rPh sb="0" eb="5">
      <t>ヒジョウトウベッチ</t>
    </rPh>
    <phoneticPr fontId="2"/>
  </si>
  <si>
    <t>庭園灯作業</t>
    <rPh sb="0" eb="5">
      <t>テイエントウサギョウ</t>
    </rPh>
    <phoneticPr fontId="2"/>
  </si>
  <si>
    <t>配線直結</t>
    <rPh sb="0" eb="2">
      <t>ハイセン</t>
    </rPh>
    <rPh sb="2" eb="4">
      <t>チョッケツ</t>
    </rPh>
    <phoneticPr fontId="2"/>
  </si>
  <si>
    <t>新設配線費用</t>
    <rPh sb="0" eb="4">
      <t>シンセツハイセン</t>
    </rPh>
    <rPh sb="4" eb="6">
      <t>ヒヨウ</t>
    </rPh>
    <phoneticPr fontId="2"/>
  </si>
  <si>
    <t>ランプ交換</t>
    <rPh sb="3" eb="5">
      <t>コウカン</t>
    </rPh>
    <phoneticPr fontId="2"/>
  </si>
  <si>
    <t>EEセンサー交換費用</t>
    <rPh sb="6" eb="8">
      <t>コウカン</t>
    </rPh>
    <rPh sb="8" eb="10">
      <t>ヒヨウ</t>
    </rPh>
    <phoneticPr fontId="2"/>
  </si>
  <si>
    <t>非常灯なし</t>
    <rPh sb="0" eb="3">
      <t>ヒジョウトウ</t>
    </rPh>
    <phoneticPr fontId="2"/>
  </si>
  <si>
    <t>5年後</t>
    <rPh sb="1" eb="3">
      <t>ネンゴ</t>
    </rPh>
    <phoneticPr fontId="2"/>
  </si>
  <si>
    <t>電気代</t>
    <rPh sb="0" eb="2">
      <t>デンキ</t>
    </rPh>
    <rPh sb="2" eb="3">
      <t>ダイ</t>
    </rPh>
    <phoneticPr fontId="2"/>
  </si>
  <si>
    <t>差額</t>
    <rPh sb="0" eb="2">
      <t>サガク</t>
    </rPh>
    <phoneticPr fontId="2"/>
  </si>
  <si>
    <t>①</t>
    <phoneticPr fontId="2"/>
  </si>
  <si>
    <t>②</t>
    <phoneticPr fontId="2"/>
  </si>
  <si>
    <t>③</t>
    <phoneticPr fontId="2"/>
  </si>
  <si>
    <t>非常灯あり</t>
    <rPh sb="0" eb="3">
      <t>ヒジョウトウ</t>
    </rPh>
    <phoneticPr fontId="2"/>
  </si>
  <si>
    <t>導入前</t>
    <rPh sb="0" eb="2">
      <t>ドウニュウ</t>
    </rPh>
    <rPh sb="2" eb="3">
      <t>マエ</t>
    </rPh>
    <phoneticPr fontId="2"/>
  </si>
  <si>
    <t>LED後</t>
    <rPh sb="3" eb="4">
      <t>ゴ</t>
    </rPh>
    <phoneticPr fontId="2"/>
  </si>
  <si>
    <t>交換360</t>
    <rPh sb="0" eb="2">
      <t>コウカン</t>
    </rPh>
    <phoneticPr fontId="2"/>
  </si>
  <si>
    <t>交換720</t>
    <rPh sb="0" eb="2">
      <t>コウカン</t>
    </rPh>
    <phoneticPr fontId="2"/>
  </si>
  <si>
    <t>交換非常灯</t>
    <rPh sb="0" eb="2">
      <t>コウカン</t>
    </rPh>
    <rPh sb="2" eb="5">
      <t>ヒジョウトウ</t>
    </rPh>
    <phoneticPr fontId="2"/>
  </si>
  <si>
    <t>交換合計</t>
    <rPh sb="0" eb="2">
      <t>コウカン</t>
    </rPh>
    <rPh sb="2" eb="4">
      <t>ゴウケイ</t>
    </rPh>
    <phoneticPr fontId="2"/>
  </si>
  <si>
    <t>LED交換</t>
    <rPh sb="3" eb="5">
      <t>コウカン</t>
    </rPh>
    <phoneticPr fontId="2"/>
  </si>
  <si>
    <t>非常灯</t>
    <rPh sb="0" eb="3">
      <t>ヒジョウトウ</t>
    </rPh>
    <phoneticPr fontId="2"/>
  </si>
  <si>
    <t>LED後合計</t>
    <rPh sb="3" eb="4">
      <t>ゴ</t>
    </rPh>
    <rPh sb="4" eb="6">
      <t>ゴウケイ</t>
    </rPh>
    <phoneticPr fontId="2"/>
  </si>
  <si>
    <t>物件名</t>
    <rPh sb="0" eb="2">
      <t>ブッケン</t>
    </rPh>
    <rPh sb="2" eb="3">
      <t>メイ</t>
    </rPh>
    <phoneticPr fontId="2"/>
  </si>
  <si>
    <t>月数</t>
    <rPh sb="0" eb="2">
      <t>ツキスウ</t>
    </rPh>
    <phoneticPr fontId="2"/>
  </si>
  <si>
    <t>LED導入費用</t>
    <rPh sb="3" eb="5">
      <t>ドウニュウ</t>
    </rPh>
    <rPh sb="5" eb="7">
      <t>ヒヨウ</t>
    </rPh>
    <phoneticPr fontId="2"/>
  </si>
  <si>
    <t>毎月の電気代</t>
    <rPh sb="0" eb="2">
      <t>マイツキ</t>
    </rPh>
    <rPh sb="3" eb="6">
      <t>デンキダイ</t>
    </rPh>
    <phoneticPr fontId="2"/>
  </si>
  <si>
    <t>年数</t>
    <rPh sb="0" eb="2">
      <t>ネンスウ</t>
    </rPh>
    <phoneticPr fontId="2"/>
  </si>
  <si>
    <t>非常灯無し</t>
    <rPh sb="0" eb="3">
      <t>ヒジョウトウ</t>
    </rPh>
    <rPh sb="3" eb="4">
      <t>ナ</t>
    </rPh>
    <phoneticPr fontId="2"/>
  </si>
  <si>
    <t>LED</t>
    <phoneticPr fontId="2"/>
  </si>
  <si>
    <t>写真①</t>
    <rPh sb="0" eb="2">
      <t>シャシン</t>
    </rPh>
    <phoneticPr fontId="2"/>
  </si>
  <si>
    <t>写真②</t>
    <rPh sb="0" eb="2">
      <t>シャシン</t>
    </rPh>
    <phoneticPr fontId="2"/>
  </si>
  <si>
    <t>電球種別</t>
    <rPh sb="0" eb="2">
      <t>デンキュウ</t>
    </rPh>
    <rPh sb="2" eb="4">
      <t>シュベツ</t>
    </rPh>
    <phoneticPr fontId="2"/>
  </si>
  <si>
    <t>照明色</t>
    <rPh sb="0" eb="2">
      <t>ショウメイ</t>
    </rPh>
    <rPh sb="2" eb="3">
      <t>ショク</t>
    </rPh>
    <phoneticPr fontId="2"/>
  </si>
  <si>
    <t>器具色</t>
    <rPh sb="0" eb="2">
      <t>キグ</t>
    </rPh>
    <rPh sb="2" eb="3">
      <t>ショク</t>
    </rPh>
    <phoneticPr fontId="2"/>
  </si>
  <si>
    <t>器具サイズ
（設置面）</t>
  </si>
  <si>
    <t>消費
電力</t>
  </si>
  <si>
    <t>全光束</t>
  </si>
  <si>
    <t>合算
定価</t>
  </si>
  <si>
    <t>合算
仕入</t>
  </si>
  <si>
    <t>防滴</t>
    <rPh sb="0" eb="2">
      <t>ボウテキ</t>
    </rPh>
    <phoneticPr fontId="2"/>
  </si>
  <si>
    <t>メーカー</t>
    <phoneticPr fontId="2"/>
  </si>
  <si>
    <t>W相当</t>
    <rPh sb="1" eb="3">
      <t>ソウトウ</t>
    </rPh>
    <phoneticPr fontId="2"/>
  </si>
  <si>
    <t>器具型番</t>
  </si>
  <si>
    <t>定価</t>
  </si>
  <si>
    <t>仕入れ</t>
  </si>
  <si>
    <t>型番②</t>
  </si>
  <si>
    <t>定価②</t>
  </si>
  <si>
    <t>仕入②</t>
  </si>
  <si>
    <t>型番③</t>
  </si>
  <si>
    <t>定価③</t>
  </si>
  <si>
    <t>仕入③</t>
  </si>
  <si>
    <t>型番④</t>
    <phoneticPr fontId="2"/>
  </si>
  <si>
    <t>消費電力</t>
    <rPh sb="0" eb="2">
      <t>ショウヒ</t>
    </rPh>
    <rPh sb="2" eb="4">
      <t>デンリョク</t>
    </rPh>
    <phoneticPr fontId="2"/>
  </si>
  <si>
    <t>全光束</t>
    <rPh sb="0" eb="1">
      <t>ゼン</t>
    </rPh>
    <rPh sb="1" eb="3">
      <t>コウソク</t>
    </rPh>
    <phoneticPr fontId="2"/>
  </si>
  <si>
    <t>器具素材</t>
    <rPh sb="0" eb="2">
      <t>キグ</t>
    </rPh>
    <rPh sb="2" eb="4">
      <t>ソザイ</t>
    </rPh>
    <phoneticPr fontId="2"/>
  </si>
  <si>
    <t>器具色
選択肢</t>
  </si>
  <si>
    <t>照明色
選択肢</t>
  </si>
  <si>
    <t>定格
寿命</t>
  </si>
  <si>
    <t>交換
方法</t>
  </si>
  <si>
    <t>口金</t>
  </si>
  <si>
    <t>HP</t>
  </si>
  <si>
    <t>備考</t>
  </si>
  <si>
    <t>************************</t>
    <phoneticPr fontId="2"/>
  </si>
  <si>
    <t>受注額</t>
    <rPh sb="0" eb="3">
      <t>ジュチュウガク</t>
    </rPh>
    <phoneticPr fontId="2"/>
  </si>
  <si>
    <t>仕入額</t>
    <rPh sb="0" eb="3">
      <t>シイレガク</t>
    </rPh>
    <phoneticPr fontId="2"/>
  </si>
  <si>
    <t>粗利益</t>
    <rPh sb="0" eb="3">
      <t>アラリエキ</t>
    </rPh>
    <phoneticPr fontId="2"/>
  </si>
  <si>
    <t>紹介料</t>
    <rPh sb="0" eb="2">
      <t>ショウカイ</t>
    </rPh>
    <rPh sb="2" eb="3">
      <t>リョウ</t>
    </rPh>
    <phoneticPr fontId="2"/>
  </si>
  <si>
    <t>紹介斡旋料</t>
    <rPh sb="0" eb="2">
      <t>ショウカイ</t>
    </rPh>
    <rPh sb="2" eb="5">
      <t>アッセンリョウ</t>
    </rPh>
    <phoneticPr fontId="2"/>
  </si>
  <si>
    <t>↓ここに数量表を貼り付け</t>
    <rPh sb="4" eb="6">
      <t>スウリョウ</t>
    </rPh>
    <rPh sb="6" eb="7">
      <t>ヒョウ</t>
    </rPh>
    <rPh sb="8" eb="9">
      <t>ハ</t>
    </rPh>
    <rPh sb="10" eb="11">
      <t>ツ</t>
    </rPh>
    <phoneticPr fontId="2"/>
  </si>
  <si>
    <t>↓「備考」・・・シート【前後】の『備考』へ反映</t>
    <rPh sb="2" eb="4">
      <t>ビコウ</t>
    </rPh>
    <rPh sb="12" eb="14">
      <t>ゼンゴ</t>
    </rPh>
    <rPh sb="17" eb="19">
      <t>ビコウ</t>
    </rPh>
    <rPh sb="21" eb="23">
      <t>ハンエイ</t>
    </rPh>
    <phoneticPr fontId="2"/>
  </si>
  <si>
    <t>【安定器が存在する電球は、全て「＋2W」で計上】</t>
    <rPh sb="1" eb="4">
      <t>アンテイキ</t>
    </rPh>
    <rPh sb="5" eb="7">
      <t>ソンザイ</t>
    </rPh>
    <rPh sb="9" eb="11">
      <t>デンキュウ</t>
    </rPh>
    <rPh sb="13" eb="14">
      <t>スベ</t>
    </rPh>
    <rPh sb="21" eb="23">
      <t>ケイジョウ</t>
    </rPh>
    <phoneticPr fontId="2"/>
  </si>
  <si>
    <t>↓下記への入力は見積書に反映、</t>
    <rPh sb="1" eb="3">
      <t>カキ</t>
    </rPh>
    <rPh sb="5" eb="7">
      <t>ニュウリョク</t>
    </rPh>
    <rPh sb="8" eb="10">
      <t>ミツモリ</t>
    </rPh>
    <rPh sb="10" eb="11">
      <t>ショ</t>
    </rPh>
    <rPh sb="12" eb="14">
      <t>ハンエイ</t>
    </rPh>
    <phoneticPr fontId="2"/>
  </si>
  <si>
    <t>※電力を付帯しない場合には、電力割引を0%に変更してください</t>
    <rPh sb="1" eb="3">
      <t>デンリョク</t>
    </rPh>
    <rPh sb="4" eb="6">
      <t>フタイ</t>
    </rPh>
    <rPh sb="9" eb="11">
      <t>バアイ</t>
    </rPh>
    <rPh sb="14" eb="16">
      <t>デンリョク</t>
    </rPh>
    <rPh sb="16" eb="18">
      <t>ワリビキ</t>
    </rPh>
    <rPh sb="22" eb="24">
      <t>ヘンコウ</t>
    </rPh>
    <phoneticPr fontId="2"/>
  </si>
  <si>
    <t>備考(LED済みの箇所などを記載)：</t>
    <rPh sb="0" eb="2">
      <t>ビコウ</t>
    </rPh>
    <rPh sb="6" eb="7">
      <t>ズ</t>
    </rPh>
    <rPh sb="9" eb="11">
      <t>カショ</t>
    </rPh>
    <rPh sb="14" eb="16">
      <t>キサイ</t>
    </rPh>
    <phoneticPr fontId="2"/>
  </si>
  <si>
    <t>↓安定器がある照明リスト</t>
    <rPh sb="1" eb="4">
      <t>アンテイキ</t>
    </rPh>
    <rPh sb="7" eb="9">
      <t>ショウメイ</t>
    </rPh>
    <phoneticPr fontId="2"/>
  </si>
  <si>
    <t>生産終了品などがあった場合、同メーカーもしくは他メーカーの同等品に変更される場合がございます。</t>
    <rPh sb="0" eb="4">
      <t>セイサンシュウリョウ</t>
    </rPh>
    <rPh sb="4" eb="5">
      <t>ヒン</t>
    </rPh>
    <rPh sb="11" eb="13">
      <t>バアイ</t>
    </rPh>
    <rPh sb="14" eb="15">
      <t>ドウ</t>
    </rPh>
    <rPh sb="23" eb="24">
      <t>タ</t>
    </rPh>
    <rPh sb="29" eb="32">
      <t>ドウトウヒン</t>
    </rPh>
    <rPh sb="33" eb="35">
      <t>ヘンコウ</t>
    </rPh>
    <rPh sb="38" eb="40">
      <t>バアイ</t>
    </rPh>
    <phoneticPr fontId="2"/>
  </si>
  <si>
    <t>物件名：</t>
    <rPh sb="0" eb="2">
      <t>ブッケン</t>
    </rPh>
    <rPh sb="2" eb="3">
      <t>メイ</t>
    </rPh>
    <phoneticPr fontId="2"/>
  </si>
  <si>
    <t>直管蛍光灯（FL）</t>
    <rPh sb="0" eb="2">
      <t>チョッカン</t>
    </rPh>
    <rPh sb="2" eb="5">
      <t>ケイコウトウ</t>
    </rPh>
    <phoneticPr fontId="2"/>
  </si>
  <si>
    <t>新しい照明器具が、既設よりも一回り小さくなるケースがあり、その際は外壁塗装面が露出する</t>
    <rPh sb="0" eb="1">
      <t>アタラ</t>
    </rPh>
    <rPh sb="3" eb="5">
      <t>ショウメイ</t>
    </rPh>
    <rPh sb="5" eb="7">
      <t>キグ</t>
    </rPh>
    <rPh sb="9" eb="11">
      <t>キセツ</t>
    </rPh>
    <rPh sb="14" eb="16">
      <t>ヒトマワ</t>
    </rPh>
    <rPh sb="17" eb="18">
      <t>チイ</t>
    </rPh>
    <rPh sb="31" eb="32">
      <t>サイ</t>
    </rPh>
    <rPh sb="33" eb="35">
      <t>ガイヘキ</t>
    </rPh>
    <rPh sb="35" eb="37">
      <t>トソウ</t>
    </rPh>
    <rPh sb="37" eb="38">
      <t>メン</t>
    </rPh>
    <rPh sb="39" eb="41">
      <t>ロシュツ</t>
    </rPh>
    <phoneticPr fontId="2"/>
  </si>
  <si>
    <t>物件住所：</t>
    <rPh sb="0" eb="2">
      <t>ブッケン</t>
    </rPh>
    <rPh sb="2" eb="4">
      <t>ジュウショ</t>
    </rPh>
    <phoneticPr fontId="2"/>
  </si>
  <si>
    <t>サークライン（FCL）</t>
    <phoneticPr fontId="2"/>
  </si>
  <si>
    <t>可能性がございます。</t>
    <rPh sb="0" eb="3">
      <t>カノウセイ</t>
    </rPh>
    <phoneticPr fontId="2"/>
  </si>
  <si>
    <t>解錠番号：</t>
    <rPh sb="0" eb="2">
      <t>カイジョウ</t>
    </rPh>
    <rPh sb="2" eb="4">
      <t>バンゴウ</t>
    </rPh>
    <phoneticPr fontId="2"/>
  </si>
  <si>
    <t>コンパクト蛍光灯（FDL、FHT、FPL、FML）</t>
    <rPh sb="5" eb="8">
      <t>ケイコウトウ</t>
    </rPh>
    <phoneticPr fontId="2"/>
  </si>
  <si>
    <t>分電盤場所：</t>
    <rPh sb="0" eb="3">
      <t>ブンデンバン</t>
    </rPh>
    <rPh sb="3" eb="5">
      <t>バショ</t>
    </rPh>
    <phoneticPr fontId="2"/>
  </si>
  <si>
    <t>※水銀灯も安定器が存在するが、例外としてそのまま計上</t>
    <phoneticPr fontId="2"/>
  </si>
  <si>
    <t>※代理店案件の場合には、「代理店入力シート」にて金額変更</t>
    <rPh sb="7" eb="9">
      <t>バアイ</t>
    </rPh>
    <rPh sb="13" eb="16">
      <t>ダイリテン</t>
    </rPh>
    <rPh sb="16" eb="18">
      <t>ニュウリョク</t>
    </rPh>
    <rPh sb="24" eb="26">
      <t>キンガク</t>
    </rPh>
    <rPh sb="26" eb="28">
      <t>ヘンコウ</t>
    </rPh>
    <phoneticPr fontId="2"/>
  </si>
  <si>
    <t>【工事依頼特記事項】</t>
    <phoneticPr fontId="2"/>
  </si>
  <si>
    <t>（例）20形蛍光灯・・・20W→22W</t>
    <rPh sb="1" eb="2">
      <t>レイ</t>
    </rPh>
    <rPh sb="5" eb="6">
      <t>ガタ</t>
    </rPh>
    <rPh sb="6" eb="9">
      <t>ケイコウトウ</t>
    </rPh>
    <phoneticPr fontId="2"/>
  </si>
  <si>
    <t>電球交換費</t>
    <rPh sb="0" eb="2">
      <t>デンキュウ</t>
    </rPh>
    <rPh sb="2" eb="4">
      <t>コウカン</t>
    </rPh>
    <rPh sb="4" eb="5">
      <t>ヒ</t>
    </rPh>
    <phoneticPr fontId="2"/>
  </si>
  <si>
    <t>合計</t>
  </si>
  <si>
    <t>④</t>
    <phoneticPr fontId="2"/>
  </si>
  <si>
    <t>※複数棟合算の場合は</t>
    <rPh sb="1" eb="3">
      <t>フクスウ</t>
    </rPh>
    <rPh sb="3" eb="4">
      <t>トウ</t>
    </rPh>
    <rPh sb="4" eb="6">
      <t>ガッサン</t>
    </rPh>
    <rPh sb="7" eb="9">
      <t>バアイ</t>
    </rPh>
    <phoneticPr fontId="2"/>
  </si>
  <si>
    <t>【特殊工事】</t>
    <rPh sb="1" eb="3">
      <t>トクシュ</t>
    </rPh>
    <rPh sb="3" eb="5">
      <t>コウジ</t>
    </rPh>
    <phoneticPr fontId="2"/>
  </si>
  <si>
    <t>金額</t>
    <rPh sb="0" eb="2">
      <t>キンガク</t>
    </rPh>
    <phoneticPr fontId="2"/>
  </si>
  <si>
    <t>1球売価</t>
    <rPh sb="1" eb="2">
      <t>キュウ</t>
    </rPh>
    <rPh sb="2" eb="4">
      <t>バイカ</t>
    </rPh>
    <phoneticPr fontId="2"/>
  </si>
  <si>
    <t>1球粗利</t>
    <rPh sb="1" eb="2">
      <t>キュウ</t>
    </rPh>
    <rPh sb="2" eb="4">
      <t>アラリ</t>
    </rPh>
    <phoneticPr fontId="2"/>
  </si>
  <si>
    <t>回収期間</t>
    <rPh sb="0" eb="2">
      <t>カイシュウ</t>
    </rPh>
    <rPh sb="2" eb="4">
      <t>キカン</t>
    </rPh>
    <phoneticPr fontId="2"/>
  </si>
  <si>
    <t>複数棟割引：</t>
    <rPh sb="0" eb="2">
      <t>フクスウ</t>
    </rPh>
    <rPh sb="2" eb="3">
      <t>トウ</t>
    </rPh>
    <rPh sb="3" eb="5">
      <t>ワリビキ</t>
    </rPh>
    <phoneticPr fontId="2"/>
  </si>
  <si>
    <t>紹介料：</t>
    <rPh sb="0" eb="2">
      <t>ショウカイ</t>
    </rPh>
    <rPh sb="2" eb="3">
      <t>リョウ</t>
    </rPh>
    <phoneticPr fontId="2"/>
  </si>
  <si>
    <t>非常灯・誘導灯の数→</t>
    <rPh sb="0" eb="3">
      <t>ヒジョウトウ</t>
    </rPh>
    <rPh sb="4" eb="7">
      <t>ユウドウトウ</t>
    </rPh>
    <rPh sb="8" eb="9">
      <t>カズ</t>
    </rPh>
    <phoneticPr fontId="2"/>
  </si>
  <si>
    <t>　個別に非常灯の数を入力</t>
    <phoneticPr fontId="2"/>
  </si>
  <si>
    <t>電力割引：</t>
    <rPh sb="0" eb="2">
      <t>デンリョク</t>
    </rPh>
    <rPh sb="2" eb="4">
      <t>ワリビキ</t>
    </rPh>
    <phoneticPr fontId="2"/>
  </si>
  <si>
    <t>斡旋料：</t>
    <rPh sb="0" eb="3">
      <t>アッセンリョウ</t>
    </rPh>
    <phoneticPr fontId="2"/>
  </si>
  <si>
    <t>工事依頼・完了報告書</t>
    <rPh sb="0" eb="2">
      <t>コウジ</t>
    </rPh>
    <rPh sb="2" eb="4">
      <t>イライ</t>
    </rPh>
    <rPh sb="5" eb="7">
      <t>カンリョウ</t>
    </rPh>
    <rPh sb="7" eb="9">
      <t>ホウコク</t>
    </rPh>
    <rPh sb="9" eb="10">
      <t>ショ</t>
    </rPh>
    <phoneticPr fontId="2"/>
  </si>
  <si>
    <t>←選択する</t>
    <rPh sb="1" eb="3">
      <t>センタク</t>
    </rPh>
    <phoneticPr fontId="2"/>
  </si>
  <si>
    <t>※選択制</t>
    <rPh sb="1" eb="4">
      <t>センタクセイ</t>
    </rPh>
    <phoneticPr fontId="2"/>
  </si>
  <si>
    <t>※手打可能</t>
    <rPh sb="1" eb="3">
      <t>テウ</t>
    </rPh>
    <rPh sb="3" eb="5">
      <t>カノウ</t>
    </rPh>
    <phoneticPr fontId="2"/>
  </si>
  <si>
    <t>↓【5％】選択</t>
  </si>
  <si>
    <t>試算エリア</t>
    <rPh sb="0" eb="2">
      <t>シサン</t>
    </rPh>
    <phoneticPr fontId="3"/>
  </si>
  <si>
    <t>照明種別</t>
    <rPh sb="0" eb="2">
      <t>ショウメイ</t>
    </rPh>
    <rPh sb="2" eb="4">
      <t>シュベツ</t>
    </rPh>
    <phoneticPr fontId="3"/>
  </si>
  <si>
    <t>現調備考</t>
    <rPh sb="0" eb="2">
      <t>ゲンチョウ</t>
    </rPh>
    <rPh sb="2" eb="4">
      <t>ビコウ</t>
    </rPh>
    <phoneticPr fontId="2"/>
  </si>
  <si>
    <t>工事備考</t>
    <rPh sb="0" eb="2">
      <t>コウジ</t>
    </rPh>
    <rPh sb="2" eb="4">
      <t>ビコウ</t>
    </rPh>
    <phoneticPr fontId="2"/>
  </si>
  <si>
    <t>器具分類②</t>
    <rPh sb="0" eb="2">
      <t>キグ</t>
    </rPh>
    <rPh sb="2" eb="4">
      <t>ブンルイ</t>
    </rPh>
    <phoneticPr fontId="3"/>
  </si>
  <si>
    <t>月間点灯</t>
    <rPh sb="0" eb="2">
      <t>ゲッカン</t>
    </rPh>
    <rPh sb="2" eb="4">
      <t>テントウ</t>
    </rPh>
    <phoneticPr fontId="3"/>
  </si>
  <si>
    <t>一日点灯</t>
    <rPh sb="0" eb="2">
      <t>イチニチ</t>
    </rPh>
    <rPh sb="2" eb="4">
      <t>テントウ</t>
    </rPh>
    <phoneticPr fontId="3"/>
  </si>
  <si>
    <t>稼働日数</t>
    <rPh sb="0" eb="2">
      <t>カドウ</t>
    </rPh>
    <rPh sb="2" eb="4">
      <t>ニッスウ</t>
    </rPh>
    <phoneticPr fontId="3"/>
  </si>
  <si>
    <t>消費電力</t>
    <rPh sb="0" eb="2">
      <t>ショウヒ</t>
    </rPh>
    <rPh sb="2" eb="4">
      <t>デンリョク</t>
    </rPh>
    <phoneticPr fontId="3"/>
  </si>
  <si>
    <t>電球数</t>
    <rPh sb="0" eb="2">
      <t>デンキュウ</t>
    </rPh>
    <rPh sb="2" eb="3">
      <t>スウ</t>
    </rPh>
    <phoneticPr fontId="3"/>
  </si>
  <si>
    <t>1階</t>
    <rPh sb="1" eb="2">
      <t>カイ</t>
    </rPh>
    <phoneticPr fontId="2"/>
  </si>
  <si>
    <t>2階</t>
    <rPh sb="1" eb="2">
      <t>カイ</t>
    </rPh>
    <phoneticPr fontId="2"/>
  </si>
  <si>
    <t>3階</t>
    <rPh sb="1" eb="2">
      <t>カイ</t>
    </rPh>
    <phoneticPr fontId="2"/>
  </si>
  <si>
    <t>4階</t>
    <rPh sb="1" eb="2">
      <t>カイ</t>
    </rPh>
    <phoneticPr fontId="2"/>
  </si>
  <si>
    <t>5階</t>
    <rPh sb="1" eb="2">
      <t>カイ</t>
    </rPh>
    <phoneticPr fontId="2"/>
  </si>
  <si>
    <t>6階</t>
    <rPh sb="1" eb="2">
      <t>カイ</t>
    </rPh>
    <phoneticPr fontId="2"/>
  </si>
  <si>
    <t>7階</t>
    <rPh sb="1" eb="2">
      <t>カイ</t>
    </rPh>
    <phoneticPr fontId="2"/>
  </si>
  <si>
    <t>8階</t>
    <rPh sb="1" eb="2">
      <t>カイ</t>
    </rPh>
    <phoneticPr fontId="2"/>
  </si>
  <si>
    <t>9階</t>
    <rPh sb="1" eb="2">
      <t>カイ</t>
    </rPh>
    <phoneticPr fontId="2"/>
  </si>
  <si>
    <t>10階</t>
    <rPh sb="2" eb="3">
      <t>カイ</t>
    </rPh>
    <phoneticPr fontId="2"/>
  </si>
  <si>
    <t>kWh</t>
  </si>
  <si>
    <t>現状電気単価</t>
    <rPh sb="0" eb="2">
      <t>ゲンジョウ</t>
    </rPh>
    <rPh sb="2" eb="4">
      <t>デンキ</t>
    </rPh>
    <rPh sb="4" eb="6">
      <t>タンカ</t>
    </rPh>
    <phoneticPr fontId="3"/>
  </si>
  <si>
    <t>電気代</t>
    <rPh sb="0" eb="3">
      <t>デンキダイ</t>
    </rPh>
    <phoneticPr fontId="3"/>
  </si>
  <si>
    <t>⇒</t>
    <phoneticPr fontId="2"/>
  </si>
  <si>
    <t>変更電気単価</t>
    <rPh sb="0" eb="2">
      <t>ヘンコウ</t>
    </rPh>
    <rPh sb="2" eb="4">
      <t>デンキ</t>
    </rPh>
    <rPh sb="4" eb="6">
      <t>タンカ</t>
    </rPh>
    <phoneticPr fontId="3"/>
  </si>
  <si>
    <t>工事単価</t>
    <rPh sb="0" eb="2">
      <t>コウジ</t>
    </rPh>
    <rPh sb="2" eb="4">
      <t>タンカ</t>
    </rPh>
    <phoneticPr fontId="2"/>
  </si>
  <si>
    <t>数量</t>
    <rPh sb="0" eb="2">
      <t>スウリョウ</t>
    </rPh>
    <phoneticPr fontId="2"/>
  </si>
  <si>
    <t>商品原価</t>
    <rPh sb="0" eb="2">
      <t>ショウヒン</t>
    </rPh>
    <rPh sb="2" eb="4">
      <t>ゲンカ</t>
    </rPh>
    <phoneticPr fontId="2"/>
  </si>
  <si>
    <t>一括売価</t>
    <rPh sb="0" eb="2">
      <t>イッカツ</t>
    </rPh>
    <rPh sb="2" eb="4">
      <t>バイカ</t>
    </rPh>
    <phoneticPr fontId="2"/>
  </si>
  <si>
    <t>粗利予測</t>
    <rPh sb="0" eb="2">
      <t>アラリ</t>
    </rPh>
    <rPh sb="2" eb="4">
      <t>ヨソク</t>
    </rPh>
    <phoneticPr fontId="2"/>
  </si>
  <si>
    <t>利益率</t>
    <rPh sb="0" eb="3">
      <t>リエキリツ</t>
    </rPh>
    <phoneticPr fontId="2"/>
  </si>
  <si>
    <t>受注額</t>
  </si>
  <si>
    <t>仕入額</t>
  </si>
  <si>
    <t>粗利益</t>
  </si>
  <si>
    <t>月額リース料</t>
  </si>
  <si>
    <t>紹介料</t>
  </si>
  <si>
    <t>紹介斡旋料</t>
  </si>
  <si>
    <t>新電力割引</t>
    <rPh sb="0" eb="3">
      <t>シンデンリョク</t>
    </rPh>
    <rPh sb="3" eb="4">
      <t>ワリ</t>
    </rPh>
    <rPh sb="4" eb="5">
      <t>ビ</t>
    </rPh>
    <phoneticPr fontId="2"/>
  </si>
  <si>
    <t>1球売価</t>
  </si>
  <si>
    <t>1球粗利</t>
  </si>
  <si>
    <t>交換方法</t>
    <rPh sb="0" eb="2">
      <t>コウカン</t>
    </rPh>
    <rPh sb="2" eb="4">
      <t>ホウホウ</t>
    </rPh>
    <phoneticPr fontId="2"/>
  </si>
  <si>
    <t>試算エリア</t>
    <rPh sb="0" eb="2">
      <t>シサン</t>
    </rPh>
    <phoneticPr fontId="2"/>
  </si>
  <si>
    <t>既存照明種別</t>
    <rPh sb="0" eb="2">
      <t>キゾン</t>
    </rPh>
    <rPh sb="2" eb="4">
      <t>ショウメイ</t>
    </rPh>
    <rPh sb="4" eb="6">
      <t>シュベツ</t>
    </rPh>
    <phoneticPr fontId="2"/>
  </si>
  <si>
    <t>器具型番</t>
    <rPh sb="0" eb="2">
      <t>キグ</t>
    </rPh>
    <rPh sb="2" eb="4">
      <t>カタバン</t>
    </rPh>
    <phoneticPr fontId="2"/>
  </si>
  <si>
    <t>器具型番②</t>
    <rPh sb="0" eb="2">
      <t>キグ</t>
    </rPh>
    <rPh sb="2" eb="4">
      <t>カタバン</t>
    </rPh>
    <phoneticPr fontId="2"/>
  </si>
  <si>
    <t>器具型番③</t>
    <rPh sb="0" eb="2">
      <t>キグ</t>
    </rPh>
    <rPh sb="2" eb="4">
      <t>カタバン</t>
    </rPh>
    <phoneticPr fontId="2"/>
  </si>
  <si>
    <t>器具型番④</t>
    <rPh sb="0" eb="2">
      <t>キグ</t>
    </rPh>
    <rPh sb="2" eb="4">
      <t>カタバン</t>
    </rPh>
    <phoneticPr fontId="2"/>
  </si>
  <si>
    <t>A</t>
    <phoneticPr fontId="2"/>
  </si>
  <si>
    <t>C</t>
    <phoneticPr fontId="2"/>
  </si>
  <si>
    <t>D</t>
    <phoneticPr fontId="2"/>
  </si>
  <si>
    <t>E</t>
    <phoneticPr fontId="2"/>
  </si>
  <si>
    <t>F</t>
    <phoneticPr fontId="2"/>
  </si>
  <si>
    <t>G</t>
    <phoneticPr fontId="2"/>
  </si>
  <si>
    <t>H</t>
    <phoneticPr fontId="2"/>
  </si>
  <si>
    <t>I</t>
    <phoneticPr fontId="2"/>
  </si>
  <si>
    <t>J</t>
    <phoneticPr fontId="2"/>
  </si>
  <si>
    <t>K</t>
    <phoneticPr fontId="2"/>
  </si>
  <si>
    <t>L</t>
    <phoneticPr fontId="2"/>
  </si>
  <si>
    <t>M</t>
    <phoneticPr fontId="2"/>
  </si>
  <si>
    <t>N</t>
    <phoneticPr fontId="2"/>
  </si>
  <si>
    <t>O</t>
    <phoneticPr fontId="2"/>
  </si>
  <si>
    <t>P</t>
    <phoneticPr fontId="2"/>
  </si>
  <si>
    <t>Q</t>
    <phoneticPr fontId="2"/>
  </si>
  <si>
    <t>R</t>
    <phoneticPr fontId="2"/>
  </si>
  <si>
    <t>S</t>
    <phoneticPr fontId="2"/>
  </si>
  <si>
    <t>T</t>
    <phoneticPr fontId="2"/>
  </si>
  <si>
    <t>U</t>
    <phoneticPr fontId="2"/>
  </si>
  <si>
    <t>V</t>
    <phoneticPr fontId="2"/>
  </si>
  <si>
    <t>W</t>
    <phoneticPr fontId="2"/>
  </si>
  <si>
    <t>Z</t>
    <phoneticPr fontId="2"/>
  </si>
  <si>
    <t>Y</t>
    <phoneticPr fontId="2"/>
  </si>
  <si>
    <t>AA</t>
    <phoneticPr fontId="2"/>
  </si>
  <si>
    <t>AB</t>
    <phoneticPr fontId="2"/>
  </si>
  <si>
    <t>AC</t>
    <phoneticPr fontId="2"/>
  </si>
  <si>
    <t>AD</t>
    <phoneticPr fontId="2"/>
  </si>
  <si>
    <t>【LED済み箇所】</t>
    <rPh sb="4" eb="5">
      <t>ズ</t>
    </rPh>
    <rPh sb="6" eb="8">
      <t>カショ</t>
    </rPh>
    <phoneticPr fontId="2"/>
  </si>
  <si>
    <t>除外理由</t>
    <rPh sb="0" eb="2">
      <t>ジョガイ</t>
    </rPh>
    <rPh sb="2" eb="4">
      <t>リユウ</t>
    </rPh>
    <phoneticPr fontId="2"/>
  </si>
  <si>
    <t>アドバイス</t>
    <phoneticPr fontId="2"/>
  </si>
  <si>
    <t>【テンプレ】</t>
    <phoneticPr fontId="2"/>
  </si>
  <si>
    <t>通常時不点灯で電気代削減が見込めないため除外</t>
    <phoneticPr fontId="2"/>
  </si>
  <si>
    <t>LED照明器具を導入済みのため除外</t>
    <rPh sb="3" eb="5">
      <t>ショウメイ</t>
    </rPh>
    <rPh sb="5" eb="7">
      <t>キグ</t>
    </rPh>
    <rPh sb="8" eb="10">
      <t>ドウニュウ</t>
    </rPh>
    <rPh sb="10" eb="11">
      <t>ズ</t>
    </rPh>
    <rPh sb="15" eb="17">
      <t>ジョガイ</t>
    </rPh>
    <phoneticPr fontId="2"/>
  </si>
  <si>
    <t>管球のみLED照明に交換済み、削減効率が悪いため除外</t>
    <rPh sb="0" eb="2">
      <t>カンキュウ</t>
    </rPh>
    <rPh sb="7" eb="9">
      <t>ショウメイ</t>
    </rPh>
    <rPh sb="10" eb="12">
      <t>コウカン</t>
    </rPh>
    <rPh sb="12" eb="13">
      <t>ズ</t>
    </rPh>
    <rPh sb="15" eb="17">
      <t>サクゲン</t>
    </rPh>
    <rPh sb="17" eb="19">
      <t>コウリツ</t>
    </rPh>
    <rPh sb="20" eb="21">
      <t>ワル</t>
    </rPh>
    <rPh sb="24" eb="26">
      <t>ジョガイ</t>
    </rPh>
    <phoneticPr fontId="2"/>
  </si>
  <si>
    <t>器具劣化が激しいため、交換をご希望の場合は要相談</t>
    <rPh sb="0" eb="2">
      <t>キグ</t>
    </rPh>
    <rPh sb="2" eb="4">
      <t>レッカ</t>
    </rPh>
    <rPh sb="5" eb="6">
      <t>ハゲ</t>
    </rPh>
    <rPh sb="11" eb="13">
      <t>コウカン</t>
    </rPh>
    <rPh sb="15" eb="17">
      <t>キボウ</t>
    </rPh>
    <rPh sb="18" eb="20">
      <t>バアイ</t>
    </rPh>
    <rPh sb="21" eb="22">
      <t>ヨウ</t>
    </rPh>
    <rPh sb="22" eb="24">
      <t>ソウダン</t>
    </rPh>
    <phoneticPr fontId="2"/>
  </si>
  <si>
    <t>特殊器具のため一度見積より除外</t>
    <rPh sb="0" eb="2">
      <t>トクシュ</t>
    </rPh>
    <rPh sb="2" eb="4">
      <t>キグ</t>
    </rPh>
    <rPh sb="7" eb="9">
      <t>イチド</t>
    </rPh>
    <rPh sb="9" eb="11">
      <t>ミツモリ</t>
    </rPh>
    <rPh sb="13" eb="15">
      <t>ジョガイ</t>
    </rPh>
    <phoneticPr fontId="2"/>
  </si>
  <si>
    <t>商談時にご説明させて頂きます</t>
    <rPh sb="0" eb="2">
      <t>ショウダン</t>
    </rPh>
    <rPh sb="2" eb="3">
      <t>ジ</t>
    </rPh>
    <rPh sb="5" eb="7">
      <t>セツメイ</t>
    </rPh>
    <rPh sb="10" eb="11">
      <t>イタダ</t>
    </rPh>
    <phoneticPr fontId="2"/>
  </si>
  <si>
    <t>器具自体が古いため、器具交換を推奨します。ご希望の場合は要相談</t>
    <phoneticPr fontId="2"/>
  </si>
  <si>
    <t>LED見積作成チェックシート</t>
  </si>
  <si>
    <t>✓</t>
    <phoneticPr fontId="163"/>
  </si>
  <si>
    <t>No.</t>
  </si>
  <si>
    <t>チェック項目</t>
  </si>
  <si>
    <t>◎ 器具の大きさ</t>
  </si>
  <si>
    <t>◎ 防滴か否か確認</t>
  </si>
  <si>
    <t>◎ 色温度</t>
  </si>
  <si>
    <t>◎ 見積書のシートの別置作業がない場合非表示</t>
  </si>
  <si>
    <t>消費電力を入れてない</t>
  </si>
  <si>
    <t>高所作業か否か</t>
  </si>
  <si>
    <t>照明種別が多い時(15個以上)見積反映</t>
  </si>
  <si>
    <t>除外理由記入漏れ</t>
  </si>
  <si>
    <t>表紙の確認(連名などの確認)</t>
  </si>
  <si>
    <t>工事の特記事項の記入→現調シートの内容を反映</t>
  </si>
  <si>
    <t>W数(安定器が入ってないケースが多い)</t>
  </si>
  <si>
    <t>L19とAH14がイコールか(数量の確認)</t>
  </si>
  <si>
    <t>✕ チェックを全削除</t>
  </si>
  <si>
    <t>※ チェックボックスを手動でクリアして次の案件へ</t>
  </si>
  <si>
    <t>バズエリア株式会社</t>
    <rPh sb="5" eb="9">
      <t>カブシキガイシャ</t>
    </rPh>
    <phoneticPr fontId="2"/>
  </si>
  <si>
    <t>〒151-0071　東京都渋谷区本町2-6-3 D'sVARIE初台ビル3F</t>
    <rPh sb="10" eb="13">
      <t>トウキョウト</t>
    </rPh>
    <rPh sb="13" eb="16">
      <t>シブヤク</t>
    </rPh>
    <rPh sb="16" eb="18">
      <t>ホンマチ</t>
    </rPh>
    <rPh sb="32" eb="34">
      <t>ハツダイ</t>
    </rPh>
    <phoneticPr fontId="2"/>
  </si>
  <si>
    <t>TEL：03-4586-6561　FAX：03-6812-9253</t>
    <phoneticPr fontId="2"/>
  </si>
  <si>
    <t>～LEDをいま検討しないといけない理由～</t>
    <rPh sb="7" eb="9">
      <t>ケントウ</t>
    </rPh>
    <rPh sb="17" eb="19">
      <t>リユウ</t>
    </rPh>
    <phoneticPr fontId="2"/>
  </si>
  <si>
    <t>①蛍光灯・白熱電球がなくなってしまう為</t>
    <rPh sb="1" eb="4">
      <t>ケイコウトウ</t>
    </rPh>
    <rPh sb="5" eb="9">
      <t>ハクネツデンキュウ</t>
    </rPh>
    <rPh sb="18" eb="19">
      <t>タメ</t>
    </rPh>
    <phoneticPr fontId="2"/>
  </si>
  <si>
    <t>電力量料金（円）＝消費電力（kW）×点灯時間（時間）×電力量単価（円kW）</t>
    <rPh sb="0" eb="2">
      <t>デンリョク</t>
    </rPh>
    <rPh sb="2" eb="3">
      <t>リョウ</t>
    </rPh>
    <rPh sb="3" eb="5">
      <t>リョウキン</t>
    </rPh>
    <rPh sb="6" eb="7">
      <t>エン</t>
    </rPh>
    <rPh sb="9" eb="11">
      <t>ショウヒ</t>
    </rPh>
    <rPh sb="11" eb="13">
      <t>デンリョク</t>
    </rPh>
    <rPh sb="18" eb="20">
      <t>テントウ</t>
    </rPh>
    <rPh sb="20" eb="22">
      <t>ジカン</t>
    </rPh>
    <rPh sb="23" eb="25">
      <t>ジカン</t>
    </rPh>
    <rPh sb="27" eb="29">
      <t>デンリョク</t>
    </rPh>
    <rPh sb="29" eb="30">
      <t>リョウ</t>
    </rPh>
    <rPh sb="30" eb="32">
      <t>タンカ</t>
    </rPh>
    <rPh sb="33" eb="34">
      <t>エン</t>
    </rPh>
    <phoneticPr fontId="2"/>
  </si>
  <si>
    <t>◇電力量単価は、頂いた電力明細に準ずる単価で計算しておりますが、ご提出頂けていない場合には地域電力の単価を基にして概算にて算出しております。</t>
    <rPh sb="1" eb="3">
      <t>デンリョク</t>
    </rPh>
    <rPh sb="3" eb="4">
      <t>リョウ</t>
    </rPh>
    <rPh sb="4" eb="6">
      <t>タンカ</t>
    </rPh>
    <rPh sb="8" eb="9">
      <t>イタダ</t>
    </rPh>
    <rPh sb="11" eb="13">
      <t>デンリョク</t>
    </rPh>
    <rPh sb="13" eb="15">
      <t>メイサイ</t>
    </rPh>
    <rPh sb="16" eb="17">
      <t>ジュン</t>
    </rPh>
    <rPh sb="19" eb="21">
      <t>タンカ</t>
    </rPh>
    <rPh sb="22" eb="24">
      <t>ケイサン</t>
    </rPh>
    <rPh sb="33" eb="35">
      <t>テイシュツ</t>
    </rPh>
    <rPh sb="35" eb="36">
      <t>イタダ</t>
    </rPh>
    <rPh sb="41" eb="43">
      <t>バアイ</t>
    </rPh>
    <rPh sb="45" eb="47">
      <t>チイキ</t>
    </rPh>
    <rPh sb="47" eb="49">
      <t>デンリョク</t>
    </rPh>
    <rPh sb="50" eb="52">
      <t>タンカ</t>
    </rPh>
    <rPh sb="53" eb="54">
      <t>モト</t>
    </rPh>
    <rPh sb="57" eb="59">
      <t>ガイサン</t>
    </rPh>
    <rPh sb="61" eb="63">
      <t>サンシュツ</t>
    </rPh>
    <phoneticPr fontId="2"/>
  </si>
  <si>
    <t>2、交換コストの算出方法</t>
    <rPh sb="2" eb="4">
      <t>コウカン</t>
    </rPh>
    <rPh sb="8" eb="10">
      <t>サンシュツ</t>
    </rPh>
    <rPh sb="10" eb="12">
      <t>ホウホウ</t>
    </rPh>
    <phoneticPr fontId="2"/>
  </si>
  <si>
    <t>管理会社からの電球が切れた場合の1球あたりの交換費用を基に算出しております。</t>
    <rPh sb="0" eb="2">
      <t>カンリ</t>
    </rPh>
    <rPh sb="2" eb="4">
      <t>ガイシャ</t>
    </rPh>
    <rPh sb="7" eb="9">
      <t>デンキュウ</t>
    </rPh>
    <rPh sb="10" eb="11">
      <t>キ</t>
    </rPh>
    <rPh sb="13" eb="15">
      <t>バアイ</t>
    </rPh>
    <rPh sb="17" eb="18">
      <t>キュウ</t>
    </rPh>
    <rPh sb="22" eb="24">
      <t>コウカン</t>
    </rPh>
    <rPh sb="24" eb="26">
      <t>ヒヨウ</t>
    </rPh>
    <rPh sb="27" eb="28">
      <t>モト</t>
    </rPh>
    <rPh sb="29" eb="31">
      <t>サンシュツ</t>
    </rPh>
    <phoneticPr fontId="2"/>
  </si>
  <si>
    <t>◇本シミュレーションでは、1球あたり、</t>
    <rPh sb="1" eb="2">
      <t>ホン</t>
    </rPh>
    <rPh sb="14" eb="15">
      <t>キュウ</t>
    </rPh>
    <phoneticPr fontId="2"/>
  </si>
  <si>
    <t>にて計算しております。管理会社に確認出来ていない場合には2,500円/球にて算出しております。</t>
    <rPh sb="2" eb="4">
      <t>ケイサン</t>
    </rPh>
    <rPh sb="11" eb="13">
      <t>カンリ</t>
    </rPh>
    <rPh sb="13" eb="15">
      <t>ガイシャ</t>
    </rPh>
    <rPh sb="16" eb="18">
      <t>カクニン</t>
    </rPh>
    <rPh sb="18" eb="20">
      <t>デキ</t>
    </rPh>
    <rPh sb="24" eb="26">
      <t>バアイ</t>
    </rPh>
    <rPh sb="33" eb="34">
      <t>エン</t>
    </rPh>
    <rPh sb="35" eb="36">
      <t>キュウ</t>
    </rPh>
    <rPh sb="38" eb="40">
      <t>サンシュツ</t>
    </rPh>
    <phoneticPr fontId="2"/>
  </si>
  <si>
    <t>※全国不動産管理会社様の相場は2,000円～3,000円、高い会社で5,000円となっております。</t>
    <rPh sb="1" eb="3">
      <t>ゼンコク</t>
    </rPh>
    <rPh sb="3" eb="6">
      <t>フドウサン</t>
    </rPh>
    <rPh sb="6" eb="8">
      <t>カンリ</t>
    </rPh>
    <rPh sb="8" eb="10">
      <t>ガイシャ</t>
    </rPh>
    <rPh sb="10" eb="11">
      <t>サマ</t>
    </rPh>
    <rPh sb="12" eb="14">
      <t>ソウバ</t>
    </rPh>
    <rPh sb="20" eb="21">
      <t>エン</t>
    </rPh>
    <rPh sb="27" eb="28">
      <t>エン</t>
    </rPh>
    <rPh sb="29" eb="30">
      <t>タカ</t>
    </rPh>
    <rPh sb="31" eb="33">
      <t>カイシャ</t>
    </rPh>
    <rPh sb="39" eb="40">
      <t>エン</t>
    </rPh>
    <phoneticPr fontId="2"/>
  </si>
  <si>
    <t>3、導入パターン</t>
    <rPh sb="2" eb="4">
      <t>ドウニュウ</t>
    </rPh>
    <phoneticPr fontId="2"/>
  </si>
  <si>
    <t>一括購入</t>
    <rPh sb="0" eb="2">
      <t>イッカツ</t>
    </rPh>
    <rPh sb="2" eb="4">
      <t>コウニュウ</t>
    </rPh>
    <phoneticPr fontId="2"/>
  </si>
  <si>
    <t>or</t>
    <phoneticPr fontId="2"/>
  </si>
  <si>
    <t>リース</t>
    <phoneticPr fontId="2"/>
  </si>
  <si>
    <t>②蛍光灯→品薄、LED→原材料高騰・円安でそれぞれ値上がり続けている為</t>
    <rPh sb="1" eb="4">
      <t>ケイコウトウ</t>
    </rPh>
    <rPh sb="5" eb="7">
      <t>シナウス</t>
    </rPh>
    <rPh sb="12" eb="15">
      <t>ゲンザイリョウ</t>
    </rPh>
    <rPh sb="15" eb="17">
      <t>コウトウ</t>
    </rPh>
    <rPh sb="18" eb="20">
      <t>エンヤス</t>
    </rPh>
    <rPh sb="25" eb="27">
      <t>ネア</t>
    </rPh>
    <rPh sb="29" eb="30">
      <t>ツヅ</t>
    </rPh>
    <rPh sb="34" eb="35">
      <t>タメ</t>
    </rPh>
    <phoneticPr fontId="2"/>
  </si>
  <si>
    <t>4、非常用専用照明に関して</t>
    <rPh sb="2" eb="4">
      <t>ヒジョウ</t>
    </rPh>
    <rPh sb="4" eb="5">
      <t>ヨウ</t>
    </rPh>
    <rPh sb="5" eb="7">
      <t>センヨウ</t>
    </rPh>
    <rPh sb="7" eb="9">
      <t>ショウメイ</t>
    </rPh>
    <rPh sb="10" eb="11">
      <t>カン</t>
    </rPh>
    <phoneticPr fontId="2"/>
  </si>
  <si>
    <t>弊社のご提案では、コストメリットを出して利回りを良くすることを重視して作成しておりますので、非常用専用照明（非常時にか点灯しない照明）は基本的に見積から除外をしております。</t>
    <rPh sb="0" eb="2">
      <t>ヘイシャ</t>
    </rPh>
    <rPh sb="4" eb="6">
      <t>テイアン</t>
    </rPh>
    <rPh sb="17" eb="18">
      <t>ダ</t>
    </rPh>
    <rPh sb="20" eb="22">
      <t>リマワ</t>
    </rPh>
    <rPh sb="24" eb="25">
      <t>ヨ</t>
    </rPh>
    <rPh sb="31" eb="33">
      <t>ジュウシ</t>
    </rPh>
    <rPh sb="35" eb="37">
      <t>サクセイ</t>
    </rPh>
    <rPh sb="46" eb="49">
      <t>ヒジョウヨウ</t>
    </rPh>
    <rPh sb="49" eb="51">
      <t>センヨウ</t>
    </rPh>
    <rPh sb="51" eb="53">
      <t>ショウメイ</t>
    </rPh>
    <rPh sb="54" eb="56">
      <t>ヒジョウ</t>
    </rPh>
    <rPh sb="56" eb="57">
      <t>ジ</t>
    </rPh>
    <rPh sb="59" eb="61">
      <t>テントウ</t>
    </rPh>
    <rPh sb="64" eb="66">
      <t>ショウメイ</t>
    </rPh>
    <rPh sb="68" eb="70">
      <t>キホン</t>
    </rPh>
    <rPh sb="70" eb="71">
      <t>テキ</t>
    </rPh>
    <rPh sb="72" eb="74">
      <t>ミツモリ</t>
    </rPh>
    <rPh sb="76" eb="78">
      <t>ジョガイ</t>
    </rPh>
    <phoneticPr fontId="2"/>
  </si>
  <si>
    <t>ただ、非常用専用照明も消防法上定期的なバッテリー交換が必要で、各メーカーLEDに切り替えがなされておりますので次回交換時にはLED化が必須となります。</t>
    <rPh sb="3" eb="6">
      <t>ヒジョウヨウ</t>
    </rPh>
    <rPh sb="6" eb="8">
      <t>センヨウ</t>
    </rPh>
    <rPh sb="8" eb="10">
      <t>ショウメイ</t>
    </rPh>
    <rPh sb="11" eb="14">
      <t>ショウボウホウ</t>
    </rPh>
    <rPh sb="14" eb="15">
      <t>ジョウ</t>
    </rPh>
    <rPh sb="15" eb="18">
      <t>テイキテキ</t>
    </rPh>
    <rPh sb="24" eb="26">
      <t>コウカン</t>
    </rPh>
    <rPh sb="27" eb="29">
      <t>ヒツヨウ</t>
    </rPh>
    <rPh sb="31" eb="32">
      <t>カク</t>
    </rPh>
    <rPh sb="40" eb="41">
      <t>キ</t>
    </rPh>
    <rPh sb="42" eb="43">
      <t>カ</t>
    </rPh>
    <rPh sb="55" eb="57">
      <t>ジカイ</t>
    </rPh>
    <rPh sb="57" eb="59">
      <t>コウカン</t>
    </rPh>
    <rPh sb="59" eb="60">
      <t>ジ</t>
    </rPh>
    <rPh sb="65" eb="66">
      <t>カ</t>
    </rPh>
    <rPh sb="67" eb="69">
      <t>ヒッス</t>
    </rPh>
    <phoneticPr fontId="2"/>
  </si>
  <si>
    <t>交換をする場合には別途、御見積を致しますのでお申しつけください。</t>
    <rPh sb="0" eb="2">
      <t>コウカン</t>
    </rPh>
    <rPh sb="5" eb="7">
      <t>バアイ</t>
    </rPh>
    <rPh sb="9" eb="11">
      <t>ベット</t>
    </rPh>
    <rPh sb="12" eb="15">
      <t>オミツモリ</t>
    </rPh>
    <rPh sb="16" eb="17">
      <t>イタ</t>
    </rPh>
    <rPh sb="23" eb="24">
      <t>モウ</t>
    </rPh>
    <phoneticPr fontId="2"/>
  </si>
  <si>
    <t>5、器具デザインカスタマイズに関して</t>
    <rPh sb="2" eb="4">
      <t>キグ</t>
    </rPh>
    <rPh sb="15" eb="16">
      <t>カン</t>
    </rPh>
    <phoneticPr fontId="2"/>
  </si>
  <si>
    <t>LED照明導入のメリット</t>
    <phoneticPr fontId="2"/>
  </si>
  <si>
    <t>～現地調査結果および既存照明にかかる10年間のランニングコスト～</t>
    <rPh sb="1" eb="3">
      <t>ゲンチ</t>
    </rPh>
    <rPh sb="3" eb="5">
      <t>チョウサ</t>
    </rPh>
    <rPh sb="5" eb="7">
      <t>ケッカ</t>
    </rPh>
    <rPh sb="10" eb="12">
      <t>キゾン</t>
    </rPh>
    <rPh sb="12" eb="14">
      <t>ショウメイ</t>
    </rPh>
    <rPh sb="20" eb="22">
      <t>ネンカン</t>
    </rPh>
    <phoneticPr fontId="2"/>
  </si>
  <si>
    <t>既存照明の場合</t>
    <rPh sb="0" eb="2">
      <t>キゾン</t>
    </rPh>
    <rPh sb="2" eb="4">
      <t>ショウメイ</t>
    </rPh>
    <rPh sb="5" eb="7">
      <t>バアイ</t>
    </rPh>
    <phoneticPr fontId="2"/>
  </si>
  <si>
    <t>既存照明に対してかかっている10年間のランニングコスト</t>
    <rPh sb="0" eb="2">
      <t>キゾン</t>
    </rPh>
    <rPh sb="2" eb="4">
      <t>ショウメイ</t>
    </rPh>
    <rPh sb="5" eb="6">
      <t>タイ</t>
    </rPh>
    <rPh sb="16" eb="18">
      <t>ネンカン</t>
    </rPh>
    <phoneticPr fontId="2"/>
  </si>
  <si>
    <t>No</t>
    <phoneticPr fontId="2"/>
  </si>
  <si>
    <t>照明種別</t>
    <rPh sb="0" eb="2">
      <t>ショウメイ</t>
    </rPh>
    <rPh sb="2" eb="4">
      <t>シュベツ</t>
    </rPh>
    <phoneticPr fontId="2"/>
  </si>
  <si>
    <t>月間点灯</t>
    <rPh sb="0" eb="2">
      <t>ゲッカン</t>
    </rPh>
    <rPh sb="2" eb="4">
      <t>テントウ</t>
    </rPh>
    <phoneticPr fontId="2"/>
  </si>
  <si>
    <t>電力量</t>
    <rPh sb="0" eb="2">
      <t>デンリョク</t>
    </rPh>
    <rPh sb="2" eb="3">
      <t>リョウ</t>
    </rPh>
    <phoneticPr fontId="2"/>
  </si>
  <si>
    <t>使用料(月)</t>
    <rPh sb="0" eb="3">
      <t>シヨウリョウ</t>
    </rPh>
    <rPh sb="4" eb="5">
      <t>ツキ</t>
    </rPh>
    <phoneticPr fontId="2"/>
  </si>
  <si>
    <t>①10年間でかかる電気料金の総額＝</t>
    <rPh sb="3" eb="5">
      <t>ネンカン</t>
    </rPh>
    <rPh sb="9" eb="11">
      <t>デンキ</t>
    </rPh>
    <rPh sb="11" eb="13">
      <t>リョウキン</t>
    </rPh>
    <rPh sb="14" eb="16">
      <t>ソウガク</t>
    </rPh>
    <phoneticPr fontId="2"/>
  </si>
  <si>
    <t>計算式：毎月の電気料金</t>
    <rPh sb="0" eb="2">
      <t>ケイサン</t>
    </rPh>
    <rPh sb="2" eb="3">
      <t>シキ</t>
    </rPh>
    <rPh sb="4" eb="6">
      <t>マイツキ</t>
    </rPh>
    <rPh sb="7" eb="9">
      <t>デンキ</t>
    </rPh>
    <rPh sb="9" eb="11">
      <t>リョウキン</t>
    </rPh>
    <phoneticPr fontId="2"/>
  </si>
  <si>
    <t>×10年間（120ヵ月）</t>
    <rPh sb="3" eb="4">
      <t>ネン</t>
    </rPh>
    <rPh sb="4" eb="5">
      <t>カン</t>
    </rPh>
    <rPh sb="10" eb="11">
      <t>ゲツ</t>
    </rPh>
    <phoneticPr fontId="2"/>
  </si>
  <si>
    <t>+</t>
    <phoneticPr fontId="2"/>
  </si>
  <si>
    <t>②10年間でかかる白熱球の交換コストの総額＝</t>
    <rPh sb="3" eb="5">
      <t>ネンカン</t>
    </rPh>
    <rPh sb="9" eb="11">
      <t>ハクネツ</t>
    </rPh>
    <rPh sb="11" eb="12">
      <t>キュウ</t>
    </rPh>
    <rPh sb="13" eb="15">
      <t>コウカン</t>
    </rPh>
    <rPh sb="19" eb="21">
      <t>ソウガク</t>
    </rPh>
    <phoneticPr fontId="2"/>
  </si>
  <si>
    <t>月間点灯360hの場合：</t>
    <rPh sb="0" eb="2">
      <t>ゲッカン</t>
    </rPh>
    <rPh sb="2" eb="4">
      <t>テントウ</t>
    </rPh>
    <rPh sb="9" eb="11">
      <t>バアイ</t>
    </rPh>
    <phoneticPr fontId="2"/>
  </si>
  <si>
    <t>月間点灯720hの場合：</t>
    <rPh sb="0" eb="2">
      <t>ゲッカン</t>
    </rPh>
    <rPh sb="2" eb="4">
      <t>テントウ</t>
    </rPh>
    <rPh sb="9" eb="11">
      <t>バアイ</t>
    </rPh>
    <phoneticPr fontId="2"/>
  </si>
  <si>
    <t>(※2)月間点灯360時間の場合⇒電球寿命を1年5ヵ月として10年間で7回の交換を想定して算出</t>
    <rPh sb="4" eb="6">
      <t>ゲッカン</t>
    </rPh>
    <rPh sb="6" eb="8">
      <t>テントウ</t>
    </rPh>
    <rPh sb="11" eb="13">
      <t>ジカン</t>
    </rPh>
    <rPh sb="14" eb="16">
      <t>バアイ</t>
    </rPh>
    <rPh sb="17" eb="19">
      <t>デンキュウ</t>
    </rPh>
    <rPh sb="19" eb="21">
      <t>ジュミョウ</t>
    </rPh>
    <phoneticPr fontId="2"/>
  </si>
  <si>
    <t>(※3)月間点灯720時間の場合⇒電球寿命を8ヵ月として10年間で15回の交換を想定して算出</t>
    <rPh sb="4" eb="6">
      <t>ゲッカン</t>
    </rPh>
    <rPh sb="6" eb="8">
      <t>テントウ</t>
    </rPh>
    <rPh sb="11" eb="13">
      <t>ジカン</t>
    </rPh>
    <rPh sb="14" eb="16">
      <t>バアイ</t>
    </rPh>
    <rPh sb="17" eb="19">
      <t>デンキュウ</t>
    </rPh>
    <rPh sb="19" eb="21">
      <t>ジュミョウ</t>
    </rPh>
    <phoneticPr fontId="2"/>
  </si>
  <si>
    <t>③10年間でかかる非常灯のバッテリー交換コストの総額＝</t>
    <rPh sb="3" eb="5">
      <t>ネンカン</t>
    </rPh>
    <rPh sb="9" eb="12">
      <t>ヒジョウトウ</t>
    </rPh>
    <rPh sb="18" eb="20">
      <t>コウカン</t>
    </rPh>
    <rPh sb="24" eb="26">
      <t>ソウガク</t>
    </rPh>
    <phoneticPr fontId="2"/>
  </si>
  <si>
    <t>計算式：非常照明の総数</t>
    <rPh sb="0" eb="3">
      <t>ケイサンシキ</t>
    </rPh>
    <rPh sb="4" eb="6">
      <t>ヒジョウ</t>
    </rPh>
    <rPh sb="6" eb="8">
      <t>ショウメイ</t>
    </rPh>
    <rPh sb="9" eb="11">
      <t>ソウスウ</t>
    </rPh>
    <phoneticPr fontId="2"/>
  </si>
  <si>
    <r>
      <t>×10,000円</t>
    </r>
    <r>
      <rPr>
        <b/>
        <sz val="10"/>
        <color theme="1"/>
        <rFont val="メイリオ"/>
        <family val="3"/>
        <charset val="128"/>
      </rPr>
      <t>（※4）</t>
    </r>
    <r>
      <rPr>
        <b/>
        <sz val="14"/>
        <color theme="1"/>
        <rFont val="メイリオ"/>
        <family val="3"/>
        <charset val="128"/>
      </rPr>
      <t>×2回</t>
    </r>
    <r>
      <rPr>
        <b/>
        <sz val="10"/>
        <color theme="1"/>
        <rFont val="メイリオ"/>
        <family val="3"/>
        <charset val="128"/>
      </rPr>
      <t>（※5）</t>
    </r>
    <rPh sb="7" eb="8">
      <t>エン</t>
    </rPh>
    <rPh sb="14" eb="15">
      <t>カイ</t>
    </rPh>
    <phoneticPr fontId="2"/>
  </si>
  <si>
    <t>(※4)非常灯のバッテリー交換費用⇒10,000円で計算(管理会社に委託している場合の平均)</t>
    <phoneticPr fontId="2"/>
  </si>
  <si>
    <t>(※5)内蔵バッテリーの寿命⇒5年として10年間で2回交換することを想定して算出</t>
    <phoneticPr fontId="2"/>
  </si>
  <si>
    <t>※電気代の中で「照明にかかっている電気代」のみを算出しております</t>
    <rPh sb="1" eb="4">
      <t>デンキダイ</t>
    </rPh>
    <rPh sb="5" eb="6">
      <t>ナカ</t>
    </rPh>
    <rPh sb="8" eb="10">
      <t>ショウメイ</t>
    </rPh>
    <rPh sb="17" eb="20">
      <t>デンキダイ</t>
    </rPh>
    <rPh sb="24" eb="26">
      <t>サンシュツ</t>
    </rPh>
    <phoneticPr fontId="2"/>
  </si>
  <si>
    <t>-</t>
    <phoneticPr fontId="2"/>
  </si>
  <si>
    <t>★10年間で既存照明に対してかかるランニングコストの総額＝</t>
    <rPh sb="3" eb="5">
      <t>ネンカン</t>
    </rPh>
    <rPh sb="6" eb="8">
      <t>キゾン</t>
    </rPh>
    <rPh sb="8" eb="10">
      <t>ショウメイ</t>
    </rPh>
    <rPh sb="11" eb="12">
      <t>タイ</t>
    </rPh>
    <rPh sb="26" eb="28">
      <t>ソウガク</t>
    </rPh>
    <phoneticPr fontId="2"/>
  </si>
  <si>
    <t>～LED照明導入後の削減費用および10年間のランニングコスト～</t>
    <rPh sb="4" eb="6">
      <t>ショウメイ</t>
    </rPh>
    <rPh sb="6" eb="8">
      <t>ドウニュウ</t>
    </rPh>
    <rPh sb="8" eb="9">
      <t>ゴ</t>
    </rPh>
    <rPh sb="10" eb="12">
      <t>サクゲン</t>
    </rPh>
    <rPh sb="12" eb="14">
      <t>ヒヨウ</t>
    </rPh>
    <rPh sb="19" eb="21">
      <t>ネンカン</t>
    </rPh>
    <phoneticPr fontId="2"/>
  </si>
  <si>
    <t>LED照明交換後</t>
    <phoneticPr fontId="2"/>
  </si>
  <si>
    <t>LED照明に交換した場合の10年間のランニングコスト</t>
    <rPh sb="3" eb="5">
      <t>ショウメイ</t>
    </rPh>
    <rPh sb="6" eb="8">
      <t>コウカン</t>
    </rPh>
    <rPh sb="10" eb="12">
      <t>バアイ</t>
    </rPh>
    <rPh sb="15" eb="17">
      <t>ネンカン</t>
    </rPh>
    <phoneticPr fontId="2"/>
  </si>
  <si>
    <t>※②が「0円」場合には左に移動してください</t>
    <rPh sb="5" eb="6">
      <t>エン</t>
    </rPh>
    <rPh sb="7" eb="9">
      <t>バアイ</t>
    </rPh>
    <rPh sb="11" eb="12">
      <t>ヒダリ</t>
    </rPh>
    <rPh sb="13" eb="15">
      <t>イドウ</t>
    </rPh>
    <phoneticPr fontId="2"/>
  </si>
  <si>
    <t>②10年間でかかるLED照明の交換コストの総額＝</t>
    <rPh sb="3" eb="5">
      <t>ネンカン</t>
    </rPh>
    <rPh sb="12" eb="14">
      <t>ショウメイ</t>
    </rPh>
    <rPh sb="15" eb="17">
      <t>コウカン</t>
    </rPh>
    <rPh sb="21" eb="23">
      <t>ソウガク</t>
    </rPh>
    <phoneticPr fontId="2"/>
  </si>
  <si>
    <t>× 3,000円（※1）× 1回（※3）</t>
    <phoneticPr fontId="2"/>
  </si>
  <si>
    <t>(※1)月間点灯720時間の場合、光源部分の交換を3,000円/球として算出</t>
    <rPh sb="4" eb="6">
      <t>ゲッカン</t>
    </rPh>
    <rPh sb="6" eb="8">
      <t>テントウ</t>
    </rPh>
    <rPh sb="11" eb="13">
      <t>ジカン</t>
    </rPh>
    <rPh sb="14" eb="16">
      <t>バアイ</t>
    </rPh>
    <rPh sb="17" eb="19">
      <t>コウゲン</t>
    </rPh>
    <rPh sb="19" eb="21">
      <t>ブブン</t>
    </rPh>
    <rPh sb="22" eb="24">
      <t>コウカン</t>
    </rPh>
    <rPh sb="30" eb="31">
      <t>エン</t>
    </rPh>
    <rPh sb="32" eb="33">
      <t>キュウ</t>
    </rPh>
    <rPh sb="36" eb="38">
      <t>サンシュツ</t>
    </rPh>
    <phoneticPr fontId="2"/>
  </si>
  <si>
    <t>(※3)月間点灯720時間の場合、10年間で1回の光源部分交換を想定して算出</t>
    <rPh sb="4" eb="6">
      <t>ゲッカン</t>
    </rPh>
    <rPh sb="6" eb="8">
      <t>テントウ</t>
    </rPh>
    <rPh sb="11" eb="13">
      <t>ジカン</t>
    </rPh>
    <rPh sb="14" eb="16">
      <t>バアイ</t>
    </rPh>
    <rPh sb="19" eb="21">
      <t>ネンカン</t>
    </rPh>
    <rPh sb="23" eb="24">
      <t>カイ</t>
    </rPh>
    <rPh sb="25" eb="27">
      <t>コウゲン</t>
    </rPh>
    <rPh sb="27" eb="29">
      <t>ブブン</t>
    </rPh>
    <rPh sb="29" eb="31">
      <t>コウカン</t>
    </rPh>
    <rPh sb="32" eb="34">
      <t>ソウテイ</t>
    </rPh>
    <rPh sb="36" eb="38">
      <t>サンシュツ</t>
    </rPh>
    <phoneticPr fontId="2"/>
  </si>
  <si>
    <r>
      <t>×8,000円</t>
    </r>
    <r>
      <rPr>
        <b/>
        <sz val="10"/>
        <color theme="1"/>
        <rFont val="メイリオ"/>
        <family val="3"/>
        <charset val="128"/>
      </rPr>
      <t>（※4）</t>
    </r>
    <r>
      <rPr>
        <b/>
        <sz val="14"/>
        <color theme="1"/>
        <rFont val="メイリオ"/>
        <family val="3"/>
        <charset val="128"/>
      </rPr>
      <t>×2回</t>
    </r>
    <r>
      <rPr>
        <b/>
        <sz val="10"/>
        <color theme="1"/>
        <rFont val="メイリオ"/>
        <family val="3"/>
        <charset val="128"/>
      </rPr>
      <t>（※5）</t>
    </r>
    <rPh sb="6" eb="7">
      <t>エン</t>
    </rPh>
    <rPh sb="13" eb="14">
      <t>カイ</t>
    </rPh>
    <phoneticPr fontId="2"/>
  </si>
  <si>
    <t>(※4)非常灯のバッテリー交換費用⇒8,000円で計算(管理会社に委託している場合の平均)</t>
    <phoneticPr fontId="2"/>
  </si>
  <si>
    <t>～既存照明とLED照明の10年間のランニングコスト比較～</t>
    <rPh sb="1" eb="3">
      <t>キゾン</t>
    </rPh>
    <rPh sb="3" eb="5">
      <t>ショウメイ</t>
    </rPh>
    <rPh sb="9" eb="11">
      <t>ショウメイ</t>
    </rPh>
    <rPh sb="14" eb="16">
      <t>ネンカン</t>
    </rPh>
    <rPh sb="25" eb="27">
      <t>ヒカク</t>
    </rPh>
    <phoneticPr fontId="2"/>
  </si>
  <si>
    <t>既存照明</t>
    <phoneticPr fontId="2"/>
  </si>
  <si>
    <t>LED照明</t>
    <rPh sb="3" eb="5">
      <t>ショウメイ</t>
    </rPh>
    <phoneticPr fontId="2"/>
  </si>
  <si>
    <t>導入前後の差額</t>
    <rPh sb="0" eb="2">
      <t>ドウニュウ</t>
    </rPh>
    <rPh sb="2" eb="4">
      <t>ゼンゴ</t>
    </rPh>
    <rPh sb="5" eb="7">
      <t>サガク</t>
    </rPh>
    <phoneticPr fontId="2"/>
  </si>
  <si>
    <t>削減率</t>
    <rPh sb="0" eb="2">
      <t>サクゲン</t>
    </rPh>
    <rPh sb="2" eb="3">
      <t>リツ</t>
    </rPh>
    <phoneticPr fontId="2"/>
  </si>
  <si>
    <t>①電気料金の比較</t>
    <rPh sb="1" eb="3">
      <t>デンキ</t>
    </rPh>
    <rPh sb="3" eb="5">
      <t>リョウキン</t>
    </rPh>
    <rPh sb="6" eb="8">
      <t>ヒカク</t>
    </rPh>
    <phoneticPr fontId="2"/>
  </si>
  <si>
    <t>➡</t>
    <phoneticPr fontId="2"/>
  </si>
  <si>
    <t>ー</t>
    <phoneticPr fontId="2"/>
  </si>
  <si>
    <t>＝</t>
    <phoneticPr fontId="2"/>
  </si>
  <si>
    <t>②白熱球とLED照明の交換コストの比較</t>
    <rPh sb="1" eb="3">
      <t>ハクネツ</t>
    </rPh>
    <rPh sb="3" eb="4">
      <t>キュウ</t>
    </rPh>
    <rPh sb="8" eb="10">
      <t>ショウメイ</t>
    </rPh>
    <rPh sb="11" eb="13">
      <t>コウカン</t>
    </rPh>
    <rPh sb="17" eb="19">
      <t>ヒカク</t>
    </rPh>
    <phoneticPr fontId="2"/>
  </si>
  <si>
    <t>③非常灯のバッテリー交換コストの比較</t>
    <rPh sb="16" eb="18">
      <t>ヒカク</t>
    </rPh>
    <phoneticPr fontId="2"/>
  </si>
  <si>
    <t>★既存照明とLED照明の10年間のランニングコスト比較</t>
    <rPh sb="1" eb="3">
      <t>キゾン</t>
    </rPh>
    <rPh sb="3" eb="5">
      <t>ショウメイ</t>
    </rPh>
    <rPh sb="9" eb="11">
      <t>ショウメイ</t>
    </rPh>
    <rPh sb="14" eb="16">
      <t>ネンカン</t>
    </rPh>
    <rPh sb="25" eb="27">
      <t>ヒカク</t>
    </rPh>
    <phoneticPr fontId="2"/>
  </si>
  <si>
    <t>備考：</t>
    <rPh sb="0" eb="2">
      <t>ビコウ</t>
    </rPh>
    <phoneticPr fontId="2"/>
  </si>
  <si>
    <t>★電気代だけでみた毎月の削減金額・・・・</t>
    <rPh sb="1" eb="4">
      <t>デンキダイ</t>
    </rPh>
    <rPh sb="9" eb="11">
      <t>マイツキ</t>
    </rPh>
    <rPh sb="12" eb="14">
      <t>サクゲン</t>
    </rPh>
    <rPh sb="14" eb="16">
      <t>キンガク</t>
    </rPh>
    <phoneticPr fontId="2"/>
  </si>
  <si>
    <t>【免責】本資料に記載された内容は、一定条件下における試算結果であり数値等を保証するものでは御座いません。</t>
    <phoneticPr fontId="2"/>
  </si>
  <si>
    <t>照明の交換方法</t>
    <rPh sb="0" eb="2">
      <t>ショウメイ</t>
    </rPh>
    <rPh sb="3" eb="5">
      <t>コウカン</t>
    </rPh>
    <rPh sb="5" eb="7">
      <t>ホウホウ</t>
    </rPh>
    <phoneticPr fontId="2"/>
  </si>
  <si>
    <t>御見積書</t>
    <rPh sb="0" eb="1">
      <t>オ</t>
    </rPh>
    <rPh sb="1" eb="4">
      <t>ミツモリショ</t>
    </rPh>
    <phoneticPr fontId="2"/>
  </si>
  <si>
    <t>発行日：</t>
    <rPh sb="0" eb="3">
      <t>ハッコウビ</t>
    </rPh>
    <phoneticPr fontId="2"/>
  </si>
  <si>
    <t>この度は、御見積もりのご依頼を頂き誠にありがとうございます。</t>
    <rPh sb="2" eb="3">
      <t>タビ</t>
    </rPh>
    <rPh sb="5" eb="6">
      <t>オ</t>
    </rPh>
    <rPh sb="6" eb="8">
      <t>ミツ</t>
    </rPh>
    <rPh sb="12" eb="14">
      <t>イライ</t>
    </rPh>
    <rPh sb="15" eb="16">
      <t>イタダ</t>
    </rPh>
    <rPh sb="17" eb="18">
      <t>マコト</t>
    </rPh>
    <phoneticPr fontId="2"/>
  </si>
  <si>
    <t>下記の通りＬＥＤ照明改修工事の御見積もり申し上げます。</t>
    <rPh sb="0" eb="2">
      <t>カキ</t>
    </rPh>
    <rPh sb="3" eb="4">
      <t>トオ</t>
    </rPh>
    <rPh sb="8" eb="10">
      <t>ショウメイ</t>
    </rPh>
    <rPh sb="10" eb="12">
      <t>カイシュウ</t>
    </rPh>
    <rPh sb="12" eb="14">
      <t>コウジ</t>
    </rPh>
    <rPh sb="15" eb="18">
      <t>オミツ</t>
    </rPh>
    <rPh sb="20" eb="21">
      <t>モウ</t>
    </rPh>
    <rPh sb="22" eb="23">
      <t>ア</t>
    </rPh>
    <phoneticPr fontId="2"/>
  </si>
  <si>
    <t>何卒ご用命賜りますようお願い申し上げます。</t>
    <rPh sb="0" eb="2">
      <t>ナニトゾ</t>
    </rPh>
    <rPh sb="3" eb="5">
      <t>ヨウメイ</t>
    </rPh>
    <rPh sb="5" eb="6">
      <t>タマワ</t>
    </rPh>
    <rPh sb="12" eb="13">
      <t>ネガ</t>
    </rPh>
    <rPh sb="14" eb="15">
      <t>モウ</t>
    </rPh>
    <rPh sb="16" eb="17">
      <t>ア</t>
    </rPh>
    <phoneticPr fontId="2"/>
  </si>
  <si>
    <t>リース金額(税抜)：</t>
    <rPh sb="3" eb="5">
      <t>キンガク</t>
    </rPh>
    <rPh sb="6" eb="7">
      <t>ゼイ</t>
    </rPh>
    <rPh sb="7" eb="8">
      <t>ヌ</t>
    </rPh>
    <phoneticPr fontId="2"/>
  </si>
  <si>
    <t>内容：</t>
    <rPh sb="0" eb="2">
      <t>ナイヨウ</t>
    </rPh>
    <phoneticPr fontId="2"/>
  </si>
  <si>
    <t>共用部分照明のＬＥＤ改修工事</t>
    <rPh sb="0" eb="2">
      <t>キョウヨウ</t>
    </rPh>
    <rPh sb="2" eb="4">
      <t>ブブン</t>
    </rPh>
    <rPh sb="4" eb="6">
      <t>ショウメイ</t>
    </rPh>
    <rPh sb="10" eb="12">
      <t>カイシュウ</t>
    </rPh>
    <rPh sb="12" eb="14">
      <t>コウジ</t>
    </rPh>
    <phoneticPr fontId="2"/>
  </si>
  <si>
    <t>リース金額(税込)：</t>
    <rPh sb="3" eb="5">
      <t>キンガク</t>
    </rPh>
    <rPh sb="6" eb="7">
      <t>ゼイ</t>
    </rPh>
    <rPh sb="7" eb="8">
      <t>コミ</t>
    </rPh>
    <phoneticPr fontId="2"/>
  </si>
  <si>
    <t>有効期限：</t>
    <rPh sb="0" eb="2">
      <t>ユウコウ</t>
    </rPh>
    <rPh sb="2" eb="4">
      <t>キゲン</t>
    </rPh>
    <phoneticPr fontId="2"/>
  </si>
  <si>
    <t>発行日より1ヵ月</t>
    <rPh sb="0" eb="2">
      <t>ハッコウ</t>
    </rPh>
    <rPh sb="2" eb="3">
      <t>ヒ</t>
    </rPh>
    <rPh sb="7" eb="8">
      <t>ゲツ</t>
    </rPh>
    <phoneticPr fontId="2"/>
  </si>
  <si>
    <t>一括購入金額(税抜)：</t>
    <phoneticPr fontId="2"/>
  </si>
  <si>
    <t>一括購入金額(税込)：</t>
    <rPh sb="8" eb="9">
      <t>コミ</t>
    </rPh>
    <phoneticPr fontId="2"/>
  </si>
  <si>
    <t>←税込の場合は消すの忘れないように注意</t>
    <rPh sb="1" eb="3">
      <t>ゼイコミ</t>
    </rPh>
    <rPh sb="4" eb="6">
      <t>バアイ</t>
    </rPh>
    <rPh sb="7" eb="8">
      <t>ケ</t>
    </rPh>
    <rPh sb="10" eb="11">
      <t>ワス</t>
    </rPh>
    <rPh sb="17" eb="19">
      <t>チュウイ</t>
    </rPh>
    <phoneticPr fontId="2"/>
  </si>
  <si>
    <t>No.</t>
    <phoneticPr fontId="2"/>
  </si>
  <si>
    <t>内容</t>
    <rPh sb="0" eb="2">
      <t>ナイヨウ</t>
    </rPh>
    <phoneticPr fontId="2"/>
  </si>
  <si>
    <t>単価</t>
    <rPh sb="0" eb="2">
      <t>タンカ</t>
    </rPh>
    <phoneticPr fontId="2"/>
  </si>
  <si>
    <t>小計</t>
    <rPh sb="0" eb="2">
      <t>ショウケイ</t>
    </rPh>
    <phoneticPr fontId="2"/>
  </si>
  <si>
    <t>ＬＥＤ照明一式</t>
    <rPh sb="3" eb="5">
      <t>ショウメイ</t>
    </rPh>
    <rPh sb="5" eb="7">
      <t>イッシキ</t>
    </rPh>
    <phoneticPr fontId="2"/>
  </si>
  <si>
    <t>（工事費 / 廃棄費等 込み）</t>
    <rPh sb="1" eb="4">
      <t>コウジヒ</t>
    </rPh>
    <rPh sb="7" eb="9">
      <t>ハイキ</t>
    </rPh>
    <rPh sb="9" eb="10">
      <t>ヒ</t>
    </rPh>
    <rPh sb="10" eb="11">
      <t>トウ</t>
    </rPh>
    <rPh sb="12" eb="13">
      <t>コ</t>
    </rPh>
    <phoneticPr fontId="2"/>
  </si>
  <si>
    <t>【備考】</t>
    <rPh sb="1" eb="3">
      <t>ビコウ</t>
    </rPh>
    <phoneticPr fontId="2"/>
  </si>
  <si>
    <t>内訳明細書①</t>
    <rPh sb="0" eb="2">
      <t>ウチワケ</t>
    </rPh>
    <rPh sb="2" eb="4">
      <t>メイサイ</t>
    </rPh>
    <rPh sb="4" eb="5">
      <t>ショ</t>
    </rPh>
    <phoneticPr fontId="2"/>
  </si>
  <si>
    <t>内訳明細書②</t>
    <rPh sb="0" eb="2">
      <t>ウチワケ</t>
    </rPh>
    <rPh sb="2" eb="4">
      <t>メイサイ</t>
    </rPh>
    <rPh sb="4" eb="5">
      <t>ショ</t>
    </rPh>
    <phoneticPr fontId="2"/>
  </si>
  <si>
    <t>交換種別</t>
    <rPh sb="0" eb="2">
      <t>コウカン</t>
    </rPh>
    <rPh sb="2" eb="4">
      <t>シュベツ</t>
    </rPh>
    <phoneticPr fontId="2"/>
  </si>
  <si>
    <t>※複数棟キャンペーンの適応は発行日より1ヵ月間となります。</t>
    <rPh sb="1" eb="3">
      <t>フクスウ</t>
    </rPh>
    <rPh sb="3" eb="4">
      <t>トウ</t>
    </rPh>
    <rPh sb="11" eb="13">
      <t>テキオウ</t>
    </rPh>
    <rPh sb="14" eb="16">
      <t>ハッコウ</t>
    </rPh>
    <rPh sb="16" eb="17">
      <t>ビ</t>
    </rPh>
    <rPh sb="21" eb="22">
      <t>ゲツ</t>
    </rPh>
    <rPh sb="22" eb="23">
      <t>カン</t>
    </rPh>
    <phoneticPr fontId="2"/>
  </si>
  <si>
    <t>物件名 / 内容</t>
    <rPh sb="0" eb="2">
      <t>ブッケン</t>
    </rPh>
    <rPh sb="2" eb="3">
      <t>メイ</t>
    </rPh>
    <rPh sb="6" eb="8">
      <t>ナイヨウ</t>
    </rPh>
    <phoneticPr fontId="2"/>
  </si>
  <si>
    <t>小計(購入価格)</t>
    <rPh sb="0" eb="2">
      <t>ショウケイ</t>
    </rPh>
    <rPh sb="3" eb="5">
      <t>コウニュウ</t>
    </rPh>
    <rPh sb="5" eb="7">
      <t>カカク</t>
    </rPh>
    <phoneticPr fontId="2"/>
  </si>
  <si>
    <t>小計(リース代/月)</t>
    <rPh sb="0" eb="2">
      <t>ショウケイ</t>
    </rPh>
    <rPh sb="6" eb="7">
      <t>ダイ</t>
    </rPh>
    <rPh sb="8" eb="9">
      <t>ツキ</t>
    </rPh>
    <phoneticPr fontId="2"/>
  </si>
  <si>
    <t>合計:</t>
    <rPh sb="0" eb="2">
      <t>ゴウケイ</t>
    </rPh>
    <phoneticPr fontId="2"/>
  </si>
  <si>
    <t>※月額リース代(税抜)が2,728円未満の場合にはリース契約は不可となりますが、複数棟をまとめて税抜2,728円以上の場合には可能となります。</t>
    <phoneticPr fontId="2"/>
  </si>
  <si>
    <t>下記の通りＬＥＤ照明改修工事の御見積もり申し上げます。何卒ご用命賜りますようお願い申し上げます。</t>
    <rPh sb="0" eb="2">
      <t>カキ</t>
    </rPh>
    <rPh sb="3" eb="4">
      <t>トオ</t>
    </rPh>
    <rPh sb="8" eb="10">
      <t>ショウメイ</t>
    </rPh>
    <rPh sb="10" eb="12">
      <t>カイシュウ</t>
    </rPh>
    <rPh sb="12" eb="14">
      <t>コウジ</t>
    </rPh>
    <rPh sb="15" eb="18">
      <t>オミツ</t>
    </rPh>
    <rPh sb="20" eb="21">
      <t>モウ</t>
    </rPh>
    <rPh sb="22" eb="23">
      <t>ア</t>
    </rPh>
    <phoneticPr fontId="2"/>
  </si>
  <si>
    <t>定価</t>
    <rPh sb="0" eb="2">
      <t>テイカ</t>
    </rPh>
    <phoneticPr fontId="2"/>
  </si>
  <si>
    <t>お値引き</t>
    <rPh sb="1" eb="3">
      <t>ネビ</t>
    </rPh>
    <phoneticPr fontId="2"/>
  </si>
  <si>
    <t>商品代合計</t>
    <rPh sb="0" eb="2">
      <t>ショウヒン</t>
    </rPh>
    <rPh sb="2" eb="3">
      <t>ダイ</t>
    </rPh>
    <rPh sb="3" eb="5">
      <t>ゴウケイ</t>
    </rPh>
    <phoneticPr fontId="2"/>
  </si>
  <si>
    <t>施工内容</t>
    <rPh sb="0" eb="2">
      <t>セコウ</t>
    </rPh>
    <rPh sb="2" eb="4">
      <t>ナイヨウ</t>
    </rPh>
    <phoneticPr fontId="2"/>
  </si>
  <si>
    <t>工事費人工</t>
    <rPh sb="0" eb="2">
      <t>コウジ</t>
    </rPh>
    <rPh sb="2" eb="3">
      <t>ヒ</t>
    </rPh>
    <rPh sb="3" eb="4">
      <t>ニン</t>
    </rPh>
    <rPh sb="4" eb="5">
      <t>ク</t>
    </rPh>
    <phoneticPr fontId="2"/>
  </si>
  <si>
    <t>通常施工費</t>
    <rPh sb="0" eb="2">
      <t>ツウジョウ</t>
    </rPh>
    <rPh sb="2" eb="4">
      <t>セコウ</t>
    </rPh>
    <rPh sb="4" eb="5">
      <t>ヒ</t>
    </rPh>
    <phoneticPr fontId="2"/>
  </si>
  <si>
    <t xml:space="preserve">    　施工費　(非常灯別置工事)</t>
    <rPh sb="5" eb="7">
      <t>セコウ</t>
    </rPh>
    <rPh sb="7" eb="8">
      <t>ヒ</t>
    </rPh>
    <phoneticPr fontId="2"/>
  </si>
  <si>
    <t xml:space="preserve">     施工費　(配線直結工事）</t>
    <phoneticPr fontId="2"/>
  </si>
  <si>
    <t xml:space="preserve">   施工費　(ランプ交換）</t>
    <phoneticPr fontId="2"/>
  </si>
  <si>
    <t>諸経費</t>
    <rPh sb="0" eb="3">
      <t>ショケイヒ</t>
    </rPh>
    <phoneticPr fontId="2"/>
  </si>
  <si>
    <t>廃棄代</t>
    <rPh sb="0" eb="2">
      <t>ハイキ</t>
    </rPh>
    <rPh sb="2" eb="3">
      <t>ダイ</t>
    </rPh>
    <phoneticPr fontId="2"/>
  </si>
  <si>
    <t>交通費</t>
    <rPh sb="0" eb="3">
      <t>コウツウヒ</t>
    </rPh>
    <phoneticPr fontId="2"/>
  </si>
  <si>
    <t>工事費合計</t>
    <rPh sb="0" eb="3">
      <t>コウジヒ</t>
    </rPh>
    <rPh sb="3" eb="5">
      <t>ゴウケイ</t>
    </rPh>
    <phoneticPr fontId="2"/>
  </si>
  <si>
    <t>商品代 + 工事代</t>
    <rPh sb="0" eb="2">
      <t>ショウヒン</t>
    </rPh>
    <rPh sb="2" eb="3">
      <t>ダイ</t>
    </rPh>
    <rPh sb="6" eb="9">
      <t>コウジダイ</t>
    </rPh>
    <phoneticPr fontId="2"/>
  </si>
  <si>
    <t>一括購入金額(税抜)：</t>
  </si>
  <si>
    <t>×60ヵ月</t>
    <rPh sb="4" eb="5">
      <t>ゲツ</t>
    </rPh>
    <phoneticPr fontId="2"/>
  </si>
  <si>
    <t>※消費税は別途申し受けいたします。</t>
    <phoneticPr fontId="2"/>
  </si>
  <si>
    <t>　　　　　　　　　　　　　　　　　　施工費　(非常灯別置工事)</t>
    <rPh sb="18" eb="20">
      <t>セコウ</t>
    </rPh>
    <rPh sb="20" eb="21">
      <t>ヒ</t>
    </rPh>
    <rPh sb="23" eb="26">
      <t>ヒジョウトウ</t>
    </rPh>
    <rPh sb="26" eb="28">
      <t>ベッチ</t>
    </rPh>
    <rPh sb="28" eb="30">
      <t>コウジ</t>
    </rPh>
    <phoneticPr fontId="2"/>
  </si>
  <si>
    <t>　　　　　　　　　　　　　　　　　　施工費　(配線直結工事）</t>
    <rPh sb="18" eb="20">
      <t>セコウ</t>
    </rPh>
    <rPh sb="20" eb="21">
      <t>ヒ</t>
    </rPh>
    <rPh sb="23" eb="29">
      <t>ハイセンチョッケツコウジ</t>
    </rPh>
    <phoneticPr fontId="2"/>
  </si>
  <si>
    <t>　　　　　　　　　　　　　　　　　　施工費　(ランプ交換）</t>
    <rPh sb="18" eb="20">
      <t>セコウ</t>
    </rPh>
    <rPh sb="20" eb="21">
      <t>ヒ</t>
    </rPh>
    <rPh sb="26" eb="28">
      <t>コウカン</t>
    </rPh>
    <phoneticPr fontId="2"/>
  </si>
  <si>
    <t>お値引き</t>
    <phoneticPr fontId="2"/>
  </si>
  <si>
    <t>　　　　　　　　　　　　　　　　　　施工費　(非常灯別置工事/蛍光灯埋込器具工事)</t>
  </si>
  <si>
    <t>合計</t>
    <rPh sb="0" eb="1">
      <t>ゴウ</t>
    </rPh>
    <rPh sb="1" eb="2">
      <t>ケイ</t>
    </rPh>
    <phoneticPr fontId="2"/>
  </si>
  <si>
    <t>発行日：</t>
    <phoneticPr fontId="2"/>
  </si>
  <si>
    <t>一括購入の費用</t>
    <rPh sb="0" eb="2">
      <t>イッカツ</t>
    </rPh>
    <rPh sb="2" eb="4">
      <t>コウニュウ</t>
    </rPh>
    <rPh sb="5" eb="7">
      <t>ヒヨウ</t>
    </rPh>
    <phoneticPr fontId="2"/>
  </si>
  <si>
    <t>毎月の削減金額(平均)</t>
    <phoneticPr fontId="2"/>
  </si>
  <si>
    <t>÷</t>
    <phoneticPr fontId="2"/>
  </si>
  <si>
    <t>回収年数</t>
    <rPh sb="0" eb="2">
      <t>カイシュウ</t>
    </rPh>
    <rPh sb="2" eb="4">
      <t>ネンスウ</t>
    </rPh>
    <phoneticPr fontId="2"/>
  </si>
  <si>
    <t>=</t>
    <phoneticPr fontId="2"/>
  </si>
  <si>
    <t>←←←←←税込の場合は消すの忘れないように注意</t>
    <rPh sb="5" eb="7">
      <t>ゼイコミ</t>
    </rPh>
    <rPh sb="8" eb="10">
      <t>バアイ</t>
    </rPh>
    <rPh sb="11" eb="12">
      <t>ケ</t>
    </rPh>
    <rPh sb="14" eb="15">
      <t>ワス</t>
    </rPh>
    <rPh sb="21" eb="23">
      <t>チュウイ</t>
    </rPh>
    <phoneticPr fontId="2"/>
  </si>
  <si>
    <t>設置場所</t>
    <rPh sb="0" eb="2">
      <t>セッチ</t>
    </rPh>
    <rPh sb="2" eb="4">
      <t>バショ</t>
    </rPh>
    <phoneticPr fontId="2"/>
  </si>
  <si>
    <t>メーカー/型番</t>
    <rPh sb="5" eb="7">
      <t>カタバン</t>
    </rPh>
    <phoneticPr fontId="2"/>
  </si>
  <si>
    <t>商品代小計</t>
    <rPh sb="0" eb="3">
      <t>ショウヒンダイ</t>
    </rPh>
    <rPh sb="3" eb="5">
      <t>ショウケイ</t>
    </rPh>
    <phoneticPr fontId="2"/>
  </si>
  <si>
    <t>　　　施工費　(非常灯別置工事)</t>
    <phoneticPr fontId="2"/>
  </si>
  <si>
    <t>　 　施工費　(配線直結工事）</t>
    <phoneticPr fontId="2"/>
  </si>
  <si>
    <t>工事費小計</t>
    <rPh sb="0" eb="3">
      <t>コウジヒ</t>
    </rPh>
    <rPh sb="3" eb="5">
      <t>ショウケイ</t>
    </rPh>
    <phoneticPr fontId="2"/>
  </si>
  <si>
    <t>商品代+工事費</t>
    <rPh sb="0" eb="3">
      <t>ショウヒンダイ</t>
    </rPh>
    <rPh sb="4" eb="7">
      <t>コウジヒ</t>
    </rPh>
    <phoneticPr fontId="2"/>
  </si>
  <si>
    <t>～LED照明の導入パターン～</t>
    <rPh sb="4" eb="6">
      <t>ショウメイ</t>
    </rPh>
    <rPh sb="7" eb="9">
      <t>ドウニュウ</t>
    </rPh>
    <phoneticPr fontId="2"/>
  </si>
  <si>
    <t>＜リースで交換した場合＞ 無償譲渡型リース</t>
    <rPh sb="5" eb="7">
      <t>コウカン</t>
    </rPh>
    <rPh sb="9" eb="11">
      <t>バアイ</t>
    </rPh>
    <rPh sb="13" eb="15">
      <t>ムショウ</t>
    </rPh>
    <rPh sb="15" eb="17">
      <t>ジョウト</t>
    </rPh>
    <rPh sb="17" eb="18">
      <t>ガタ</t>
    </rPh>
    <phoneticPr fontId="2"/>
  </si>
  <si>
    <t>＜一括購入で交換した場合＞</t>
    <rPh sb="1" eb="3">
      <t>イッカツ</t>
    </rPh>
    <rPh sb="3" eb="5">
      <t>コウニュウ</t>
    </rPh>
    <rPh sb="6" eb="8">
      <t>コウカン</t>
    </rPh>
    <rPh sb="10" eb="12">
      <t>バアイ</t>
    </rPh>
    <phoneticPr fontId="2"/>
  </si>
  <si>
    <t>★リースで交換した場合のリース料金：</t>
    <rPh sb="5" eb="7">
      <t>コウカン</t>
    </rPh>
    <rPh sb="9" eb="11">
      <t>バアイ</t>
    </rPh>
    <rPh sb="15" eb="17">
      <t>リョウキン</t>
    </rPh>
    <phoneticPr fontId="2"/>
  </si>
  <si>
    <t>✖</t>
    <phoneticPr fontId="2"/>
  </si>
  <si>
    <t>★一括購入で交換した場合の交換費用：</t>
    <rPh sb="1" eb="3">
      <t>イッカツ</t>
    </rPh>
    <rPh sb="3" eb="5">
      <t>コウニュウ</t>
    </rPh>
    <rPh sb="6" eb="8">
      <t>コウカン</t>
    </rPh>
    <rPh sb="10" eb="12">
      <t>バアイ</t>
    </rPh>
    <rPh sb="13" eb="15">
      <t>コウカン</t>
    </rPh>
    <rPh sb="15" eb="17">
      <t>ヒヨウ</t>
    </rPh>
    <phoneticPr fontId="2"/>
  </si>
  <si>
    <t>※照明器具ごとLED照明に交換を致します。</t>
    <rPh sb="1" eb="3">
      <t>ショウメイ</t>
    </rPh>
    <rPh sb="3" eb="5">
      <t>キグ</t>
    </rPh>
    <rPh sb="10" eb="12">
      <t>ショウメイ</t>
    </rPh>
    <rPh sb="13" eb="15">
      <t>コウカン</t>
    </rPh>
    <rPh sb="16" eb="17">
      <t>イタ</t>
    </rPh>
    <phoneticPr fontId="2"/>
  </si>
  <si>
    <t>工事費込み</t>
    <rPh sb="0" eb="3">
      <t>コウジヒ</t>
    </rPh>
    <rPh sb="3" eb="4">
      <t>コ</t>
    </rPh>
    <phoneticPr fontId="2"/>
  </si>
  <si>
    <t>※総支払金額</t>
    <rPh sb="1" eb="2">
      <t>ソウ</t>
    </rPh>
    <rPh sb="2" eb="4">
      <t>シハライ</t>
    </rPh>
    <rPh sb="4" eb="6">
      <t>キンガク</t>
    </rPh>
    <phoneticPr fontId="2"/>
  </si>
  <si>
    <t>【リースで導入した場合のイメージ図】</t>
    <rPh sb="5" eb="7">
      <t>ドウニュウ</t>
    </rPh>
    <rPh sb="9" eb="11">
      <t>バアイ</t>
    </rPh>
    <rPh sb="16" eb="17">
      <t>ズ</t>
    </rPh>
    <phoneticPr fontId="2"/>
  </si>
  <si>
    <t>【回収予測グラフ】</t>
    <rPh sb="1" eb="3">
      <t>カイシュウ</t>
    </rPh>
    <rPh sb="3" eb="5">
      <t>ヨソク</t>
    </rPh>
    <phoneticPr fontId="2"/>
  </si>
  <si>
    <t>(※)交換コストとは2ページ目、3ページ目で算出した白熱球と非常灯バッテリーの交換コスト(120ヵ月)を1ヵ月に振り分けて算出した金額</t>
    <phoneticPr fontId="2"/>
  </si>
  <si>
    <t>毎月の削減金額（平均）</t>
    <rPh sb="0" eb="2">
      <t>マイツキ</t>
    </rPh>
    <rPh sb="3" eb="5">
      <t>サクゲン</t>
    </rPh>
    <rPh sb="5" eb="7">
      <t>キンガク</t>
    </rPh>
    <rPh sb="8" eb="10">
      <t>ヘイキン</t>
    </rPh>
    <phoneticPr fontId="2"/>
  </si>
  <si>
    <t>◆設置からLED電球が寿命を迎えるまでのCF改善金額 ・・・・・</t>
    <rPh sb="1" eb="3">
      <t>セッチ</t>
    </rPh>
    <rPh sb="8" eb="10">
      <t>デンキュウ</t>
    </rPh>
    <rPh sb="11" eb="13">
      <t>ジュミョウ</t>
    </rPh>
    <rPh sb="14" eb="15">
      <t>ムカ</t>
    </rPh>
    <rPh sb="22" eb="24">
      <t>カイゼン</t>
    </rPh>
    <rPh sb="24" eb="26">
      <t>キンガク</t>
    </rPh>
    <phoneticPr fontId="2"/>
  </si>
  <si>
    <t>～新電力セットプラン～</t>
    <rPh sb="1" eb="2">
      <t>シン</t>
    </rPh>
    <rPh sb="2" eb="4">
      <t>デンリョク</t>
    </rPh>
    <phoneticPr fontId="2"/>
  </si>
  <si>
    <t>◇既存の地域電力との契約を弊社指定の新電力会社に切り替えて頂きますと、電気単価のコスト削減につながり、LED導入費用から5%の割引を適応します。</t>
    <phoneticPr fontId="2"/>
  </si>
  <si>
    <t>《通常価格》</t>
    <rPh sb="1" eb="3">
      <t>ツウジョウ</t>
    </rPh>
    <rPh sb="3" eb="5">
      <t>カカク</t>
    </rPh>
    <phoneticPr fontId="2"/>
  </si>
  <si>
    <t>《セットプラン価格》</t>
    <rPh sb="7" eb="9">
      <t>カカク</t>
    </rPh>
    <phoneticPr fontId="2"/>
  </si>
  <si>
    <t>（税抜）</t>
    <rPh sb="1" eb="2">
      <t>ゼイ</t>
    </rPh>
    <rPh sb="2" eb="3">
      <t>ヌ</t>
    </rPh>
    <phoneticPr fontId="2"/>
  </si>
  <si>
    <t>電力セットプラン適応で、毎月</t>
    <rPh sb="0" eb="2">
      <t>デンリョク</t>
    </rPh>
    <rPh sb="8" eb="10">
      <t>テキオウ</t>
    </rPh>
    <rPh sb="12" eb="14">
      <t>マイツキ</t>
    </rPh>
    <phoneticPr fontId="2"/>
  </si>
  <si>
    <t>お値引き！</t>
    <rPh sb="1" eb="3">
      <t>ネビ</t>
    </rPh>
    <phoneticPr fontId="2"/>
  </si>
  <si>
    <t>セットプランで</t>
    <phoneticPr fontId="2"/>
  </si>
  <si>
    <t>相当のお値引きです</t>
    <rPh sb="0" eb="2">
      <t>ソウトウ</t>
    </rPh>
    <rPh sb="4" eb="6">
      <t>ネビ</t>
    </rPh>
    <phoneticPr fontId="2"/>
  </si>
  <si>
    <t>◆設置から10年間合計の交換費用を含めたCF改善金額 ・・・・・</t>
    <rPh sb="1" eb="3">
      <t>セッチ</t>
    </rPh>
    <rPh sb="7" eb="9">
      <t>ネンカン</t>
    </rPh>
    <rPh sb="9" eb="11">
      <t>ゴウケイ</t>
    </rPh>
    <rPh sb="12" eb="14">
      <t>コウカン</t>
    </rPh>
    <rPh sb="14" eb="16">
      <t>ヒヨウ</t>
    </rPh>
    <rPh sb="17" eb="18">
      <t>フク</t>
    </rPh>
    <rPh sb="22" eb="24">
      <t>カイゼン</t>
    </rPh>
    <rPh sb="24" eb="26">
      <t>キンガク</t>
    </rPh>
    <phoneticPr fontId="2"/>
  </si>
  <si>
    <t>8-b</t>
    <phoneticPr fontId="2"/>
  </si>
  <si>
    <t>工事費込み（税抜）</t>
    <rPh sb="0" eb="3">
      <t>コウジヒ</t>
    </rPh>
    <rPh sb="3" eb="4">
      <t>コ</t>
    </rPh>
    <rPh sb="6" eb="8">
      <t>ゼイヌキ</t>
    </rPh>
    <phoneticPr fontId="2"/>
  </si>
  <si>
    <t>◆設置から5年間での交換費用を含めたCF改善金額・・・・・・・</t>
    <rPh sb="1" eb="3">
      <t>セッチ</t>
    </rPh>
    <rPh sb="6" eb="8">
      <t>ネンカン</t>
    </rPh>
    <rPh sb="10" eb="12">
      <t>コウカン</t>
    </rPh>
    <rPh sb="12" eb="14">
      <t>ヒヨウ</t>
    </rPh>
    <rPh sb="15" eb="16">
      <t>フク</t>
    </rPh>
    <rPh sb="20" eb="22">
      <t>カイゼン</t>
    </rPh>
    <rPh sb="22" eb="24">
      <t>キンガク</t>
    </rPh>
    <phoneticPr fontId="2"/>
  </si>
  <si>
    <t>◆6年目以降の交換費用を含めたCF改善金額・・・・・・・・・・</t>
    <rPh sb="2" eb="4">
      <t>ネンメ</t>
    </rPh>
    <rPh sb="4" eb="6">
      <t>イコウ</t>
    </rPh>
    <rPh sb="7" eb="9">
      <t>コウカン</t>
    </rPh>
    <rPh sb="9" eb="11">
      <t>ヒヨウ</t>
    </rPh>
    <rPh sb="12" eb="13">
      <t>フク</t>
    </rPh>
    <rPh sb="17" eb="19">
      <t>カイゼン</t>
    </rPh>
    <rPh sb="19" eb="21">
      <t>キンガク</t>
    </rPh>
    <phoneticPr fontId="2"/>
  </si>
  <si>
    <t>×60ヵ月=</t>
    <rPh sb="4" eb="5">
      <t>ゲツ</t>
    </rPh>
    <phoneticPr fontId="2"/>
  </si>
  <si>
    <t>～各物件の単体での削減シミュレーション～</t>
    <rPh sb="1" eb="2">
      <t>カク</t>
    </rPh>
    <rPh sb="2" eb="4">
      <t>ブッケン</t>
    </rPh>
    <rPh sb="5" eb="7">
      <t>タンタイ</t>
    </rPh>
    <rPh sb="9" eb="11">
      <t>サクゲン</t>
    </rPh>
    <phoneticPr fontId="2"/>
  </si>
  <si>
    <t>リース導入</t>
    <rPh sb="3" eb="5">
      <t>ドウニュウ</t>
    </rPh>
    <phoneticPr fontId="2"/>
  </si>
  <si>
    <t>一括導入</t>
    <rPh sb="0" eb="2">
      <t>イッカツ</t>
    </rPh>
    <rPh sb="2" eb="4">
      <t>ドウニュウ</t>
    </rPh>
    <phoneticPr fontId="2"/>
  </si>
  <si>
    <t>◆5年間でのCF改善額</t>
    <rPh sb="2" eb="4">
      <t>ネンカン</t>
    </rPh>
    <rPh sb="8" eb="10">
      <t>カイゼン</t>
    </rPh>
    <rPh sb="10" eb="11">
      <t>ガク</t>
    </rPh>
    <phoneticPr fontId="2"/>
  </si>
  <si>
    <t>交換コストを含めた回収予想年数</t>
    <rPh sb="0" eb="2">
      <t>コウカン</t>
    </rPh>
    <rPh sb="6" eb="7">
      <t>フク</t>
    </rPh>
    <rPh sb="9" eb="13">
      <t>カイシュウヨソウ</t>
    </rPh>
    <rPh sb="13" eb="15">
      <t>ネンスウ</t>
    </rPh>
    <phoneticPr fontId="2"/>
  </si>
  <si>
    <t>◆6年目以降のCF改善額</t>
    <rPh sb="2" eb="4">
      <t>ネンメ</t>
    </rPh>
    <rPh sb="4" eb="6">
      <t>イコウ</t>
    </rPh>
    <rPh sb="9" eb="11">
      <t>カイゼン</t>
    </rPh>
    <rPh sb="11" eb="12">
      <t>ガク</t>
    </rPh>
    <phoneticPr fontId="2"/>
  </si>
  <si>
    <t>一括導入費用</t>
    <rPh sb="0" eb="2">
      <t>イッカツ</t>
    </rPh>
    <rPh sb="2" eb="4">
      <t>ドウニュウ</t>
    </rPh>
    <rPh sb="4" eb="6">
      <t>ヒヨウ</t>
    </rPh>
    <phoneticPr fontId="2"/>
  </si>
  <si>
    <t>◆10年間のCF改善額合計</t>
    <rPh sb="3" eb="5">
      <t>ネンカン</t>
    </rPh>
    <rPh sb="8" eb="10">
      <t>カイゼン</t>
    </rPh>
    <rPh sb="10" eb="11">
      <t>ガク</t>
    </rPh>
    <rPh sb="11" eb="13">
      <t>ゴウケイ</t>
    </rPh>
    <phoneticPr fontId="2"/>
  </si>
  <si>
    <t>新電力会社（シンエナジー）に電力を変更すると、さらにお得にLED導入が可能です</t>
    <rPh sb="0" eb="5">
      <t>シンデンリョクカイシャ</t>
    </rPh>
    <rPh sb="14" eb="16">
      <t>デンリョク</t>
    </rPh>
    <rPh sb="17" eb="19">
      <t>ヘンコウ</t>
    </rPh>
    <rPh sb="27" eb="28">
      <t>トク</t>
    </rPh>
    <rPh sb="32" eb="34">
      <t>ドウニュウ</t>
    </rPh>
    <rPh sb="35" eb="37">
      <t>カノウ</t>
    </rPh>
    <phoneticPr fontId="2"/>
  </si>
  <si>
    <t>～～～10年間での実際の電気代比較～～～</t>
    <phoneticPr fontId="2"/>
  </si>
  <si>
    <t>LEDのみを交換した場合の電気代：</t>
    <phoneticPr fontId="2"/>
  </si>
  <si>
    <t>LEDと電力を交換した場合の電気代：</t>
    <phoneticPr fontId="2"/>
  </si>
  <si>
    <t>セットで交換してお得になる金額：</t>
    <phoneticPr fontId="2"/>
  </si>
  <si>
    <t>設置電球内訳</t>
    <rPh sb="0" eb="2">
      <t>セッチ</t>
    </rPh>
    <rPh sb="2" eb="4">
      <t>デンキュウ</t>
    </rPh>
    <rPh sb="4" eb="6">
      <t>ウチワケ</t>
    </rPh>
    <phoneticPr fontId="2"/>
  </si>
  <si>
    <t>設置電球内訳②</t>
    <rPh sb="0" eb="2">
      <t>セッチ</t>
    </rPh>
    <rPh sb="2" eb="4">
      <t>デンキュウ</t>
    </rPh>
    <rPh sb="4" eb="6">
      <t>ウチワケ</t>
    </rPh>
    <phoneticPr fontId="2"/>
  </si>
  <si>
    <t>設置電球内訳③</t>
    <rPh sb="0" eb="2">
      <t>セッチ</t>
    </rPh>
    <rPh sb="2" eb="4">
      <t>デンキュウ</t>
    </rPh>
    <rPh sb="4" eb="6">
      <t>ウチワケ</t>
    </rPh>
    <phoneticPr fontId="2"/>
  </si>
  <si>
    <t>既存照明写真</t>
    <rPh sb="0" eb="2">
      <t>キゾン</t>
    </rPh>
    <rPh sb="2" eb="4">
      <t>ショウメイ</t>
    </rPh>
    <rPh sb="4" eb="6">
      <t>シャシン</t>
    </rPh>
    <phoneticPr fontId="2"/>
  </si>
  <si>
    <t>photo</t>
    <phoneticPr fontId="2"/>
  </si>
  <si>
    <t>設置数</t>
    <rPh sb="0" eb="2">
      <t>セッチ</t>
    </rPh>
    <rPh sb="2" eb="3">
      <t>カズ</t>
    </rPh>
    <phoneticPr fontId="2"/>
  </si>
  <si>
    <t>点灯時間</t>
    <rPh sb="0" eb="2">
      <t>テントウ</t>
    </rPh>
    <rPh sb="2" eb="4">
      <t>ジカン</t>
    </rPh>
    <phoneticPr fontId="2"/>
  </si>
  <si>
    <t>↓</t>
    <phoneticPr fontId="2"/>
  </si>
  <si>
    <t>LED照明種別</t>
    <rPh sb="3" eb="5">
      <t>ショウメイ</t>
    </rPh>
    <rPh sb="5" eb="7">
      <t>シュベツ</t>
    </rPh>
    <phoneticPr fontId="2"/>
  </si>
  <si>
    <t>LED設置
予定照明</t>
    <rPh sb="3" eb="5">
      <t>セッチ</t>
    </rPh>
    <rPh sb="6" eb="8">
      <t>ヨテイ</t>
    </rPh>
    <rPh sb="8" eb="10">
      <t>ショウメイ</t>
    </rPh>
    <phoneticPr fontId="2"/>
  </si>
  <si>
    <t>選定照明色</t>
    <rPh sb="0" eb="2">
      <t>センテイ</t>
    </rPh>
    <rPh sb="2" eb="4">
      <t>ショウメイ</t>
    </rPh>
    <rPh sb="4" eb="5">
      <t>ショク</t>
    </rPh>
    <phoneticPr fontId="2"/>
  </si>
  <si>
    <t>選定器具色</t>
    <rPh sb="0" eb="2">
      <t>センテイ</t>
    </rPh>
    <rPh sb="2" eb="4">
      <t>キグ</t>
    </rPh>
    <rPh sb="4" eb="5">
      <t>ショク</t>
    </rPh>
    <phoneticPr fontId="2"/>
  </si>
  <si>
    <t>器具ｻｲｽﾞ(設置面)</t>
    <phoneticPr fontId="2"/>
  </si>
  <si>
    <t>メーカー</t>
  </si>
  <si>
    <t>備考</t>
    <rPh sb="0" eb="2">
      <t>ビコウ</t>
    </rPh>
    <phoneticPr fontId="2"/>
  </si>
  <si>
    <t>9-b</t>
    <phoneticPr fontId="2"/>
  </si>
  <si>
    <t>9-c</t>
    <phoneticPr fontId="2"/>
  </si>
  <si>
    <t>9-d</t>
    <phoneticPr fontId="2"/>
  </si>
  <si>
    <t>選定の
引継ぎ
事項</t>
    <rPh sb="0" eb="2">
      <t>センテイ</t>
    </rPh>
    <rPh sb="4" eb="6">
      <t>ヒキツ</t>
    </rPh>
    <rPh sb="8" eb="10">
      <t>ジコウ</t>
    </rPh>
    <phoneticPr fontId="2"/>
  </si>
  <si>
    <t>非常灯●カ所あり</t>
    <rPh sb="0" eb="3">
      <t>ヒジョウトウ</t>
    </rPh>
    <rPh sb="5" eb="6">
      <t>ショ</t>
    </rPh>
    <phoneticPr fontId="2"/>
  </si>
  <si>
    <t>既存器具●●mm</t>
    <rPh sb="0" eb="2">
      <t>キゾン</t>
    </rPh>
    <rPh sb="2" eb="4">
      <t>キグ</t>
    </rPh>
    <phoneticPr fontId="2"/>
  </si>
  <si>
    <t>LED交換済み箇所</t>
    <rPh sb="3" eb="5">
      <t>コウカン</t>
    </rPh>
    <rPh sb="5" eb="6">
      <t>ズ</t>
    </rPh>
    <rPh sb="7" eb="9">
      <t>カショ</t>
    </rPh>
    <phoneticPr fontId="2"/>
  </si>
  <si>
    <t>削減が出ない為除外</t>
    <rPh sb="0" eb="2">
      <t>サクゲン</t>
    </rPh>
    <rPh sb="3" eb="4">
      <t>デ</t>
    </rPh>
    <rPh sb="6" eb="7">
      <t>タメ</t>
    </rPh>
    <rPh sb="7" eb="9">
      <t>ジョガイ</t>
    </rPh>
    <phoneticPr fontId="2"/>
  </si>
  <si>
    <t>器具ｻｲｽﾞが小さくなる</t>
    <rPh sb="0" eb="2">
      <t>キグ</t>
    </rPh>
    <rPh sb="7" eb="8">
      <t>チイ</t>
    </rPh>
    <phoneticPr fontId="2"/>
  </si>
  <si>
    <t>交換の場合:13,500円/個</t>
    <rPh sb="0" eb="2">
      <t>コウカン</t>
    </rPh>
    <rPh sb="3" eb="5">
      <t>バアイ</t>
    </rPh>
    <rPh sb="12" eb="13">
      <t>エン</t>
    </rPh>
    <rPh sb="14" eb="15">
      <t>コ</t>
    </rPh>
    <phoneticPr fontId="2"/>
  </si>
  <si>
    <t>のでご注意ください</t>
    <rPh sb="3" eb="5">
      <t>チュウイ</t>
    </rPh>
    <phoneticPr fontId="2"/>
  </si>
  <si>
    <t>見積り除外箇所</t>
    <rPh sb="0" eb="2">
      <t>ミツモリ</t>
    </rPh>
    <rPh sb="3" eb="5">
      <t>ジョガイ</t>
    </rPh>
    <rPh sb="5" eb="7">
      <t>カショ</t>
    </rPh>
    <phoneticPr fontId="2"/>
  </si>
  <si>
    <t>対象物件</t>
    <rPh sb="0" eb="2">
      <t>タイショウ</t>
    </rPh>
    <rPh sb="2" eb="4">
      <t>ブッケン</t>
    </rPh>
    <phoneticPr fontId="2"/>
  </si>
  <si>
    <t>◆ 非常用専用照明に関して</t>
    <rPh sb="2" eb="4">
      <t>ヒジョウ</t>
    </rPh>
    <rPh sb="4" eb="5">
      <t>ヨウ</t>
    </rPh>
    <rPh sb="5" eb="7">
      <t>センヨウ</t>
    </rPh>
    <rPh sb="7" eb="9">
      <t>ショウメイ</t>
    </rPh>
    <rPh sb="10" eb="11">
      <t>カン</t>
    </rPh>
    <phoneticPr fontId="2"/>
  </si>
  <si>
    <t>※※</t>
    <phoneticPr fontId="2"/>
  </si>
  <si>
    <t>の部分の入力をお願い致します。</t>
    <rPh sb="1" eb="3">
      <t>ブブン</t>
    </rPh>
    <rPh sb="4" eb="6">
      <t>ニュウリョク</t>
    </rPh>
    <rPh sb="8" eb="9">
      <t>ネガ</t>
    </rPh>
    <rPh sb="10" eb="11">
      <t>イタ</t>
    </rPh>
    <phoneticPr fontId="2"/>
  </si>
  <si>
    <t>卸値：</t>
    <rPh sb="0" eb="2">
      <t>オロシネ</t>
    </rPh>
    <phoneticPr fontId="2"/>
  </si>
  <si>
    <t>会社名</t>
    <rPh sb="0" eb="3">
      <t>カイシャメイ</t>
    </rPh>
    <phoneticPr fontId="2"/>
  </si>
  <si>
    <t>株式会社ニッショー</t>
  </si>
  <si>
    <t>【リース期間】</t>
    <rPh sb="4" eb="6">
      <t>キカン</t>
    </rPh>
    <phoneticPr fontId="2"/>
  </si>
  <si>
    <t>郵便番号</t>
    <rPh sb="0" eb="4">
      <t>ユウビンバンゴウ</t>
    </rPh>
    <phoneticPr fontId="2"/>
  </si>
  <si>
    <t>利益：</t>
    <rPh sb="0" eb="2">
      <t>リエキ</t>
    </rPh>
    <phoneticPr fontId="2"/>
  </si>
  <si>
    <t>←こちらに上乗せする利益を入力ください。</t>
    <rPh sb="5" eb="7">
      <t>ウワノ</t>
    </rPh>
    <rPh sb="10" eb="12">
      <t>リエキ</t>
    </rPh>
    <rPh sb="13" eb="15">
      <t>ニュウリョク</t>
    </rPh>
    <phoneticPr fontId="2"/>
  </si>
  <si>
    <t>←3～10年でリース期間選択可能です</t>
    <rPh sb="5" eb="6">
      <t>ネン</t>
    </rPh>
    <rPh sb="10" eb="12">
      <t>キカン</t>
    </rPh>
    <rPh sb="12" eb="14">
      <t>センタク</t>
    </rPh>
    <rPh sb="14" eb="16">
      <t>カノウ</t>
    </rPh>
    <phoneticPr fontId="2"/>
  </si>
  <si>
    <t>住所</t>
    <rPh sb="0" eb="2">
      <t>ジュウショ</t>
    </rPh>
    <phoneticPr fontId="2"/>
  </si>
  <si>
    <t>電話番号</t>
    <rPh sb="0" eb="2">
      <t>デンワ</t>
    </rPh>
    <rPh sb="2" eb="4">
      <t>バンゴウ</t>
    </rPh>
    <phoneticPr fontId="2"/>
  </si>
  <si>
    <t>管理担当営業所へお問い合わせ下さい。</t>
    <rPh sb="0" eb="2">
      <t>カンリ</t>
    </rPh>
    <rPh sb="2" eb="4">
      <t>タントウ</t>
    </rPh>
    <rPh sb="4" eb="7">
      <t>エイギョウショ</t>
    </rPh>
    <rPh sb="9" eb="10">
      <t>ト</t>
    </rPh>
    <rPh sb="11" eb="12">
      <t>ア</t>
    </rPh>
    <rPh sb="14" eb="15">
      <t>クダ</t>
    </rPh>
    <phoneticPr fontId="2"/>
  </si>
  <si>
    <t>担当</t>
    <rPh sb="0" eb="2">
      <t>タントウ</t>
    </rPh>
    <phoneticPr fontId="2"/>
  </si>
  <si>
    <t>物件担当者</t>
    <rPh sb="0" eb="2">
      <t>ブッケン</t>
    </rPh>
    <rPh sb="2" eb="5">
      <t>タントウシャ</t>
    </rPh>
    <phoneticPr fontId="2"/>
  </si>
  <si>
    <t>電球交換費用：</t>
    <rPh sb="0" eb="2">
      <t>デンキュウ</t>
    </rPh>
    <rPh sb="2" eb="4">
      <t>コウカン</t>
    </rPh>
    <rPh sb="4" eb="6">
      <t>ヒヨウ</t>
    </rPh>
    <phoneticPr fontId="2"/>
  </si>
  <si>
    <t>※電球が切れた際のオーナー様へご請求している「1箇所あたりの交換費用」を入力お願い致します。</t>
    <rPh sb="1" eb="3">
      <t>デンキュウ</t>
    </rPh>
    <rPh sb="4" eb="5">
      <t>キ</t>
    </rPh>
    <rPh sb="7" eb="8">
      <t>サイ</t>
    </rPh>
    <rPh sb="13" eb="14">
      <t>サマ</t>
    </rPh>
    <rPh sb="16" eb="18">
      <t>セイキュウ</t>
    </rPh>
    <rPh sb="24" eb="26">
      <t>カショ</t>
    </rPh>
    <rPh sb="30" eb="32">
      <t>コウカン</t>
    </rPh>
    <rPh sb="32" eb="34">
      <t>ヒヨウ</t>
    </rPh>
    <rPh sb="36" eb="38">
      <t>ニュウリョク</t>
    </rPh>
    <rPh sb="39" eb="40">
      <t>ネガ</t>
    </rPh>
    <rPh sb="41" eb="42">
      <t>イタ</t>
    </rPh>
    <phoneticPr fontId="2"/>
  </si>
  <si>
    <t>売価：</t>
    <rPh sb="0" eb="2">
      <t>バイカ</t>
    </rPh>
    <phoneticPr fontId="2"/>
  </si>
  <si>
    <t>1箇所単価：</t>
    <rPh sb="1" eb="3">
      <t>カショ</t>
    </rPh>
    <rPh sb="3" eb="5">
      <t>タンカ</t>
    </rPh>
    <phoneticPr fontId="2"/>
  </si>
  <si>
    <t>回収期間：</t>
    <rPh sb="0" eb="2">
      <t>カイシュウ</t>
    </rPh>
    <rPh sb="2" eb="4">
      <t>キカン</t>
    </rPh>
    <phoneticPr fontId="2"/>
  </si>
  <si>
    <t>シート内容</t>
    <rPh sb="3" eb="5">
      <t>ナイヨウ</t>
    </rPh>
    <phoneticPr fontId="2"/>
  </si>
  <si>
    <t>①表紙</t>
    <rPh sb="1" eb="3">
      <t>ヒョウシ</t>
    </rPh>
    <phoneticPr fontId="2"/>
  </si>
  <si>
    <t>表紙です</t>
    <rPh sb="0" eb="2">
      <t>ヒョウシ</t>
    </rPh>
    <phoneticPr fontId="2"/>
  </si>
  <si>
    <t>②説明</t>
    <rPh sb="1" eb="3">
      <t>セツメイ</t>
    </rPh>
    <phoneticPr fontId="2"/>
  </si>
  <si>
    <t>LEDをいま検討しないといけない理由を説明するページです</t>
    <rPh sb="19" eb="21">
      <t>セツメイ</t>
    </rPh>
    <phoneticPr fontId="2"/>
  </si>
  <si>
    <t>③説明2</t>
    <rPh sb="1" eb="3">
      <t>セツメイ</t>
    </rPh>
    <phoneticPr fontId="2"/>
  </si>
  <si>
    <t>LED照明導入のメリットを説明するページです</t>
    <rPh sb="3" eb="5">
      <t>ショウメイ</t>
    </rPh>
    <rPh sb="5" eb="7">
      <t>ドウニュウ</t>
    </rPh>
    <rPh sb="13" eb="15">
      <t>セツメイ</t>
    </rPh>
    <phoneticPr fontId="2"/>
  </si>
  <si>
    <t>④説明3</t>
    <rPh sb="1" eb="3">
      <t>セツメイ</t>
    </rPh>
    <phoneticPr fontId="2"/>
  </si>
  <si>
    <t>照明の交換方法(器具交換を推奨する理由)を説明するページです</t>
    <rPh sb="0" eb="2">
      <t>ショウメイ</t>
    </rPh>
    <rPh sb="3" eb="7">
      <t>コウカンホウホウ</t>
    </rPh>
    <rPh sb="8" eb="10">
      <t>キグ</t>
    </rPh>
    <rPh sb="10" eb="12">
      <t>コウカン</t>
    </rPh>
    <rPh sb="13" eb="15">
      <t>スイショウ</t>
    </rPh>
    <rPh sb="17" eb="19">
      <t>リユウ</t>
    </rPh>
    <rPh sb="21" eb="23">
      <t>セツメイ</t>
    </rPh>
    <phoneticPr fontId="2"/>
  </si>
  <si>
    <t>⑤前</t>
    <rPh sb="1" eb="2">
      <t>マエ</t>
    </rPh>
    <phoneticPr fontId="2"/>
  </si>
  <si>
    <r>
      <t>現地調査結果および従来の</t>
    </r>
    <r>
      <rPr>
        <sz val="9"/>
        <color rgb="FFFF0000"/>
        <rFont val="Meiryo UI"/>
        <family val="3"/>
        <charset val="128"/>
      </rPr>
      <t>白熱球を使い続けた場合の</t>
    </r>
    <r>
      <rPr>
        <sz val="9"/>
        <color theme="1" tint="0.249977111117893"/>
        <rFont val="Meiryo UI"/>
        <family val="3"/>
        <charset val="128"/>
      </rPr>
      <t>１０年間で照明にかかるコスト全体</t>
    </r>
    <rPh sb="0" eb="4">
      <t>ゲンチチョウサ</t>
    </rPh>
    <rPh sb="4" eb="6">
      <t>ケッカ</t>
    </rPh>
    <rPh sb="9" eb="11">
      <t>ジュウライ</t>
    </rPh>
    <rPh sb="12" eb="15">
      <t>ハクネツキュウ</t>
    </rPh>
    <rPh sb="16" eb="17">
      <t>ツカ</t>
    </rPh>
    <rPh sb="18" eb="19">
      <t>ツヅ</t>
    </rPh>
    <rPh sb="21" eb="23">
      <t>バアイ</t>
    </rPh>
    <rPh sb="26" eb="28">
      <t>ネンカン</t>
    </rPh>
    <rPh sb="29" eb="31">
      <t>ショウメイ</t>
    </rPh>
    <rPh sb="38" eb="40">
      <t>ゼンタイ</t>
    </rPh>
    <phoneticPr fontId="2"/>
  </si>
  <si>
    <t>⑥後</t>
    <rPh sb="1" eb="2">
      <t>アト</t>
    </rPh>
    <phoneticPr fontId="2"/>
  </si>
  <si>
    <r>
      <t>現地調査の結果から</t>
    </r>
    <r>
      <rPr>
        <sz val="9"/>
        <color rgb="FFFF0000"/>
        <rFont val="Meiryo UI"/>
        <family val="3"/>
        <charset val="128"/>
      </rPr>
      <t>LED照明を導入した場合の</t>
    </r>
    <r>
      <rPr>
        <sz val="9"/>
        <color theme="1" tint="0.249977111117893"/>
        <rFont val="Meiryo UI"/>
        <family val="3"/>
        <charset val="128"/>
      </rPr>
      <t>１０年間で照明にかかるコスト全体</t>
    </r>
    <rPh sb="0" eb="4">
      <t>ゲンチチョウサ</t>
    </rPh>
    <rPh sb="5" eb="7">
      <t>ケッカ</t>
    </rPh>
    <rPh sb="12" eb="14">
      <t>ショウメイ</t>
    </rPh>
    <rPh sb="15" eb="17">
      <t>ドウニュウ</t>
    </rPh>
    <rPh sb="19" eb="21">
      <t>バアイ</t>
    </rPh>
    <rPh sb="24" eb="26">
      <t>ネンカン</t>
    </rPh>
    <rPh sb="27" eb="29">
      <t>ショウメイ</t>
    </rPh>
    <rPh sb="36" eb="38">
      <t>ゼンタイ</t>
    </rPh>
    <phoneticPr fontId="2"/>
  </si>
  <si>
    <t>⑦前後</t>
    <rPh sb="1" eb="3">
      <t>ゼンゴ</t>
    </rPh>
    <phoneticPr fontId="2"/>
  </si>
  <si>
    <t>②と③の導入前後の金額的な差異</t>
    <rPh sb="4" eb="6">
      <t>ドウニュウ</t>
    </rPh>
    <rPh sb="6" eb="8">
      <t>ゼンゴ</t>
    </rPh>
    <rPh sb="9" eb="11">
      <t>キンガク</t>
    </rPh>
    <rPh sb="11" eb="12">
      <t>テキ</t>
    </rPh>
    <rPh sb="13" eb="15">
      <t>サイ</t>
    </rPh>
    <phoneticPr fontId="2"/>
  </si>
  <si>
    <t>⑦一式</t>
    <rPh sb="1" eb="3">
      <t>イッシキ</t>
    </rPh>
    <phoneticPr fontId="2"/>
  </si>
  <si>
    <r>
      <t>細かな詳細などの記載がないお見積り。</t>
    </r>
    <r>
      <rPr>
        <b/>
        <sz val="9"/>
        <color rgb="FFFF0000"/>
        <rFont val="Meiryo UI"/>
        <family val="3"/>
        <charset val="128"/>
      </rPr>
      <t>詳細の見積でお値引きがプラスになってしまう場合はこちらを使用</t>
    </r>
    <r>
      <rPr>
        <sz val="9"/>
        <color theme="1" tint="0.249977111117893"/>
        <rFont val="Meiryo UI"/>
        <family val="3"/>
        <charset val="128"/>
      </rPr>
      <t>。</t>
    </r>
    <rPh sb="0" eb="1">
      <t>コマ</t>
    </rPh>
    <rPh sb="3" eb="5">
      <t>ショウサイ</t>
    </rPh>
    <rPh sb="8" eb="10">
      <t>キサイ</t>
    </rPh>
    <rPh sb="14" eb="16">
      <t>ミツモ</t>
    </rPh>
    <rPh sb="18" eb="20">
      <t>ショウサイ</t>
    </rPh>
    <rPh sb="21" eb="23">
      <t>ミツモリ</t>
    </rPh>
    <rPh sb="25" eb="27">
      <t>ネビ</t>
    </rPh>
    <rPh sb="39" eb="41">
      <t>バアイ</t>
    </rPh>
    <rPh sb="46" eb="48">
      <t>シヨウ</t>
    </rPh>
    <phoneticPr fontId="2"/>
  </si>
  <si>
    <t>⑦見積書</t>
    <rPh sb="1" eb="4">
      <t>ミツモリショ</t>
    </rPh>
    <phoneticPr fontId="2"/>
  </si>
  <si>
    <t>細かな詳細の記載のあるお見積書、回収期間の記載がない見積です</t>
    <rPh sb="0" eb="1">
      <t>コマ</t>
    </rPh>
    <rPh sb="3" eb="5">
      <t>ショウサイ</t>
    </rPh>
    <rPh sb="6" eb="8">
      <t>キサイ</t>
    </rPh>
    <rPh sb="12" eb="14">
      <t>ミツモ</t>
    </rPh>
    <rPh sb="14" eb="15">
      <t>ショ</t>
    </rPh>
    <rPh sb="16" eb="20">
      <t>カイシュウキカン</t>
    </rPh>
    <rPh sb="21" eb="23">
      <t>キサイ</t>
    </rPh>
    <rPh sb="26" eb="28">
      <t>ミツモリ</t>
    </rPh>
    <phoneticPr fontId="2"/>
  </si>
  <si>
    <t>⑤複数</t>
    <rPh sb="1" eb="3">
      <t>フクスウ</t>
    </rPh>
    <phoneticPr fontId="2"/>
  </si>
  <si>
    <t>複数棟同時にお見積りをした際の割引が適応された詳細がない物件毎の金額のみ表示をしたお見積り。２棟～４棟→５％OFF　5棟以上→10％ＯＦＦ</t>
    <rPh sb="0" eb="2">
      <t>フクスウ</t>
    </rPh>
    <rPh sb="2" eb="3">
      <t>トウ</t>
    </rPh>
    <rPh sb="3" eb="5">
      <t>ドウジ</t>
    </rPh>
    <rPh sb="7" eb="9">
      <t>ミツモ</t>
    </rPh>
    <rPh sb="13" eb="14">
      <t>サイ</t>
    </rPh>
    <rPh sb="15" eb="17">
      <t>ワリビキ</t>
    </rPh>
    <rPh sb="18" eb="20">
      <t>テキオウ</t>
    </rPh>
    <rPh sb="23" eb="25">
      <t>ショウサイ</t>
    </rPh>
    <rPh sb="28" eb="30">
      <t>ブッケン</t>
    </rPh>
    <rPh sb="30" eb="31">
      <t>ゴト</t>
    </rPh>
    <rPh sb="32" eb="34">
      <t>キンガク</t>
    </rPh>
    <rPh sb="36" eb="38">
      <t>ヒョウジ</t>
    </rPh>
    <rPh sb="42" eb="44">
      <t>ミツモ</t>
    </rPh>
    <rPh sb="47" eb="48">
      <t>トウ</t>
    </rPh>
    <rPh sb="50" eb="51">
      <t>トウ</t>
    </rPh>
    <rPh sb="59" eb="60">
      <t>トウ</t>
    </rPh>
    <rPh sb="60" eb="62">
      <t>イジョウ</t>
    </rPh>
    <phoneticPr fontId="2"/>
  </si>
  <si>
    <t>⑤複数＋詳細</t>
    <rPh sb="1" eb="3">
      <t>フクスウ</t>
    </rPh>
    <rPh sb="4" eb="6">
      <t>ショウサイ</t>
    </rPh>
    <phoneticPr fontId="2"/>
  </si>
  <si>
    <r>
      <t>『⑤複数』と同様お値引きが入るお見積り。物件毎の金額がないので</t>
    </r>
    <r>
      <rPr>
        <b/>
        <sz val="9"/>
        <color rgb="FFFF0000"/>
        <rFont val="Meiryo UI"/>
        <family val="3"/>
        <charset val="128"/>
      </rPr>
      <t>複数の場合は基本的に『⑤複数　＆　⑤複数＋詳細』両方利用がおすすめ。</t>
    </r>
    <rPh sb="2" eb="4">
      <t>フクスウ</t>
    </rPh>
    <rPh sb="6" eb="8">
      <t>ドウヨウ</t>
    </rPh>
    <rPh sb="9" eb="11">
      <t>ネビ</t>
    </rPh>
    <rPh sb="13" eb="14">
      <t>ハイ</t>
    </rPh>
    <rPh sb="16" eb="18">
      <t>ミツモ</t>
    </rPh>
    <rPh sb="20" eb="22">
      <t>ブッケン</t>
    </rPh>
    <rPh sb="22" eb="23">
      <t>ゴト</t>
    </rPh>
    <rPh sb="24" eb="26">
      <t>キンガク</t>
    </rPh>
    <rPh sb="31" eb="33">
      <t>フクスウ</t>
    </rPh>
    <rPh sb="34" eb="36">
      <t>バアイ</t>
    </rPh>
    <rPh sb="37" eb="40">
      <t>キホンテキ</t>
    </rPh>
    <rPh sb="43" eb="45">
      <t>フクスウ</t>
    </rPh>
    <rPh sb="49" eb="51">
      <t>フクスウ</t>
    </rPh>
    <rPh sb="52" eb="54">
      <t>ショウサイ</t>
    </rPh>
    <rPh sb="55" eb="57">
      <t>リョウホウ</t>
    </rPh>
    <rPh sb="57" eb="59">
      <t>リヨウ</t>
    </rPh>
    <phoneticPr fontId="2"/>
  </si>
  <si>
    <t>※複数棟で新電力セット適応の場合は新電力セット適応物件のみ『⑤複数』の物件毎のお値段よりお値引きをいたします。</t>
    <rPh sb="1" eb="3">
      <t>フクスウ</t>
    </rPh>
    <rPh sb="3" eb="4">
      <t>トウ</t>
    </rPh>
    <rPh sb="5" eb="8">
      <t>シンデンリョク</t>
    </rPh>
    <rPh sb="11" eb="13">
      <t>テキオウ</t>
    </rPh>
    <rPh sb="14" eb="16">
      <t>バアイ</t>
    </rPh>
    <rPh sb="17" eb="18">
      <t>シン</t>
    </rPh>
    <rPh sb="18" eb="20">
      <t>デンリョク</t>
    </rPh>
    <rPh sb="23" eb="25">
      <t>テキオウ</t>
    </rPh>
    <rPh sb="25" eb="27">
      <t>ブッケン</t>
    </rPh>
    <rPh sb="31" eb="33">
      <t>フクスウ</t>
    </rPh>
    <rPh sb="35" eb="37">
      <t>ブッケン</t>
    </rPh>
    <rPh sb="37" eb="38">
      <t>ゴト</t>
    </rPh>
    <rPh sb="40" eb="42">
      <t>ネダン</t>
    </rPh>
    <rPh sb="45" eb="47">
      <t>ネビ</t>
    </rPh>
    <phoneticPr fontId="2"/>
  </si>
  <si>
    <t>⑤小単体</t>
    <rPh sb="1" eb="4">
      <t>ショウタンタイ</t>
    </rPh>
    <phoneticPr fontId="2"/>
  </si>
  <si>
    <r>
      <t>リース代の月額最低額が税込3,000円の為、金額を上乗せしても</t>
    </r>
    <r>
      <rPr>
        <b/>
        <sz val="9"/>
        <color rgb="FFFF0000"/>
        <rFont val="Meiryo UI"/>
        <family val="3"/>
        <charset val="128"/>
      </rPr>
      <t>リース代が3,000円を下回る場合のみ利用してください。</t>
    </r>
    <rPh sb="3" eb="4">
      <t>ダイ</t>
    </rPh>
    <rPh sb="5" eb="7">
      <t>ゲツガク</t>
    </rPh>
    <rPh sb="7" eb="9">
      <t>サイテイ</t>
    </rPh>
    <rPh sb="9" eb="10">
      <t>ガク</t>
    </rPh>
    <rPh sb="11" eb="13">
      <t>ゼイコ</t>
    </rPh>
    <rPh sb="18" eb="19">
      <t>エン</t>
    </rPh>
    <rPh sb="20" eb="21">
      <t>タメ</t>
    </rPh>
    <rPh sb="22" eb="24">
      <t>キンガク</t>
    </rPh>
    <rPh sb="25" eb="27">
      <t>ウワノ</t>
    </rPh>
    <rPh sb="34" eb="35">
      <t>ダイ</t>
    </rPh>
    <rPh sb="41" eb="42">
      <t>エン</t>
    </rPh>
    <rPh sb="43" eb="45">
      <t>シタマワ</t>
    </rPh>
    <rPh sb="46" eb="48">
      <t>バアイ</t>
    </rPh>
    <rPh sb="50" eb="52">
      <t>リヨウ</t>
    </rPh>
    <phoneticPr fontId="2"/>
  </si>
  <si>
    <t>⑨-シミュ</t>
    <phoneticPr fontId="2"/>
  </si>
  <si>
    <t>一括支払い時の投資回収イメージ、リース導入時の月々のCFイメージの説明ページです</t>
    <rPh sb="0" eb="4">
      <t>イッカツシハラ</t>
    </rPh>
    <rPh sb="5" eb="6">
      <t>ジ</t>
    </rPh>
    <rPh sb="7" eb="9">
      <t>トウシ</t>
    </rPh>
    <rPh sb="9" eb="11">
      <t>カイシュウ</t>
    </rPh>
    <rPh sb="19" eb="21">
      <t>ドウニュウ</t>
    </rPh>
    <rPh sb="21" eb="22">
      <t>ジ</t>
    </rPh>
    <rPh sb="23" eb="25">
      <t>ツキヅキ</t>
    </rPh>
    <rPh sb="33" eb="35">
      <t>セツメイ</t>
    </rPh>
    <phoneticPr fontId="2"/>
  </si>
  <si>
    <t>⑧-bｼﾐｭ</t>
    <phoneticPr fontId="2"/>
  </si>
  <si>
    <t>削減シミュレーションのページです。電気代が8,000円以上の場合には電力契約も一緒に変えることでお得に導入が可能です。</t>
    <rPh sb="0" eb="2">
      <t>サクゲン</t>
    </rPh>
    <rPh sb="17" eb="20">
      <t>デンキダイ</t>
    </rPh>
    <rPh sb="26" eb="27">
      <t>エン</t>
    </rPh>
    <rPh sb="27" eb="29">
      <t>イジョウ</t>
    </rPh>
    <rPh sb="30" eb="32">
      <t>バアイ</t>
    </rPh>
    <rPh sb="34" eb="36">
      <t>デンリョク</t>
    </rPh>
    <rPh sb="36" eb="38">
      <t>ケイヤク</t>
    </rPh>
    <rPh sb="39" eb="41">
      <t>イッショ</t>
    </rPh>
    <rPh sb="42" eb="43">
      <t>カ</t>
    </rPh>
    <rPh sb="49" eb="50">
      <t>トク</t>
    </rPh>
    <rPh sb="51" eb="53">
      <t>ドウニュウ</t>
    </rPh>
    <rPh sb="54" eb="56">
      <t>カノウ</t>
    </rPh>
    <phoneticPr fontId="2"/>
  </si>
  <si>
    <t>⑦非なし</t>
    <rPh sb="1" eb="2">
      <t>ヒ</t>
    </rPh>
    <phoneticPr fontId="2"/>
  </si>
  <si>
    <t>⑥とセットでつけていただく新電力セットの際のお値引き後の削減シミュレーションを表示したシートです。</t>
    <rPh sb="13" eb="16">
      <t>シンデンリョク</t>
    </rPh>
    <rPh sb="20" eb="21">
      <t>サイ</t>
    </rPh>
    <rPh sb="23" eb="25">
      <t>ネビ</t>
    </rPh>
    <rPh sb="26" eb="27">
      <t>ゴ</t>
    </rPh>
    <rPh sb="28" eb="30">
      <t>サクゲン</t>
    </rPh>
    <rPh sb="39" eb="41">
      <t>ヒョウジ</t>
    </rPh>
    <phoneticPr fontId="2"/>
  </si>
  <si>
    <t>⑦非あり</t>
    <rPh sb="1" eb="2">
      <t>ヒ</t>
    </rPh>
    <phoneticPr fontId="2"/>
  </si>
  <si>
    <t>同上</t>
    <rPh sb="0" eb="2">
      <t>ドウジョウ</t>
    </rPh>
    <phoneticPr fontId="2"/>
  </si>
  <si>
    <t>⑨内訳</t>
    <rPh sb="1" eb="3">
      <t>ウチワケ</t>
    </rPh>
    <phoneticPr fontId="2"/>
  </si>
  <si>
    <t>照明のビフォーアフターです。</t>
    <rPh sb="0" eb="2">
      <t>ショウメイ</t>
    </rPh>
    <phoneticPr fontId="2"/>
  </si>
  <si>
    <t>⑩除外</t>
    <rPh sb="1" eb="3">
      <t>ジョガイ</t>
    </rPh>
    <phoneticPr fontId="2"/>
  </si>
  <si>
    <t>LED済みの照明、テナント部など除外している箇所の一覧です。</t>
    <rPh sb="3" eb="4">
      <t>ズ</t>
    </rPh>
    <rPh sb="6" eb="8">
      <t>ショウメイ</t>
    </rPh>
    <rPh sb="13" eb="14">
      <t>ブ</t>
    </rPh>
    <rPh sb="16" eb="18">
      <t>ジョガイ</t>
    </rPh>
    <rPh sb="22" eb="24">
      <t>カショ</t>
    </rPh>
    <rPh sb="25" eb="27">
      <t>イチラン</t>
    </rPh>
    <phoneticPr fontId="2"/>
  </si>
  <si>
    <t>発　注　書</t>
    <rPh sb="4" eb="5">
      <t>ショ</t>
    </rPh>
    <phoneticPr fontId="146"/>
  </si>
  <si>
    <t>発行日</t>
    <rPh sb="0" eb="3">
      <t>ハッコウビ</t>
    </rPh>
    <phoneticPr fontId="146"/>
  </si>
  <si>
    <t>バズエリア株式会社</t>
    <rPh sb="5" eb="9">
      <t>カブシキガイシャ</t>
    </rPh>
    <phoneticPr fontId="146"/>
  </si>
  <si>
    <t>御中</t>
    <rPh sb="0" eb="2">
      <t>オンチュウ</t>
    </rPh>
    <phoneticPr fontId="146"/>
  </si>
  <si>
    <t>下記のとおり、御注文を致します。</t>
    <rPh sb="7" eb="10">
      <t>ゴチュウモンヲオウケイタシマシタ</t>
    </rPh>
    <rPh sb="11" eb="12">
      <t>イタ</t>
    </rPh>
    <phoneticPr fontId="146"/>
  </si>
  <si>
    <t>物件名</t>
    <rPh sb="0" eb="2">
      <t>ブッケン</t>
    </rPh>
    <rPh sb="2" eb="3">
      <t>メイ</t>
    </rPh>
    <phoneticPr fontId="146"/>
  </si>
  <si>
    <t>個</t>
    <rPh sb="0" eb="1">
      <t>コ</t>
    </rPh>
    <phoneticPr fontId="146"/>
  </si>
  <si>
    <t>物件住所</t>
    <rPh sb="0" eb="2">
      <t>ブッケン</t>
    </rPh>
    <rPh sb="2" eb="4">
      <t>ジュウショ</t>
    </rPh>
    <phoneticPr fontId="146"/>
  </si>
  <si>
    <t>式</t>
    <rPh sb="0" eb="1">
      <t>シキ</t>
    </rPh>
    <phoneticPr fontId="146"/>
  </si>
  <si>
    <t>解錠方法</t>
    <rPh sb="0" eb="2">
      <t>カイジョウ</t>
    </rPh>
    <rPh sb="2" eb="4">
      <t>ホウホウ</t>
    </rPh>
    <phoneticPr fontId="146"/>
  </si>
  <si>
    <t>時間</t>
    <rPh sb="0" eb="2">
      <t>ジカン</t>
    </rPh>
    <phoneticPr fontId="146"/>
  </si>
  <si>
    <t>その他</t>
    <rPh sb="2" eb="3">
      <t>タ</t>
    </rPh>
    <phoneticPr fontId="146"/>
  </si>
  <si>
    <t>TEL：</t>
    <phoneticPr fontId="146"/>
  </si>
  <si>
    <t>日</t>
    <rPh sb="0" eb="1">
      <t>ニチ</t>
    </rPh>
    <phoneticPr fontId="146"/>
  </si>
  <si>
    <t>ヶ月</t>
    <rPh sb="1" eb="2">
      <t>ゲツ</t>
    </rPh>
    <phoneticPr fontId="146"/>
  </si>
  <si>
    <t>担当：</t>
    <rPh sb="0" eb="2">
      <t>タントウ</t>
    </rPh>
    <phoneticPr fontId="146"/>
  </si>
  <si>
    <t>合計金額</t>
    <rPh sb="0" eb="2">
      <t>ゴウケイ</t>
    </rPh>
    <rPh sb="2" eb="4">
      <t>キンガク</t>
    </rPh>
    <phoneticPr fontId="146"/>
  </si>
  <si>
    <t>（税込）</t>
    <rPh sb="1" eb="3">
      <t>ゼイコミ</t>
    </rPh>
    <phoneticPr fontId="146"/>
  </si>
  <si>
    <t>No.</t>
    <phoneticPr fontId="146"/>
  </si>
  <si>
    <t>摘要</t>
    <rPh sb="0" eb="2">
      <t>テキヨウ</t>
    </rPh>
    <phoneticPr fontId="146"/>
  </si>
  <si>
    <t>数量</t>
    <rPh sb="0" eb="2">
      <t>スウリョウ</t>
    </rPh>
    <phoneticPr fontId="146"/>
  </si>
  <si>
    <t>単価</t>
    <rPh sb="0" eb="2">
      <t>タンカ</t>
    </rPh>
    <phoneticPr fontId="146"/>
  </si>
  <si>
    <t>金額</t>
    <rPh sb="0" eb="2">
      <t>キンガク</t>
    </rPh>
    <phoneticPr fontId="146"/>
  </si>
  <si>
    <t>LED照明工事</t>
    <rPh sb="3" eb="5">
      <t>ショウメイ</t>
    </rPh>
    <rPh sb="5" eb="7">
      <t>コウジ</t>
    </rPh>
    <phoneticPr fontId="146"/>
  </si>
  <si>
    <t>小計</t>
    <rPh sb="0" eb="2">
      <t>ショウケイ</t>
    </rPh>
    <phoneticPr fontId="146"/>
  </si>
  <si>
    <t>消費税</t>
    <rPh sb="0" eb="3">
      <t>ショウヒゼイ</t>
    </rPh>
    <phoneticPr fontId="146"/>
  </si>
  <si>
    <t>上記の内容にてご注文を受領致しました。</t>
    <rPh sb="0" eb="2">
      <t>ジョウキ</t>
    </rPh>
    <rPh sb="3" eb="5">
      <t>ナイヨウ</t>
    </rPh>
    <rPh sb="8" eb="10">
      <t>チュウモン</t>
    </rPh>
    <rPh sb="11" eb="13">
      <t>ジュリョウ</t>
    </rPh>
    <rPh sb="13" eb="14">
      <t>イタ</t>
    </rPh>
    <phoneticPr fontId="146"/>
  </si>
  <si>
    <t>〒151-0062 東京都渋谷区上原1-47-8 藤本ビル2階</t>
    <rPh sb="10" eb="13">
      <t>トウキョウト</t>
    </rPh>
    <rPh sb="13" eb="16">
      <t>シブヤク</t>
    </rPh>
    <rPh sb="16" eb="18">
      <t>ウエハラ</t>
    </rPh>
    <rPh sb="25" eb="27">
      <t>フジモト</t>
    </rPh>
    <rPh sb="30" eb="31">
      <t>カイ</t>
    </rPh>
    <phoneticPr fontId="146"/>
  </si>
  <si>
    <t>TEL:03-4586-6571　FAX:03-6812-9253</t>
    <phoneticPr fontId="14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</si>
</sst>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6" formatCode="&quot;¥&quot;#,##0;[Red]&quot;¥&quot;\-#,##0"/>
    <numFmt numFmtId="41" formatCode="_ * #,##0_ ;_ * \-#,##0_ ;_ * &quot;-&quot;_ ;_ @_ "/>
    <numFmt numFmtId="176" formatCode="0.0%"/>
    <numFmt numFmtId="177" formatCode="0.0"/>
    <numFmt numFmtId="178" formatCode="#"/>
    <numFmt numFmtId="179" formatCode="#,##0\ &quot;円&quot;"/>
    <numFmt numFmtId="180" formatCode="0&quot; 戸&quot;"/>
    <numFmt numFmtId="181" formatCode="[$-F800]dddd\,\ mmmm\ dd\,\ yyyy"/>
    <numFmt numFmtId="182" formatCode="0_);[Red]\(0\)"/>
    <numFmt numFmtId="183" formatCode="#,###"/>
    <numFmt numFmtId="184" formatCode="0&quot; 年&quot;"/>
    <numFmt numFmtId="185" formatCode="0.0\ \W"/>
    <numFmt numFmtId="186" formatCode="0\ &quot;lm&quot;"/>
    <numFmt numFmtId="187" formatCode="0\ &quot;h&quot;"/>
    <numFmt numFmtId="188" formatCode="0\ &quot;kWh&quot;"/>
    <numFmt numFmtId="189" formatCode="0&quot; 個&quot;"/>
    <numFmt numFmtId="190" formatCode="0\ &quot;ヵ月&quot;"/>
    <numFmt numFmtId="191" formatCode="0.0\ &quot;ヵ月&quot;"/>
    <numFmt numFmtId="192" formatCode="&quot;約&quot;\ 0.0&quot; 年&quot;"/>
    <numFmt numFmtId="193" formatCode="#,##0_);[Red]\(#,##0\)"/>
    <numFmt numFmtId="194" formatCode="0&quot; 年目&quot;"/>
    <numFmt numFmtId="195" formatCode="0\ &quot;年&quot;"/>
    <numFmt numFmtId="196" formatCode="0\ &quot;年&quot;&quot;リ&quot;&quot;ー&quot;&quot;ス&quot;"/>
    <numFmt numFmtId="197" formatCode="#,##0&quot; 円&quot;"/>
  </numFmts>
  <fonts count="167">
    <font>
      <sz val="11"/>
      <color theme="1"/>
      <name val="游ゴシック"/>
      <family val="2"/>
      <charset val="128"/>
      <scheme val="minor"/>
    </font>
    <font>
      <sz val="11"/>
      <color theme="1"/>
      <name val="メイリオ"/>
      <family val="3"/>
      <charset val="128"/>
    </font>
    <font>
      <sz val="6"/>
      <name val="游ゴシック"/>
      <family val="2"/>
      <charset val="128"/>
      <scheme val="minor"/>
    </font>
    <font>
      <sz val="10"/>
      <color rgb="FF000000"/>
      <name val="メイリオ"/>
      <family val="3"/>
      <charset val="128"/>
    </font>
    <font>
      <sz val="11"/>
      <color theme="1"/>
      <name val="游ゴシック"/>
      <family val="2"/>
      <charset val="128"/>
      <scheme val="minor"/>
    </font>
    <font>
      <sz val="12"/>
      <color theme="1"/>
      <name val="メイリオ"/>
      <family val="3"/>
      <charset val="128"/>
    </font>
    <font>
      <sz val="12"/>
      <color rgb="FF000000"/>
      <name val="メイリオ"/>
      <family val="3"/>
      <charset val="128"/>
    </font>
    <font>
      <b/>
      <sz val="12"/>
      <color rgb="FFFF0000"/>
      <name val="メイリオ"/>
      <family val="3"/>
      <charset val="128"/>
    </font>
    <font>
      <b/>
      <sz val="10"/>
      <color theme="1"/>
      <name val="メイリオ"/>
      <family val="3"/>
      <charset val="128"/>
    </font>
    <font>
      <b/>
      <sz val="18"/>
      <color theme="0"/>
      <name val="メイリオ"/>
      <family val="3"/>
      <charset val="128"/>
    </font>
    <font>
      <b/>
      <sz val="16"/>
      <color rgb="FFFF0000"/>
      <name val="メイリオ"/>
      <family val="3"/>
      <charset val="128"/>
    </font>
    <font>
      <sz val="16"/>
      <color theme="1"/>
      <name val="メイリオ"/>
      <family val="3"/>
      <charset val="128"/>
    </font>
    <font>
      <sz val="14"/>
      <color theme="1"/>
      <name val="メイリオ"/>
      <family val="3"/>
      <charset val="128"/>
    </font>
    <font>
      <b/>
      <sz val="16"/>
      <color theme="1"/>
      <name val="メイリオ"/>
      <family val="3"/>
      <charset val="128"/>
    </font>
    <font>
      <b/>
      <sz val="14"/>
      <color theme="0"/>
      <name val="メイリオ"/>
      <family val="3"/>
      <charset val="128"/>
    </font>
    <font>
      <b/>
      <sz val="12"/>
      <color theme="1"/>
      <name val="メイリオ"/>
      <family val="3"/>
      <charset val="128"/>
    </font>
    <font>
      <sz val="20"/>
      <color theme="1"/>
      <name val="メイリオ"/>
      <family val="3"/>
      <charset val="128"/>
    </font>
    <font>
      <b/>
      <sz val="18"/>
      <color theme="1" tint="0.249977111117893"/>
      <name val="メイリオ"/>
      <family val="3"/>
      <charset val="128"/>
    </font>
    <font>
      <sz val="11"/>
      <color theme="1" tint="0.249977111117893"/>
      <name val="メイリオ"/>
      <family val="3"/>
      <charset val="128"/>
    </font>
    <font>
      <b/>
      <sz val="14"/>
      <color theme="1"/>
      <name val="メイリオ"/>
      <family val="3"/>
      <charset val="128"/>
    </font>
    <font>
      <sz val="14"/>
      <color rgb="FF000000"/>
      <name val="メイリオ"/>
      <family val="3"/>
      <charset val="128"/>
    </font>
    <font>
      <sz val="14"/>
      <color rgb="FFFF0000"/>
      <name val="メイリオ"/>
      <family val="3"/>
      <charset val="128"/>
    </font>
    <font>
      <b/>
      <u val="double"/>
      <sz val="16"/>
      <color theme="1"/>
      <name val="游ゴシック"/>
      <family val="3"/>
      <charset val="128"/>
      <scheme val="minor"/>
    </font>
    <font>
      <sz val="12"/>
      <color theme="1" tint="0.249977111117893"/>
      <name val="メイリオ"/>
      <family val="3"/>
      <charset val="128"/>
    </font>
    <font>
      <b/>
      <sz val="11"/>
      <color rgb="FFFF0000"/>
      <name val="メイリオ"/>
      <family val="3"/>
      <charset val="128"/>
    </font>
    <font>
      <sz val="9"/>
      <color theme="1"/>
      <name val="メイリオ"/>
      <family val="3"/>
      <charset val="128"/>
    </font>
    <font>
      <b/>
      <sz val="9"/>
      <color rgb="FFFF0000"/>
      <name val="Meiryo UI"/>
      <family val="3"/>
      <charset val="128"/>
    </font>
    <font>
      <b/>
      <sz val="9"/>
      <color theme="1"/>
      <name val="メイリオ"/>
      <family val="3"/>
      <charset val="128"/>
    </font>
    <font>
      <b/>
      <sz val="9"/>
      <color rgb="FFFF0000"/>
      <name val="メイリオ"/>
      <family val="3"/>
      <charset val="128"/>
    </font>
    <font>
      <b/>
      <sz val="9"/>
      <color rgb="FF0070C0"/>
      <name val="メイリオ"/>
      <family val="3"/>
      <charset val="128"/>
    </font>
    <font>
      <b/>
      <sz val="18"/>
      <color theme="0"/>
      <name val="HG明朝B"/>
      <family val="1"/>
      <charset val="128"/>
    </font>
    <font>
      <sz val="10"/>
      <color theme="1"/>
      <name val="HG明朝B"/>
      <family val="1"/>
      <charset val="128"/>
    </font>
    <font>
      <sz val="12"/>
      <color theme="1"/>
      <name val="HG明朝B"/>
      <family val="1"/>
      <charset val="128"/>
    </font>
    <font>
      <sz val="10"/>
      <color rgb="FFFF0000"/>
      <name val="HG明朝B"/>
      <family val="1"/>
      <charset val="128"/>
    </font>
    <font>
      <sz val="11"/>
      <name val="ＭＳ Ｐゴシック"/>
      <family val="3"/>
      <charset val="128"/>
    </font>
    <font>
      <sz val="9"/>
      <color theme="1" tint="0.249977111117893"/>
      <name val="Meiryo UI"/>
      <family val="3"/>
      <charset val="128"/>
    </font>
    <font>
      <sz val="9"/>
      <color theme="1" tint="0.249977111117893"/>
      <name val="メイリオ"/>
      <family val="3"/>
      <charset val="128"/>
    </font>
    <font>
      <b/>
      <sz val="9"/>
      <color theme="1" tint="0.249977111117893"/>
      <name val="Meiryo UI"/>
      <family val="3"/>
      <charset val="128"/>
    </font>
    <font>
      <b/>
      <sz val="18"/>
      <color rgb="FFFF0000"/>
      <name val="メイリオ"/>
      <family val="3"/>
      <charset val="128"/>
    </font>
    <font>
      <b/>
      <sz val="14"/>
      <color rgb="FFFF0000"/>
      <name val="メイリオ"/>
      <family val="3"/>
      <charset val="128"/>
    </font>
    <font>
      <b/>
      <sz val="12"/>
      <name val="メイリオ"/>
      <family val="3"/>
      <charset val="128"/>
    </font>
    <font>
      <b/>
      <sz val="12"/>
      <color theme="1"/>
      <name val="HG明朝B"/>
      <family val="1"/>
      <charset val="128"/>
    </font>
    <font>
      <sz val="18"/>
      <color theme="1"/>
      <name val="メイリオ"/>
      <family val="3"/>
      <charset val="128"/>
    </font>
    <font>
      <b/>
      <sz val="12"/>
      <color theme="1" tint="0.249977111117893"/>
      <name val="メイリオ"/>
      <family val="3"/>
      <charset val="128"/>
    </font>
    <font>
      <b/>
      <sz val="36"/>
      <color rgb="FFFF0000"/>
      <name val="メイリオ"/>
      <family val="3"/>
      <charset val="128"/>
    </font>
    <font>
      <b/>
      <sz val="18"/>
      <color theme="1"/>
      <name val="メイリオ"/>
      <family val="3"/>
      <charset val="128"/>
    </font>
    <font>
      <b/>
      <sz val="16"/>
      <color rgb="FF00B0F0"/>
      <name val="メイリオ"/>
      <family val="3"/>
      <charset val="128"/>
    </font>
    <font>
      <b/>
      <sz val="36"/>
      <color rgb="FF00B0F0"/>
      <name val="メイリオ"/>
      <family val="3"/>
      <charset val="128"/>
    </font>
    <font>
      <b/>
      <sz val="18"/>
      <color rgb="FF00B0F0"/>
      <name val="メイリオ"/>
      <family val="3"/>
      <charset val="128"/>
    </font>
    <font>
      <b/>
      <sz val="20"/>
      <color theme="1"/>
      <name val="メイリオ"/>
      <family val="3"/>
      <charset val="128"/>
    </font>
    <font>
      <b/>
      <sz val="24"/>
      <color theme="1"/>
      <name val="メイリオ"/>
      <family val="3"/>
      <charset val="128"/>
    </font>
    <font>
      <b/>
      <sz val="18"/>
      <color rgb="FFFF9933"/>
      <name val="メイリオ"/>
      <family val="3"/>
      <charset val="128"/>
    </font>
    <font>
      <sz val="12"/>
      <color theme="0"/>
      <name val="メイリオ"/>
      <family val="3"/>
      <charset val="128"/>
    </font>
    <font>
      <b/>
      <sz val="12"/>
      <color theme="0"/>
      <name val="メイリオ"/>
      <family val="3"/>
      <charset val="128"/>
    </font>
    <font>
      <b/>
      <sz val="24"/>
      <name val="メイリオ"/>
      <family val="3"/>
      <charset val="128"/>
    </font>
    <font>
      <sz val="12"/>
      <color rgb="FF002060"/>
      <name val="メイリオ"/>
      <family val="3"/>
      <charset val="128"/>
    </font>
    <font>
      <sz val="12"/>
      <color rgb="FFFF0000"/>
      <name val="メイリオ"/>
      <family val="3"/>
      <charset val="128"/>
    </font>
    <font>
      <b/>
      <sz val="22"/>
      <color rgb="FF000000"/>
      <name val="メイリオ"/>
      <family val="3"/>
      <charset val="128"/>
    </font>
    <font>
      <b/>
      <sz val="18"/>
      <color rgb="FF0070C0"/>
      <name val="メイリオ"/>
      <family val="3"/>
      <charset val="128"/>
    </font>
    <font>
      <b/>
      <sz val="20"/>
      <color rgb="FFFF0000"/>
      <name val="メイリオ"/>
      <family val="3"/>
      <charset val="128"/>
    </font>
    <font>
      <b/>
      <sz val="12"/>
      <color theme="1" tint="0.249977111117893"/>
      <name val="HG明朝B"/>
      <family val="1"/>
      <charset val="128"/>
    </font>
    <font>
      <sz val="10"/>
      <color theme="1" tint="0.249977111117893"/>
      <name val="HG明朝B"/>
      <family val="1"/>
      <charset val="128"/>
    </font>
    <font>
      <sz val="12"/>
      <color theme="1" tint="0.249977111117893"/>
      <name val="HG明朝B"/>
      <family val="1"/>
      <charset val="128"/>
    </font>
    <font>
      <b/>
      <sz val="20"/>
      <name val="メイリオ"/>
      <family val="3"/>
      <charset val="128"/>
    </font>
    <font>
      <b/>
      <sz val="36"/>
      <color theme="7"/>
      <name val="メイリオ"/>
      <family val="3"/>
      <charset val="128"/>
    </font>
    <font>
      <b/>
      <sz val="9"/>
      <color theme="1" tint="0.249977111117893"/>
      <name val="HG明朝B"/>
      <family val="1"/>
      <charset val="128"/>
    </font>
    <font>
      <sz val="9"/>
      <color theme="1" tint="0.249977111117893"/>
      <name val="HG明朝B"/>
      <family val="1"/>
      <charset val="128"/>
    </font>
    <font>
      <b/>
      <sz val="10"/>
      <color rgb="FFFF0000"/>
      <name val="HG明朝B"/>
      <family val="1"/>
      <charset val="128"/>
    </font>
    <font>
      <b/>
      <sz val="14"/>
      <color theme="1" tint="0.249977111117893"/>
      <name val="HG明朝B"/>
      <family val="1"/>
      <charset val="128"/>
    </font>
    <font>
      <sz val="11"/>
      <color theme="1" tint="0.249977111117893"/>
      <name val="HG明朝B"/>
      <family val="1"/>
      <charset val="128"/>
    </font>
    <font>
      <b/>
      <sz val="11"/>
      <color rgb="FFFF0000"/>
      <name val="HG明朝B"/>
      <family val="1"/>
      <charset val="128"/>
    </font>
    <font>
      <b/>
      <sz val="11"/>
      <color theme="1" tint="0.249977111117893"/>
      <name val="HG明朝B"/>
      <family val="1"/>
      <charset val="128"/>
    </font>
    <font>
      <b/>
      <sz val="8"/>
      <color theme="1" tint="0.249977111117893"/>
      <name val="HG明朝B"/>
      <family val="1"/>
      <charset val="128"/>
    </font>
    <font>
      <b/>
      <sz val="10"/>
      <color theme="0"/>
      <name val="HG明朝B"/>
      <family val="1"/>
      <charset val="128"/>
    </font>
    <font>
      <sz val="9"/>
      <color theme="1"/>
      <name val="HG明朝B"/>
      <family val="1"/>
      <charset val="128"/>
    </font>
    <font>
      <b/>
      <sz val="14"/>
      <color rgb="FF00B0F0"/>
      <name val="HG明朝B"/>
      <family val="1"/>
      <charset val="128"/>
    </font>
    <font>
      <b/>
      <sz val="14"/>
      <color rgb="FFFF9933"/>
      <name val="HG明朝B"/>
      <family val="1"/>
      <charset val="128"/>
    </font>
    <font>
      <b/>
      <sz val="14"/>
      <color rgb="FFFF0000"/>
      <name val="HG明朝B"/>
      <family val="1"/>
      <charset val="128"/>
    </font>
    <font>
      <b/>
      <sz val="24"/>
      <color theme="1"/>
      <name val="Calibri"/>
      <family val="1"/>
    </font>
    <font>
      <b/>
      <sz val="24"/>
      <color theme="1"/>
      <name val="HG明朝B"/>
      <family val="1"/>
      <charset val="128"/>
    </font>
    <font>
      <b/>
      <sz val="9"/>
      <color rgb="FFFF0000"/>
      <name val="HG明朝B"/>
      <family val="1"/>
      <charset val="128"/>
    </font>
    <font>
      <b/>
      <sz val="18"/>
      <color theme="9" tint="-0.249977111117893"/>
      <name val="メイリオ"/>
      <family val="3"/>
      <charset val="128"/>
    </font>
    <font>
      <b/>
      <sz val="24"/>
      <color rgb="FF00B050"/>
      <name val="メイリオ"/>
      <family val="3"/>
      <charset val="128"/>
    </font>
    <font>
      <sz val="9.5"/>
      <color theme="1"/>
      <name val="HG明朝B"/>
      <family val="1"/>
      <charset val="128"/>
    </font>
    <font>
      <b/>
      <sz val="11"/>
      <color theme="1"/>
      <name val="メイリオ"/>
      <family val="3"/>
      <charset val="128"/>
    </font>
    <font>
      <b/>
      <sz val="10"/>
      <color theme="1"/>
      <name val="HG明朝B"/>
      <family val="1"/>
      <charset val="128"/>
    </font>
    <font>
      <b/>
      <sz val="36"/>
      <color theme="1"/>
      <name val="メイリオ"/>
      <family val="3"/>
      <charset val="128"/>
    </font>
    <font>
      <sz val="9"/>
      <name val="メイリオ"/>
      <family val="3"/>
      <charset val="128"/>
    </font>
    <font>
      <sz val="9"/>
      <name val="Meiryo UI"/>
      <family val="3"/>
      <charset val="128"/>
    </font>
    <font>
      <sz val="9"/>
      <color rgb="FFFF0000"/>
      <name val="Meiryo UI"/>
      <family val="3"/>
      <charset val="128"/>
    </font>
    <font>
      <sz val="11"/>
      <color theme="1" tint="0.249977111117893"/>
      <name val="Meiryo UI"/>
      <family val="3"/>
      <charset val="128"/>
    </font>
    <font>
      <b/>
      <sz val="11"/>
      <color theme="1" tint="0.249977111117893"/>
      <name val="Meiryo UI"/>
      <family val="3"/>
      <charset val="128"/>
    </font>
    <font>
      <u/>
      <sz val="9"/>
      <color theme="1" tint="0.249977111117893"/>
      <name val="Meiryo UI"/>
      <family val="3"/>
      <charset val="128"/>
    </font>
    <font>
      <b/>
      <u/>
      <sz val="10"/>
      <color theme="1" tint="0.249977111117893"/>
      <name val="Meiryo UI"/>
      <family val="3"/>
      <charset val="128"/>
    </font>
    <font>
      <b/>
      <sz val="14"/>
      <color theme="1" tint="0.249977111117893"/>
      <name val="Meiryo UI"/>
      <family val="3"/>
      <charset val="128"/>
    </font>
    <font>
      <u/>
      <sz val="11"/>
      <color theme="10"/>
      <name val="游ゴシック"/>
      <family val="2"/>
      <charset val="128"/>
      <scheme val="minor"/>
    </font>
    <font>
      <sz val="8"/>
      <color theme="1"/>
      <name val="メイリオ"/>
      <family val="3"/>
      <charset val="128"/>
    </font>
    <font>
      <b/>
      <sz val="24"/>
      <color theme="1" tint="0.249977111117893"/>
      <name val="メイリオ"/>
      <family val="3"/>
      <charset val="128"/>
    </font>
    <font>
      <sz val="14"/>
      <color theme="1" tint="0.249977111117893"/>
      <name val="メイリオ"/>
      <family val="3"/>
      <charset val="128"/>
    </font>
    <font>
      <sz val="16"/>
      <color theme="1" tint="0.249977111117893"/>
      <name val="メイリオ"/>
      <family val="3"/>
      <charset val="128"/>
    </font>
    <font>
      <b/>
      <sz val="16"/>
      <color theme="1" tint="0.249977111117893"/>
      <name val="メイリオ"/>
      <family val="3"/>
      <charset val="128"/>
    </font>
    <font>
      <b/>
      <sz val="20"/>
      <color theme="1" tint="0.249977111117893"/>
      <name val="メイリオ"/>
      <family val="3"/>
      <charset val="128"/>
    </font>
    <font>
      <b/>
      <sz val="14"/>
      <color theme="0" tint="-0.14999847407452621"/>
      <name val="メイリオ"/>
      <family val="3"/>
      <charset val="128"/>
    </font>
    <font>
      <sz val="12"/>
      <color theme="0" tint="-0.14999847407452621"/>
      <name val="メイリオ"/>
      <family val="3"/>
      <charset val="128"/>
    </font>
    <font>
      <b/>
      <sz val="9"/>
      <color theme="1" tint="0.249977111117893"/>
      <name val="メイリオ"/>
      <family val="3"/>
      <charset val="128"/>
    </font>
    <font>
      <u/>
      <sz val="11"/>
      <color theme="10"/>
      <name val="メイリオ"/>
      <family val="3"/>
      <charset val="128"/>
    </font>
    <font>
      <sz val="8"/>
      <color theme="1" tint="0.249977111117893"/>
      <name val="HG明朝B"/>
      <family val="1"/>
      <charset val="128"/>
    </font>
    <font>
      <sz val="8"/>
      <color theme="1" tint="0.249977111117893"/>
      <name val="メイリオ"/>
      <family val="3"/>
      <charset val="128"/>
    </font>
    <font>
      <sz val="9"/>
      <color rgb="FF404040"/>
      <name val="メイリオ"/>
      <family val="3"/>
      <charset val="128"/>
    </font>
    <font>
      <sz val="9"/>
      <color theme="7" tint="0.59999389629810485"/>
      <name val="メイリオ"/>
      <family val="3"/>
      <charset val="128"/>
    </font>
    <font>
      <b/>
      <sz val="10"/>
      <color rgb="FFFF0000"/>
      <name val="メイリオ"/>
      <family val="3"/>
      <charset val="128"/>
    </font>
    <font>
      <b/>
      <sz val="17"/>
      <color theme="0"/>
      <name val="メイリオ"/>
      <family val="3"/>
      <charset val="128"/>
    </font>
    <font>
      <b/>
      <sz val="20"/>
      <color rgb="FFFF9933"/>
      <name val="メイリオ"/>
      <family val="3"/>
      <charset val="128"/>
    </font>
    <font>
      <b/>
      <sz val="14"/>
      <color rgb="FF00B0F0"/>
      <name val="メイリオ"/>
      <family val="3"/>
      <charset val="128"/>
    </font>
    <font>
      <b/>
      <sz val="22"/>
      <color rgb="FFFF9933"/>
      <name val="メイリオ"/>
      <family val="3"/>
      <charset val="128"/>
    </font>
    <font>
      <sz val="12"/>
      <color theme="1"/>
      <name val="游ゴシック"/>
      <family val="2"/>
      <charset val="128"/>
      <scheme val="minor"/>
    </font>
    <font>
      <sz val="11"/>
      <color theme="1"/>
      <name val="メイリオ"/>
      <family val="3"/>
    </font>
    <font>
      <sz val="9"/>
      <color theme="1" tint="0.249977111117893"/>
      <name val="HG明朝B"/>
      <family val="1"/>
    </font>
    <font>
      <sz val="11"/>
      <color rgb="FF000000"/>
      <name val="メイリオ"/>
      <family val="3"/>
      <charset val="128"/>
    </font>
    <font>
      <sz val="10"/>
      <color rgb="FF1E1E1E"/>
      <name val="Segoe UI"/>
      <family val="2"/>
    </font>
    <font>
      <sz val="9"/>
      <color rgb="FF000000"/>
      <name val="メイリオ"/>
      <family val="3"/>
      <charset val="128"/>
    </font>
    <font>
      <b/>
      <sz val="10"/>
      <color rgb="FFC00000"/>
      <name val="HG明朝B"/>
      <family val="1"/>
      <charset val="128"/>
    </font>
    <font>
      <sz val="9"/>
      <color theme="1" tint="4.9989318521683403E-2"/>
      <name val="メイリオ"/>
      <family val="3"/>
      <charset val="128"/>
    </font>
    <font>
      <sz val="11"/>
      <name val="メイリオ"/>
      <family val="3"/>
      <charset val="128"/>
    </font>
    <font>
      <sz val="12"/>
      <color theme="1"/>
      <name val="游ゴシック"/>
      <family val="3"/>
      <charset val="128"/>
      <scheme val="minor"/>
    </font>
    <font>
      <sz val="12"/>
      <color rgb="FFFF66FF"/>
      <name val="游ゴシック"/>
      <family val="3"/>
      <charset val="128"/>
      <scheme val="minor"/>
    </font>
    <font>
      <b/>
      <sz val="12"/>
      <color rgb="FFFF66FF"/>
      <name val="游ゴシック"/>
      <family val="3"/>
      <charset val="128"/>
      <scheme val="minor"/>
    </font>
    <font>
      <b/>
      <sz val="12"/>
      <color rgb="FFFF0000"/>
      <name val="游ゴシック"/>
      <family val="3"/>
      <charset val="128"/>
      <scheme val="minor"/>
    </font>
    <font>
      <b/>
      <sz val="16"/>
      <color theme="1"/>
      <name val="メイリオ"/>
      <family val="3"/>
    </font>
    <font>
      <b/>
      <sz val="11"/>
      <color theme="1"/>
      <name val="游ゴシック"/>
      <family val="3"/>
      <charset val="128"/>
      <scheme val="minor"/>
    </font>
    <font>
      <sz val="11"/>
      <color theme="1" tint="0.249977111117893"/>
      <name val="メイリオ"/>
      <family val="3"/>
    </font>
    <font>
      <b/>
      <sz val="12"/>
      <color theme="1"/>
      <name val="メイリオ"/>
      <family val="3"/>
    </font>
    <font>
      <b/>
      <sz val="11"/>
      <color theme="0"/>
      <name val="メイリオ"/>
      <family val="3"/>
      <charset val="128"/>
    </font>
    <font>
      <b/>
      <sz val="11"/>
      <color theme="0"/>
      <name val="游ゴシック"/>
      <family val="3"/>
      <charset val="128"/>
      <scheme val="minor"/>
    </font>
    <font>
      <b/>
      <sz val="16"/>
      <color theme="1"/>
      <name val="游ゴシック"/>
      <family val="3"/>
      <charset val="128"/>
      <scheme val="minor"/>
    </font>
    <font>
      <b/>
      <sz val="16"/>
      <color rgb="FFFFC000"/>
      <name val="メイリオ"/>
      <family val="3"/>
      <charset val="128"/>
    </font>
    <font>
      <sz val="11"/>
      <color rgb="FF000000"/>
      <name val="Meiryo UI"/>
      <family val="3"/>
      <charset val="128"/>
    </font>
    <font>
      <sz val="11"/>
      <color theme="1"/>
      <name val="Meiryo UI"/>
      <family val="3"/>
      <charset val="128"/>
    </font>
    <font>
      <sz val="9"/>
      <color theme="0" tint="-0.249977111117893"/>
      <name val="メイリオ"/>
      <family val="3"/>
      <charset val="128"/>
    </font>
    <font>
      <b/>
      <sz val="16"/>
      <color theme="0"/>
      <name val="メイリオ"/>
      <family val="3"/>
      <charset val="128"/>
    </font>
    <font>
      <b/>
      <sz val="8"/>
      <color theme="1"/>
      <name val="メイリオ"/>
      <family val="3"/>
      <charset val="128"/>
    </font>
    <font>
      <sz val="8"/>
      <color theme="0" tint="-0.249977111117893"/>
      <name val="メイリオ"/>
      <family val="3"/>
      <charset val="128"/>
    </font>
    <font>
      <sz val="12"/>
      <color theme="0" tint="-0.249977111117893"/>
      <name val="メイリオ"/>
      <family val="3"/>
      <charset val="128"/>
    </font>
    <font>
      <sz val="9.5"/>
      <color theme="1" tint="0.249977111117893"/>
      <name val="HG明朝B"/>
      <family val="1"/>
      <charset val="128"/>
    </font>
    <font>
      <sz val="11"/>
      <color theme="1"/>
      <name val="游ゴシック"/>
      <family val="3"/>
      <charset val="128"/>
      <scheme val="minor"/>
    </font>
    <font>
      <sz val="18"/>
      <color theme="1"/>
      <name val="游ゴシック"/>
      <family val="3"/>
      <charset val="128"/>
      <scheme val="minor"/>
    </font>
    <font>
      <sz val="6"/>
      <name val="ＭＳ Ｐゴシック"/>
      <family val="3"/>
      <charset val="128"/>
    </font>
    <font>
      <b/>
      <sz val="12"/>
      <color theme="1"/>
      <name val="游ゴシック"/>
      <family val="3"/>
      <charset val="128"/>
      <scheme val="minor"/>
    </font>
    <font>
      <sz val="14"/>
      <color theme="1"/>
      <name val="游ゴシック"/>
      <family val="3"/>
      <charset val="128"/>
      <scheme val="minor"/>
    </font>
    <font>
      <b/>
      <sz val="14"/>
      <color theme="1"/>
      <name val="游ゴシック"/>
      <family val="3"/>
      <charset val="128"/>
      <scheme val="minor"/>
    </font>
    <font>
      <sz val="10"/>
      <color theme="1"/>
      <name val="游ゴシック"/>
      <family val="3"/>
      <scheme val="minor"/>
    </font>
    <font>
      <b/>
      <sz val="9"/>
      <color theme="0"/>
      <name val="Meiryo UI"/>
      <family val="3"/>
      <charset val="128"/>
    </font>
    <font>
      <b/>
      <sz val="14"/>
      <color rgb="FF002060"/>
      <name val="メイリオ"/>
      <family val="3"/>
      <charset val="128"/>
    </font>
    <font>
      <sz val="11"/>
      <color rgb="FFFF0000"/>
      <name val="メイリオ"/>
      <family val="3"/>
      <charset val="128"/>
    </font>
    <font>
      <b/>
      <u/>
      <sz val="22"/>
      <color theme="1" tint="0.249977111117893"/>
      <name val="メイリオ"/>
      <family val="3"/>
      <charset val="128"/>
    </font>
    <font>
      <b/>
      <u/>
      <sz val="20"/>
      <color theme="1"/>
      <name val="游ゴシック"/>
      <family val="3"/>
      <charset val="128"/>
      <scheme val="minor"/>
    </font>
    <font>
      <sz val="11"/>
      <color rgb="FF00B050"/>
      <name val="Meiryo UI"/>
      <family val="3"/>
      <charset val="128"/>
    </font>
    <font>
      <sz val="11"/>
      <color rgb="FF444444"/>
      <name val="Meiryo UI"/>
      <family val="3"/>
      <charset val="128"/>
    </font>
    <font>
      <sz val="11"/>
      <color rgb="FF000000"/>
      <name val="游ゴシック"/>
      <family val="3"/>
      <charset val="128"/>
      <scheme val="minor"/>
    </font>
    <font>
      <u/>
      <sz val="11"/>
      <color rgb="FF0563C1"/>
      <name val="Meiryo UI"/>
      <family val="3"/>
      <charset val="128"/>
    </font>
    <font>
      <sz val="11"/>
      <color rgb="FFFF0000"/>
      <name val="Meiryo UI"/>
      <family val="3"/>
      <charset val="128"/>
    </font>
    <font>
      <b/>
      <sz val="16"/>
      <color rgb="FFFFFFFF"/>
      <name val="Meiryo UI"/>
      <family val="3"/>
      <charset val="128"/>
    </font>
    <font>
      <b/>
      <sz val="11"/>
      <name val="Meiryo UI"/>
      <family val="3"/>
      <charset val="128"/>
    </font>
    <font>
      <sz val="6"/>
      <name val="游ゴシック"/>
      <family val="3"/>
      <charset val="128"/>
      <scheme val="minor"/>
    </font>
    <font>
      <sz val="11"/>
      <name val="Meiryo UI"/>
      <family val="3"/>
      <charset val="128"/>
    </font>
    <font>
      <b/>
      <sz val="11"/>
      <color rgb="FFFFFFFF"/>
      <name val="Meiryo UI"/>
      <family val="3"/>
      <charset val="128"/>
    </font>
    <font>
      <i/>
      <sz val="9"/>
      <color rgb="FF666666"/>
      <name val="Aptos Narrow"/>
      <family val="2"/>
    </font>
  </fonts>
  <fills count="50">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F99"/>
        <bgColor indexed="64"/>
      </patternFill>
    </fill>
    <fill>
      <patternFill patternType="solid">
        <fgColor rgb="FFFFFF00"/>
        <bgColor indexed="64"/>
      </patternFill>
    </fill>
    <fill>
      <patternFill patternType="solid">
        <fgColor rgb="FF002060"/>
        <bgColor indexed="64"/>
      </patternFill>
    </fill>
    <fill>
      <patternFill patternType="solid">
        <fgColor theme="0" tint="-0.249977111117893"/>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9933"/>
        <bgColor indexed="64"/>
      </patternFill>
    </fill>
    <fill>
      <patternFill patternType="solid">
        <fgColor theme="0" tint="-0.14999847407452621"/>
        <bgColor indexed="64"/>
      </patternFill>
    </fill>
    <fill>
      <patternFill patternType="solid">
        <fgColor rgb="FFFFCCCC"/>
        <bgColor indexed="64"/>
      </patternFill>
    </fill>
    <fill>
      <patternFill patternType="solid">
        <fgColor theme="7" tint="0.79998168889431442"/>
        <bgColor indexed="64"/>
      </patternFill>
    </fill>
    <fill>
      <patternFill patternType="solid">
        <fgColor rgb="FF00B0F0"/>
        <bgColor indexed="64"/>
      </patternFill>
    </fill>
    <fill>
      <patternFill patternType="solid">
        <fgColor rgb="FFFF5050"/>
        <bgColor indexed="64"/>
      </patternFill>
    </fill>
    <fill>
      <patternFill patternType="solid">
        <fgColor rgb="FFFF0000"/>
        <bgColor indexed="64"/>
      </patternFill>
    </fill>
    <fill>
      <patternFill patternType="solid">
        <fgColor theme="7" tint="0.59999389629810485"/>
        <bgColor indexed="64"/>
      </patternFill>
    </fill>
    <fill>
      <patternFill patternType="solid">
        <fgColor rgb="FF66FFFF"/>
        <bgColor indexed="64"/>
      </patternFill>
    </fill>
    <fill>
      <patternFill patternType="solid">
        <fgColor rgb="FFFFFFCC"/>
        <bgColor indexed="64"/>
      </patternFill>
    </fill>
    <fill>
      <patternFill patternType="solid">
        <fgColor rgb="FFFF99CC"/>
        <bgColor indexed="64"/>
      </patternFill>
    </fill>
    <fill>
      <patternFill patternType="solid">
        <fgColor theme="8" tint="0.59999389629810485"/>
        <bgColor indexed="64"/>
      </patternFill>
    </fill>
    <fill>
      <patternFill patternType="solid">
        <fgColor theme="9"/>
        <bgColor indexed="64"/>
      </patternFill>
    </fill>
    <fill>
      <patternFill patternType="solid">
        <fgColor rgb="FF92D050"/>
        <bgColor indexed="64"/>
      </patternFill>
    </fill>
    <fill>
      <patternFill patternType="solid">
        <fgColor rgb="FFBFBFBF"/>
        <bgColor rgb="FF000000"/>
      </patternFill>
    </fill>
    <fill>
      <patternFill patternType="solid">
        <fgColor theme="2" tint="-9.9978637043366805E-2"/>
        <bgColor indexed="64"/>
      </patternFill>
    </fill>
    <fill>
      <patternFill patternType="solid">
        <fgColor theme="0" tint="-0.499984740745262"/>
        <bgColor indexed="64"/>
      </patternFill>
    </fill>
    <fill>
      <patternFill patternType="solid">
        <fgColor rgb="FFD9E1F2"/>
        <bgColor indexed="64"/>
      </patternFill>
    </fill>
    <fill>
      <patternFill patternType="solid">
        <fgColor rgb="FFDDEBF7"/>
        <bgColor indexed="64"/>
      </patternFill>
    </fill>
    <fill>
      <patternFill patternType="solid">
        <fgColor rgb="FFFCE4D6"/>
        <bgColor indexed="64"/>
      </patternFill>
    </fill>
    <fill>
      <patternFill patternType="solid">
        <fgColor rgb="FFE2EFDA"/>
        <bgColor indexed="64"/>
      </patternFill>
    </fill>
    <fill>
      <patternFill patternType="solid">
        <fgColor theme="5" tint="0.79998168889431442"/>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rgb="FFFFF2CC"/>
        <bgColor indexed="64"/>
      </patternFill>
    </fill>
    <fill>
      <patternFill patternType="solid">
        <fgColor theme="8" tint="-0.249977111117893"/>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rgb="FFDDEBF7"/>
        <bgColor rgb="FF000000"/>
      </patternFill>
    </fill>
    <fill>
      <patternFill patternType="solid">
        <fgColor rgb="FFFFFFFF"/>
        <bgColor rgb="FF000000"/>
      </patternFill>
    </fill>
    <fill>
      <patternFill patternType="solid">
        <fgColor rgb="FFE2EFDA"/>
        <bgColor rgb="FF000000"/>
      </patternFill>
    </fill>
    <fill>
      <patternFill patternType="solid">
        <fgColor rgb="FFFFF2CC"/>
        <bgColor rgb="FF000000"/>
      </patternFill>
    </fill>
    <fill>
      <patternFill patternType="solid">
        <fgColor rgb="FFFCE4D6"/>
        <bgColor rgb="FF000000"/>
      </patternFill>
    </fill>
    <fill>
      <patternFill patternType="solid">
        <fgColor theme="1" tint="0.499984740745262"/>
        <bgColor indexed="64"/>
      </patternFill>
    </fill>
    <fill>
      <patternFill patternType="solid">
        <fgColor rgb="FF1F4E78"/>
      </patternFill>
    </fill>
    <fill>
      <patternFill patternType="solid">
        <fgColor rgb="FFD9E1F2"/>
      </patternFill>
    </fill>
    <fill>
      <patternFill patternType="solid">
        <fgColor rgb="FFFFF2CC"/>
      </patternFill>
    </fill>
    <fill>
      <patternFill patternType="solid">
        <fgColor rgb="FFC00000"/>
      </patternFill>
    </fill>
  </fills>
  <borders count="259">
    <border>
      <left/>
      <right/>
      <top/>
      <bottom/>
      <diagonal/>
    </border>
    <border>
      <left style="thin">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hair">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hair">
        <color theme="0" tint="-0.499984740745262"/>
      </top>
      <bottom/>
      <diagonal/>
    </border>
    <border>
      <left style="thin">
        <color theme="0" tint="-0.499984740745262"/>
      </left>
      <right/>
      <top style="thin">
        <color theme="0" tint="-0.499984740745262"/>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hair">
        <color theme="0" tint="-0.499984740745262"/>
      </top>
      <bottom style="thin">
        <color theme="0" tint="-0.499984740745262"/>
      </bottom>
      <diagonal/>
    </border>
    <border>
      <left/>
      <right style="thin">
        <color theme="0" tint="-0.499984740745262"/>
      </right>
      <top/>
      <bottom/>
      <diagonal/>
    </border>
    <border>
      <left/>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top style="hair">
        <color indexed="64"/>
      </top>
      <bottom style="hair">
        <color indexed="64"/>
      </bottom>
      <diagonal/>
    </border>
    <border>
      <left/>
      <right/>
      <top style="thin">
        <color indexed="64"/>
      </top>
      <bottom style="hair">
        <color indexed="64"/>
      </bottom>
      <diagonal/>
    </border>
    <border>
      <left/>
      <right/>
      <top style="thin">
        <color theme="0" tint="-0.499984740745262"/>
      </top>
      <bottom style="thin">
        <color theme="0" tint="-0.499984740745262"/>
      </bottom>
      <diagonal/>
    </border>
    <border>
      <left/>
      <right/>
      <top style="hair">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double">
        <color rgb="FFFF0000"/>
      </left>
      <right/>
      <top style="double">
        <color rgb="FFFF0000"/>
      </top>
      <bottom/>
      <diagonal/>
    </border>
    <border>
      <left/>
      <right/>
      <top style="double">
        <color rgb="FFFF0000"/>
      </top>
      <bottom/>
      <diagonal/>
    </border>
    <border>
      <left/>
      <right style="double">
        <color rgb="FFFF0000"/>
      </right>
      <top style="double">
        <color rgb="FFFF0000"/>
      </top>
      <bottom/>
      <diagonal/>
    </border>
    <border>
      <left style="double">
        <color rgb="FFFF0000"/>
      </left>
      <right/>
      <top/>
      <bottom style="double">
        <color rgb="FFFF0000"/>
      </bottom>
      <diagonal/>
    </border>
    <border>
      <left/>
      <right/>
      <top/>
      <bottom style="double">
        <color rgb="FFFF0000"/>
      </bottom>
      <diagonal/>
    </border>
    <border>
      <left/>
      <right style="double">
        <color rgb="FFFF0000"/>
      </right>
      <top/>
      <bottom style="double">
        <color rgb="FFFF0000"/>
      </bottom>
      <diagonal/>
    </border>
    <border>
      <left style="double">
        <color rgb="FF00B0F0"/>
      </left>
      <right/>
      <top style="double">
        <color rgb="FF00B0F0"/>
      </top>
      <bottom/>
      <diagonal/>
    </border>
    <border>
      <left/>
      <right/>
      <top style="double">
        <color rgb="FF00B0F0"/>
      </top>
      <bottom/>
      <diagonal/>
    </border>
    <border>
      <left/>
      <right style="double">
        <color rgb="FF00B0F0"/>
      </right>
      <top style="double">
        <color rgb="FF00B0F0"/>
      </top>
      <bottom/>
      <diagonal/>
    </border>
    <border>
      <left style="double">
        <color rgb="FF00B0F0"/>
      </left>
      <right/>
      <top/>
      <bottom style="double">
        <color rgb="FF00B0F0"/>
      </bottom>
      <diagonal/>
    </border>
    <border>
      <left/>
      <right/>
      <top/>
      <bottom style="double">
        <color rgb="FF00B0F0"/>
      </bottom>
      <diagonal/>
    </border>
    <border>
      <left/>
      <right style="double">
        <color rgb="FF00B0F0"/>
      </right>
      <top/>
      <bottom style="double">
        <color rgb="FF00B0F0"/>
      </bottom>
      <diagonal/>
    </border>
    <border>
      <left style="double">
        <color rgb="FFFF0000"/>
      </left>
      <right/>
      <top/>
      <bottom/>
      <diagonal/>
    </border>
    <border>
      <left/>
      <right style="double">
        <color rgb="FF00B0F0"/>
      </right>
      <top/>
      <bottom/>
      <diagonal/>
    </border>
    <border>
      <left style="double">
        <color rgb="FF00B0F0"/>
      </left>
      <right/>
      <top style="double">
        <color rgb="FF00B0F0"/>
      </top>
      <bottom style="double">
        <color rgb="FF00B0F0"/>
      </bottom>
      <diagonal/>
    </border>
    <border>
      <left/>
      <right/>
      <top style="double">
        <color rgb="FF00B0F0"/>
      </top>
      <bottom style="double">
        <color rgb="FF00B0F0"/>
      </bottom>
      <diagonal/>
    </border>
    <border>
      <left/>
      <right style="double">
        <color rgb="FF00B0F0"/>
      </right>
      <top style="double">
        <color rgb="FF00B0F0"/>
      </top>
      <bottom style="double">
        <color rgb="FF00B0F0"/>
      </bottom>
      <diagonal/>
    </border>
    <border>
      <left style="double">
        <color rgb="FFFF0000"/>
      </left>
      <right/>
      <top style="double">
        <color rgb="FFFF0000"/>
      </top>
      <bottom style="double">
        <color rgb="FFFF0000"/>
      </bottom>
      <diagonal/>
    </border>
    <border>
      <left/>
      <right/>
      <top style="double">
        <color rgb="FFFF0000"/>
      </top>
      <bottom style="double">
        <color rgb="FFFF0000"/>
      </bottom>
      <diagonal/>
    </border>
    <border>
      <left/>
      <right style="double">
        <color rgb="FFFF0000"/>
      </right>
      <top style="double">
        <color rgb="FFFF0000"/>
      </top>
      <bottom style="double">
        <color rgb="FFFF0000"/>
      </bottom>
      <diagonal/>
    </border>
    <border>
      <left style="mediumDashed">
        <color theme="0" tint="-0.499984740745262"/>
      </left>
      <right/>
      <top/>
      <bottom/>
      <diagonal/>
    </border>
    <border>
      <left style="double">
        <color rgb="FFFF9933"/>
      </left>
      <right/>
      <top style="double">
        <color rgb="FFFF9933"/>
      </top>
      <bottom/>
      <diagonal/>
    </border>
    <border>
      <left/>
      <right/>
      <top style="double">
        <color rgb="FFFF9933"/>
      </top>
      <bottom/>
      <diagonal/>
    </border>
    <border>
      <left/>
      <right style="double">
        <color rgb="FFFF9933"/>
      </right>
      <top style="double">
        <color rgb="FFFF9933"/>
      </top>
      <bottom/>
      <diagonal/>
    </border>
    <border>
      <left style="double">
        <color rgb="FFFF9933"/>
      </left>
      <right/>
      <top/>
      <bottom style="double">
        <color rgb="FFFF9933"/>
      </bottom>
      <diagonal/>
    </border>
    <border>
      <left/>
      <right/>
      <top/>
      <bottom style="double">
        <color rgb="FFFF9933"/>
      </bottom>
      <diagonal/>
    </border>
    <border>
      <left/>
      <right style="double">
        <color rgb="FFFF9933"/>
      </right>
      <top/>
      <bottom style="double">
        <color rgb="FFFF9933"/>
      </bottom>
      <diagonal/>
    </border>
    <border>
      <left/>
      <right style="double">
        <color rgb="FFFF9933"/>
      </right>
      <top/>
      <bottom/>
      <diagonal/>
    </border>
    <border>
      <left style="double">
        <color rgb="FF00B0F0"/>
      </left>
      <right/>
      <top/>
      <bottom/>
      <diagonal/>
    </border>
    <border>
      <left style="double">
        <color rgb="FFFF9933"/>
      </left>
      <right/>
      <top style="double">
        <color rgb="FFFF9933"/>
      </top>
      <bottom style="double">
        <color rgb="FFFF9933"/>
      </bottom>
      <diagonal/>
    </border>
    <border>
      <left/>
      <right/>
      <top style="double">
        <color rgb="FFFF9933"/>
      </top>
      <bottom style="double">
        <color rgb="FFFF9933"/>
      </bottom>
      <diagonal/>
    </border>
    <border>
      <left/>
      <right style="double">
        <color rgb="FFFF9933"/>
      </right>
      <top style="double">
        <color rgb="FFFF9933"/>
      </top>
      <bottom style="double">
        <color rgb="FFFF9933"/>
      </bottom>
      <diagonal/>
    </border>
    <border>
      <left style="double">
        <color rgb="FF0070C0"/>
      </left>
      <right/>
      <top style="double">
        <color rgb="FF0070C0"/>
      </top>
      <bottom/>
      <diagonal/>
    </border>
    <border>
      <left/>
      <right/>
      <top style="double">
        <color rgb="FF0070C0"/>
      </top>
      <bottom/>
      <diagonal/>
    </border>
    <border>
      <left/>
      <right style="double">
        <color rgb="FF0070C0"/>
      </right>
      <top style="double">
        <color rgb="FF0070C0"/>
      </top>
      <bottom/>
      <diagonal/>
    </border>
    <border>
      <left style="double">
        <color rgb="FF0070C0"/>
      </left>
      <right/>
      <top/>
      <bottom style="double">
        <color rgb="FF0070C0"/>
      </bottom>
      <diagonal/>
    </border>
    <border>
      <left/>
      <right/>
      <top/>
      <bottom style="double">
        <color rgb="FF0070C0"/>
      </bottom>
      <diagonal/>
    </border>
    <border>
      <left/>
      <right style="double">
        <color rgb="FF0070C0"/>
      </right>
      <top/>
      <bottom style="double">
        <color rgb="FF0070C0"/>
      </bottom>
      <diagonal/>
    </border>
    <border>
      <left/>
      <right style="mediumDashed">
        <color theme="0" tint="-0.499984740745262"/>
      </right>
      <top/>
      <bottom/>
      <diagonal/>
    </border>
    <border>
      <left/>
      <right/>
      <top/>
      <bottom style="double">
        <color indexed="64"/>
      </bottom>
      <diagonal/>
    </border>
    <border>
      <left style="thin">
        <color theme="0" tint="-0.499984740745262"/>
      </left>
      <right style="thin">
        <color theme="0" tint="-0.499984740745262"/>
      </right>
      <top/>
      <bottom style="hair">
        <color theme="0" tint="-0.499984740745262"/>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style="thin">
        <color theme="0" tint="-0.499984740745262"/>
      </right>
      <top style="thin">
        <color theme="0" tint="-0.499984740745262"/>
      </top>
      <bottom/>
      <diagonal/>
    </border>
    <border>
      <left style="thin">
        <color theme="0" tint="-0.499984740745262"/>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style="thin">
        <color theme="0" tint="-0.499984740745262"/>
      </left>
      <right/>
      <top style="thin">
        <color theme="0" tint="-0.499984740745262"/>
      </top>
      <bottom style="medium">
        <color theme="0" tint="-0.499984740745262"/>
      </bottom>
      <diagonal/>
    </border>
    <border>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thin">
        <color theme="0" tint="-0.499984740745262"/>
      </top>
      <bottom style="thin">
        <color theme="0" tint="-0.499984740745262"/>
      </bottom>
      <diagonal/>
    </border>
    <border>
      <left/>
      <right/>
      <top style="double">
        <color rgb="FF00B050"/>
      </top>
      <bottom/>
      <diagonal/>
    </border>
    <border>
      <left style="double">
        <color rgb="FF00B050"/>
      </left>
      <right/>
      <top style="double">
        <color rgb="FF00B050"/>
      </top>
      <bottom/>
      <diagonal/>
    </border>
    <border>
      <left/>
      <right style="double">
        <color rgb="FF00B050"/>
      </right>
      <top style="double">
        <color rgb="FF00B050"/>
      </top>
      <bottom/>
      <diagonal/>
    </border>
    <border>
      <left style="double">
        <color rgb="FF00B050"/>
      </left>
      <right/>
      <top/>
      <bottom style="double">
        <color rgb="FF00B050"/>
      </bottom>
      <diagonal/>
    </border>
    <border>
      <left/>
      <right/>
      <top/>
      <bottom style="double">
        <color rgb="FF00B050"/>
      </bottom>
      <diagonal/>
    </border>
    <border>
      <left/>
      <right style="double">
        <color rgb="FF00B050"/>
      </right>
      <top/>
      <bottom style="double">
        <color rgb="FF00B050"/>
      </bottom>
      <diagonal/>
    </border>
    <border>
      <left/>
      <right/>
      <top style="hair">
        <color theme="0" tint="-0.499984740745262"/>
      </top>
      <bottom style="hair">
        <color theme="0" tint="-0.499984740745262"/>
      </bottom>
      <diagonal/>
    </border>
    <border>
      <left/>
      <right style="thin">
        <color theme="0" tint="-0.499984740745262"/>
      </right>
      <top style="hair">
        <color theme="0" tint="-0.499984740745262"/>
      </top>
      <bottom style="hair">
        <color theme="0" tint="-0.499984740745262"/>
      </bottom>
      <diagonal/>
    </border>
    <border>
      <left/>
      <right/>
      <top style="hair">
        <color theme="0" tint="-0.499984740745262"/>
      </top>
      <bottom style="thin">
        <color theme="0" tint="-0.499984740745262"/>
      </bottom>
      <diagonal/>
    </border>
    <border>
      <left/>
      <right style="thin">
        <color theme="0" tint="-0.499984740745262"/>
      </right>
      <top style="hair">
        <color theme="0" tint="-0.499984740745262"/>
      </top>
      <bottom style="thin">
        <color theme="0" tint="-0.499984740745262"/>
      </bottom>
      <diagonal/>
    </border>
    <border>
      <left style="double">
        <color rgb="FFFFC000"/>
      </left>
      <right/>
      <top style="double">
        <color rgb="FFFFC000"/>
      </top>
      <bottom style="double">
        <color rgb="FFFFC000"/>
      </bottom>
      <diagonal/>
    </border>
    <border>
      <left/>
      <right style="double">
        <color rgb="FFFFC000"/>
      </right>
      <top style="double">
        <color rgb="FFFFC000"/>
      </top>
      <bottom style="double">
        <color rgb="FFFFC000"/>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medium">
        <color theme="0" tint="-0.499984740745262"/>
      </right>
      <top/>
      <bottom style="medium">
        <color theme="0" tint="-0.499984740745262"/>
      </bottom>
      <diagonal/>
    </border>
    <border>
      <left style="medium">
        <color theme="0" tint="-0.499984740745262"/>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style="medium">
        <color theme="0" tint="-0.499984740745262"/>
      </right>
      <top/>
      <bottom style="medium">
        <color theme="0" tint="-0.499984740745262"/>
      </bottom>
      <diagonal/>
    </border>
    <border>
      <left/>
      <right/>
      <top style="thin">
        <color theme="0" tint="-0.499984740745262"/>
      </top>
      <bottom style="hair">
        <color theme="0" tint="-0.499984740745262"/>
      </bottom>
      <diagonal/>
    </border>
    <border>
      <left/>
      <right style="thin">
        <color theme="0" tint="-0.499984740745262"/>
      </right>
      <top style="thin">
        <color theme="0" tint="-0.499984740745262"/>
      </top>
      <bottom style="hair">
        <color theme="0" tint="-0.499984740745262"/>
      </bottom>
      <diagonal/>
    </border>
    <border>
      <left style="thin">
        <color theme="0" tint="-0.499984740745262"/>
      </left>
      <right/>
      <top style="hair">
        <color theme="0" tint="-0.499984740745262"/>
      </top>
      <bottom/>
      <diagonal/>
    </border>
    <border>
      <left/>
      <right/>
      <top style="hair">
        <color theme="0" tint="-0.499984740745262"/>
      </top>
      <bottom/>
      <diagonal/>
    </border>
    <border>
      <left/>
      <right style="thin">
        <color theme="0" tint="-0.499984740745262"/>
      </right>
      <top style="hair">
        <color theme="0" tint="-0.499984740745262"/>
      </top>
      <bottom/>
      <diagonal/>
    </border>
    <border>
      <left style="medium">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style="double">
        <color rgb="FF00B050"/>
      </left>
      <right/>
      <top/>
      <bottom/>
      <diagonal/>
    </border>
    <border>
      <left/>
      <right style="double">
        <color rgb="FF00B050"/>
      </right>
      <top/>
      <bottom/>
      <diagonal/>
    </border>
    <border>
      <left/>
      <right style="thin">
        <color theme="0" tint="-0.499984740745262"/>
      </right>
      <top/>
      <bottom style="hair">
        <color theme="0" tint="-0.499984740745262"/>
      </bottom>
      <diagonal/>
    </border>
    <border>
      <left style="thin">
        <color theme="0" tint="-0.499984740745262"/>
      </left>
      <right/>
      <top/>
      <bottom style="hair">
        <color theme="0" tint="-0.499984740745262"/>
      </bottom>
      <diagonal/>
    </border>
    <border>
      <left style="thin">
        <color indexed="64"/>
      </left>
      <right style="thin">
        <color indexed="64"/>
      </right>
      <top/>
      <bottom style="thin">
        <color indexed="64"/>
      </bottom>
      <diagonal/>
    </border>
    <border>
      <left style="medium">
        <color rgb="FFFF0000"/>
      </left>
      <right style="medium">
        <color rgb="FFFF0000"/>
      </right>
      <top style="medium">
        <color rgb="FFFF0000"/>
      </top>
      <bottom style="medium">
        <color rgb="FFFF0000"/>
      </bottom>
      <diagonal/>
    </border>
    <border>
      <left style="thin">
        <color theme="4" tint="0.59996337778862885"/>
      </left>
      <right style="hair">
        <color theme="4" tint="0.59996337778862885"/>
      </right>
      <top style="thin">
        <color theme="4" tint="0.59996337778862885"/>
      </top>
      <bottom style="hair">
        <color theme="4" tint="0.59996337778862885"/>
      </bottom>
      <diagonal/>
    </border>
    <border>
      <left style="hair">
        <color theme="4" tint="0.59996337778862885"/>
      </left>
      <right style="hair">
        <color theme="4" tint="0.59996337778862885"/>
      </right>
      <top style="thin">
        <color theme="4" tint="0.59996337778862885"/>
      </top>
      <bottom style="hair">
        <color theme="4" tint="0.59996337778862885"/>
      </bottom>
      <diagonal/>
    </border>
    <border>
      <left style="hair">
        <color theme="4" tint="0.59996337778862885"/>
      </left>
      <right style="thin">
        <color theme="4" tint="0.59996337778862885"/>
      </right>
      <top style="thin">
        <color theme="4" tint="0.59996337778862885"/>
      </top>
      <bottom style="hair">
        <color theme="4" tint="0.59996337778862885"/>
      </bottom>
      <diagonal/>
    </border>
    <border>
      <left style="thin">
        <color theme="4" tint="0.59996337778862885"/>
      </left>
      <right style="hair">
        <color theme="4" tint="0.59996337778862885"/>
      </right>
      <top style="hair">
        <color theme="4" tint="0.59996337778862885"/>
      </top>
      <bottom style="hair">
        <color theme="4" tint="0.59996337778862885"/>
      </bottom>
      <diagonal/>
    </border>
    <border>
      <left style="hair">
        <color theme="4" tint="0.59996337778862885"/>
      </left>
      <right style="hair">
        <color theme="4" tint="0.59996337778862885"/>
      </right>
      <top style="hair">
        <color theme="4" tint="0.59996337778862885"/>
      </top>
      <bottom style="hair">
        <color theme="4" tint="0.59996337778862885"/>
      </bottom>
      <diagonal/>
    </border>
    <border>
      <left style="hair">
        <color theme="4" tint="0.59996337778862885"/>
      </left>
      <right style="thin">
        <color theme="4" tint="0.59996337778862885"/>
      </right>
      <top style="hair">
        <color theme="4" tint="0.59996337778862885"/>
      </top>
      <bottom style="hair">
        <color theme="4" tint="0.59996337778862885"/>
      </bottom>
      <diagonal/>
    </border>
    <border>
      <left style="thin">
        <color theme="4" tint="0.59996337778862885"/>
      </left>
      <right style="hair">
        <color theme="4" tint="0.59996337778862885"/>
      </right>
      <top style="hair">
        <color theme="4" tint="0.59996337778862885"/>
      </top>
      <bottom style="thin">
        <color theme="4" tint="0.59996337778862885"/>
      </bottom>
      <diagonal/>
    </border>
    <border>
      <left style="hair">
        <color theme="4" tint="0.59996337778862885"/>
      </left>
      <right style="hair">
        <color theme="4" tint="0.59996337778862885"/>
      </right>
      <top style="hair">
        <color theme="4" tint="0.59996337778862885"/>
      </top>
      <bottom style="thin">
        <color theme="4" tint="0.59996337778862885"/>
      </bottom>
      <diagonal/>
    </border>
    <border>
      <left style="hair">
        <color theme="4" tint="0.59996337778862885"/>
      </left>
      <right style="thin">
        <color theme="4" tint="0.59996337778862885"/>
      </right>
      <top style="hair">
        <color theme="4" tint="0.59996337778862885"/>
      </top>
      <bottom style="thin">
        <color theme="4" tint="0.59996337778862885"/>
      </bottom>
      <diagonal/>
    </border>
    <border>
      <left style="thin">
        <color theme="4" tint="0.59996337778862885"/>
      </left>
      <right style="hair">
        <color theme="4" tint="0.59996337778862885"/>
      </right>
      <top style="thin">
        <color theme="4" tint="0.59996337778862885"/>
      </top>
      <bottom style="thin">
        <color theme="4" tint="0.59996337778862885"/>
      </bottom>
      <diagonal/>
    </border>
    <border>
      <left style="hair">
        <color theme="4" tint="0.59996337778862885"/>
      </left>
      <right style="hair">
        <color theme="4" tint="0.59996337778862885"/>
      </right>
      <top style="thin">
        <color theme="4" tint="0.59996337778862885"/>
      </top>
      <bottom style="thin">
        <color theme="4" tint="0.59996337778862885"/>
      </bottom>
      <diagonal/>
    </border>
    <border>
      <left style="hair">
        <color theme="4" tint="0.59996337778862885"/>
      </left>
      <right style="thin">
        <color theme="4" tint="0.59996337778862885"/>
      </right>
      <top style="thin">
        <color theme="4" tint="0.59996337778862885"/>
      </top>
      <bottom style="thin">
        <color theme="4" tint="0.59996337778862885"/>
      </bottom>
      <diagonal/>
    </border>
    <border>
      <left/>
      <right/>
      <top/>
      <bottom style="double">
        <color theme="1" tint="0.24994659260841701"/>
      </bottom>
      <diagonal/>
    </border>
    <border>
      <left style="thin">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thin">
        <color theme="0" tint="-0.499984740745262"/>
      </right>
      <top style="hair">
        <color theme="0" tint="-0.499984740745262"/>
      </top>
      <bottom style="thin">
        <color theme="0" tint="-0.499984740745262"/>
      </bottom>
      <diagonal/>
    </border>
    <border>
      <left/>
      <right/>
      <top style="thin">
        <color theme="0" tint="-0.499984740745262"/>
      </top>
      <bottom/>
      <diagonal/>
    </border>
    <border>
      <left style="medium">
        <color rgb="FFFF0000"/>
      </left>
      <right style="thin">
        <color theme="0" tint="-0.499984740745262"/>
      </right>
      <top style="hair">
        <color theme="0" tint="-0.499984740745262"/>
      </top>
      <bottom style="medium">
        <color rgb="FFFF0000"/>
      </bottom>
      <diagonal/>
    </border>
    <border>
      <left style="thin">
        <color theme="0" tint="-0.499984740745262"/>
      </left>
      <right style="thin">
        <color theme="0" tint="-0.499984740745262"/>
      </right>
      <top style="hair">
        <color theme="0" tint="-0.499984740745262"/>
      </top>
      <bottom style="medium">
        <color rgb="FFFF0000"/>
      </bottom>
      <diagonal/>
    </border>
    <border>
      <left style="thin">
        <color theme="0" tint="-0.499984740745262"/>
      </left>
      <right style="medium">
        <color rgb="FFFF0000"/>
      </right>
      <top style="hair">
        <color theme="0" tint="-0.499984740745262"/>
      </top>
      <bottom style="medium">
        <color rgb="FFFF0000"/>
      </bottom>
      <diagonal/>
    </border>
    <border>
      <left style="medium">
        <color rgb="FF00B0F0"/>
      </left>
      <right style="medium">
        <color rgb="FF00B0F0"/>
      </right>
      <top style="medium">
        <color rgb="FF00B0F0"/>
      </top>
      <bottom/>
      <diagonal/>
    </border>
    <border>
      <left style="medium">
        <color rgb="FF00B0F0"/>
      </left>
      <right style="medium">
        <color rgb="FF00B0F0"/>
      </right>
      <top style="medium">
        <color rgb="FF00B0F0"/>
      </top>
      <bottom style="hair">
        <color rgb="FF00B0F0"/>
      </bottom>
      <diagonal/>
    </border>
    <border>
      <left style="medium">
        <color rgb="FF00B0F0"/>
      </left>
      <right style="medium">
        <color rgb="FF00B0F0"/>
      </right>
      <top/>
      <bottom/>
      <diagonal/>
    </border>
    <border>
      <left style="medium">
        <color rgb="FF00B0F0"/>
      </left>
      <right style="medium">
        <color rgb="FF00B0F0"/>
      </right>
      <top style="hair">
        <color rgb="FF00B0F0"/>
      </top>
      <bottom style="hair">
        <color rgb="FF00B0F0"/>
      </bottom>
      <diagonal/>
    </border>
    <border>
      <left style="medium">
        <color rgb="FF00B0F0"/>
      </left>
      <right style="medium">
        <color rgb="FF00B0F0"/>
      </right>
      <top/>
      <bottom style="medium">
        <color rgb="FF00B0F0"/>
      </bottom>
      <diagonal/>
    </border>
    <border>
      <left style="medium">
        <color rgb="FF00B0F0"/>
      </left>
      <right style="medium">
        <color rgb="FF00B0F0"/>
      </right>
      <top style="hair">
        <color rgb="FF00B0F0"/>
      </top>
      <bottom style="medium">
        <color rgb="FF00B0F0"/>
      </bottom>
      <diagonal/>
    </border>
    <border>
      <left style="thin">
        <color theme="8" tint="-0.24994659260841701"/>
      </left>
      <right/>
      <top style="thin">
        <color theme="8" tint="-0.24994659260841701"/>
      </top>
      <bottom/>
      <diagonal/>
    </border>
    <border>
      <left/>
      <right/>
      <top style="thin">
        <color theme="8" tint="-0.24994659260841701"/>
      </top>
      <bottom/>
      <diagonal/>
    </border>
    <border>
      <left/>
      <right style="thin">
        <color theme="8" tint="-0.24994659260841701"/>
      </right>
      <top style="thin">
        <color theme="8" tint="-0.24994659260841701"/>
      </top>
      <bottom/>
      <diagonal/>
    </border>
    <border>
      <left style="thin">
        <color theme="8" tint="-0.24994659260841701"/>
      </left>
      <right/>
      <top/>
      <bottom/>
      <diagonal/>
    </border>
    <border>
      <left/>
      <right style="thin">
        <color theme="8" tint="-0.24994659260841701"/>
      </right>
      <top/>
      <bottom/>
      <diagonal/>
    </border>
    <border>
      <left style="thin">
        <color theme="8" tint="-0.24994659260841701"/>
      </left>
      <right/>
      <top/>
      <bottom style="thin">
        <color theme="8" tint="-0.24994659260841701"/>
      </bottom>
      <diagonal/>
    </border>
    <border>
      <left/>
      <right/>
      <top/>
      <bottom style="thin">
        <color theme="8" tint="-0.24994659260841701"/>
      </bottom>
      <diagonal/>
    </border>
    <border>
      <left/>
      <right style="thin">
        <color theme="8" tint="-0.24994659260841701"/>
      </right>
      <top/>
      <bottom style="thin">
        <color theme="8" tint="-0.24994659260841701"/>
      </bottom>
      <diagonal/>
    </border>
    <border>
      <left/>
      <right/>
      <top/>
      <bottom style="thick">
        <color rgb="FFFFC000"/>
      </bottom>
      <diagonal/>
    </border>
    <border>
      <left style="double">
        <color rgb="FF00B050"/>
      </left>
      <right/>
      <top style="double">
        <color rgb="FF00B050"/>
      </top>
      <bottom style="double">
        <color rgb="FF00B050"/>
      </bottom>
      <diagonal/>
    </border>
    <border>
      <left/>
      <right/>
      <top style="double">
        <color rgb="FF00B050"/>
      </top>
      <bottom style="double">
        <color rgb="FF00B050"/>
      </bottom>
      <diagonal/>
    </border>
    <border>
      <left/>
      <right style="double">
        <color rgb="FF00B050"/>
      </right>
      <top style="double">
        <color rgb="FF00B050"/>
      </top>
      <bottom style="double">
        <color rgb="FF00B050"/>
      </bottom>
      <diagonal/>
    </border>
    <border>
      <left style="double">
        <color rgb="FF00B050"/>
      </left>
      <right/>
      <top/>
      <bottom style="double">
        <color rgb="FFFF0000"/>
      </bottom>
      <diagonal/>
    </border>
    <border>
      <left/>
      <right style="double">
        <color rgb="FF00B050"/>
      </right>
      <top/>
      <bottom style="double">
        <color rgb="FFFF0000"/>
      </bottom>
      <diagonal/>
    </border>
    <border>
      <left style="thin">
        <color theme="0" tint="-0.499984740745262"/>
      </left>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mediumDashDot">
        <color theme="0" tint="-0.499984740745262"/>
      </right>
      <top style="thin">
        <color theme="0" tint="-0.499984740745262"/>
      </top>
      <bottom style="thin">
        <color theme="0" tint="-0.499984740745262"/>
      </bottom>
      <diagonal/>
    </border>
    <border>
      <left/>
      <right style="mediumDashDot">
        <color theme="0" tint="-0.499984740745262"/>
      </right>
      <top style="thin">
        <color theme="0" tint="-0.499984740745262"/>
      </top>
      <bottom style="thin">
        <color theme="0" tint="-0.499984740745262"/>
      </bottom>
      <diagonal/>
    </border>
    <border>
      <left/>
      <right style="mediumDashDot">
        <color theme="0" tint="-0.499984740745262"/>
      </right>
      <top/>
      <bottom/>
      <diagonal/>
    </border>
    <border>
      <left/>
      <right style="mediumDashDot">
        <color theme="0" tint="-0.499984740745262"/>
      </right>
      <top/>
      <bottom style="thin">
        <color theme="0" tint="-0.499984740745262"/>
      </bottom>
      <diagonal/>
    </border>
    <border>
      <left style="thin">
        <color theme="0" tint="-0.499984740745262"/>
      </left>
      <right style="thin">
        <color rgb="FF000000"/>
      </right>
      <top style="thin">
        <color theme="0" tint="-0.499984740745262"/>
      </top>
      <bottom style="thin">
        <color theme="0" tint="-0.499984740745262"/>
      </bottom>
      <diagonal/>
    </border>
    <border>
      <left style="thin">
        <color rgb="FF000000"/>
      </left>
      <right style="thin">
        <color rgb="FF000000"/>
      </right>
      <top style="thin">
        <color theme="0" tint="-0.499984740745262"/>
      </top>
      <bottom style="thin">
        <color theme="0" tint="-0.499984740745262"/>
      </bottom>
      <diagonal/>
    </border>
    <border>
      <left style="thin">
        <color rgb="FF000000"/>
      </left>
      <right style="thin">
        <color theme="0" tint="-0.499984740745262"/>
      </right>
      <top style="thin">
        <color theme="0" tint="-0.499984740745262"/>
      </top>
      <bottom style="thin">
        <color theme="0" tint="-0.499984740745262"/>
      </bottom>
      <diagonal/>
    </border>
    <border>
      <left/>
      <right style="thin">
        <color rgb="FF000000"/>
      </right>
      <top style="thin">
        <color theme="0" tint="-0.499984740745262"/>
      </top>
      <bottom style="thin">
        <color theme="0" tint="-0.499984740745262"/>
      </bottom>
      <diagonal/>
    </border>
    <border>
      <left style="thin">
        <color rgb="FF000000"/>
      </left>
      <right style="mediumDashDot">
        <color theme="0" tint="-0.499984740745262"/>
      </right>
      <top style="thin">
        <color theme="0" tint="-0.499984740745262"/>
      </top>
      <bottom style="thin">
        <color theme="0" tint="-0.499984740745262"/>
      </bottom>
      <diagonal/>
    </border>
    <border>
      <left style="medium">
        <color rgb="FFFF0000"/>
      </left>
      <right/>
      <top style="medium">
        <color rgb="FFFF0000"/>
      </top>
      <bottom style="hair">
        <color theme="0" tint="-0.499984740745262"/>
      </bottom>
      <diagonal/>
    </border>
    <border>
      <left/>
      <right/>
      <top style="medium">
        <color rgb="FFFF0000"/>
      </top>
      <bottom style="hair">
        <color theme="0" tint="-0.499984740745262"/>
      </bottom>
      <diagonal/>
    </border>
    <border>
      <left/>
      <right style="medium">
        <color rgb="FFFF0000"/>
      </right>
      <top style="medium">
        <color rgb="FFFF0000"/>
      </top>
      <bottom style="hair">
        <color theme="0" tint="-0.499984740745262"/>
      </bottom>
      <diagonal/>
    </border>
    <border>
      <left style="medium">
        <color rgb="FFFF0000"/>
      </left>
      <right/>
      <top style="hair">
        <color theme="0" tint="-0.499984740745262"/>
      </top>
      <bottom style="hair">
        <color theme="0" tint="-0.499984740745262"/>
      </bottom>
      <diagonal/>
    </border>
    <border>
      <left/>
      <right style="medium">
        <color rgb="FFFF0000"/>
      </right>
      <top style="hair">
        <color theme="0" tint="-0.499984740745262"/>
      </top>
      <bottom style="hair">
        <color theme="0" tint="-0.499984740745262"/>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style="thick">
        <color rgb="FFFFC000"/>
      </right>
      <top/>
      <bottom style="thick">
        <color rgb="FFFFC000"/>
      </bottom>
      <diagonal/>
    </border>
    <border>
      <left style="medium">
        <color rgb="FF00B050"/>
      </left>
      <right/>
      <top style="medium">
        <color rgb="FF00B050"/>
      </top>
      <bottom/>
      <diagonal/>
    </border>
    <border>
      <left/>
      <right/>
      <top style="medium">
        <color rgb="FF00B050"/>
      </top>
      <bottom/>
      <diagonal/>
    </border>
    <border>
      <left/>
      <right style="medium">
        <color rgb="FF00B050"/>
      </right>
      <top style="medium">
        <color rgb="FF00B050"/>
      </top>
      <bottom/>
      <diagonal/>
    </border>
    <border>
      <left style="medium">
        <color rgb="FF00B050"/>
      </left>
      <right/>
      <top/>
      <bottom style="medium">
        <color rgb="FF00B050"/>
      </bottom>
      <diagonal/>
    </border>
    <border>
      <left/>
      <right/>
      <top/>
      <bottom style="medium">
        <color rgb="FF00B050"/>
      </bottom>
      <diagonal/>
    </border>
    <border>
      <left/>
      <right style="medium">
        <color rgb="FF00B050"/>
      </right>
      <top/>
      <bottom style="medium">
        <color rgb="FF00B050"/>
      </bottom>
      <diagonal/>
    </border>
    <border>
      <left style="medium">
        <color rgb="FF00B050"/>
      </left>
      <right/>
      <top/>
      <bottom/>
      <diagonal/>
    </border>
    <border>
      <left/>
      <right style="medium">
        <color rgb="FF00B050"/>
      </right>
      <top/>
      <bottom/>
      <diagonal/>
    </border>
    <border>
      <left style="thin">
        <color rgb="FFE7E6E6"/>
      </left>
      <right style="thin">
        <color rgb="FFE7E6E6"/>
      </right>
      <top style="thin">
        <color rgb="FFE7E6E6"/>
      </top>
      <bottom style="thin">
        <color rgb="FFE7E6E6"/>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hair">
        <color theme="0" tint="-0.499984740745262"/>
      </top>
      <bottom style="double">
        <color theme="0" tint="-0.499984740745262"/>
      </bottom>
      <diagonal/>
    </border>
    <border>
      <left/>
      <right/>
      <top style="medium">
        <color theme="0" tint="-0.499984740745262"/>
      </top>
      <bottom style="medium">
        <color theme="0" tint="-0.499984740745262"/>
      </bottom>
      <diagonal/>
    </border>
    <border>
      <left style="thin">
        <color theme="0" tint="-0.499984740745262"/>
      </left>
      <right style="thin">
        <color theme="0" tint="-0.499984740745262"/>
      </right>
      <top style="double">
        <color theme="0" tint="-0.499984740745262"/>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medium">
        <color theme="0" tint="-0.499984740745262"/>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style="hair">
        <color theme="0" tint="-0.499984740745262"/>
      </bottom>
      <diagonal/>
    </border>
    <border>
      <left style="thin">
        <color theme="0" tint="-0.499984740745262"/>
      </left>
      <right style="medium">
        <color theme="0" tint="-0.499984740745262"/>
      </right>
      <top style="medium">
        <color theme="0" tint="-0.499984740745262"/>
      </top>
      <bottom style="hair">
        <color theme="0" tint="-0.499984740745262"/>
      </bottom>
      <diagonal/>
    </border>
    <border>
      <left style="medium">
        <color theme="0" tint="-0.499984740745262"/>
      </left>
      <right style="thin">
        <color theme="0" tint="-0.499984740745262"/>
      </right>
      <top/>
      <bottom/>
      <diagonal/>
    </border>
    <border>
      <left style="thin">
        <color theme="0" tint="-0.499984740745262"/>
      </left>
      <right style="medium">
        <color theme="0" tint="-0.499984740745262"/>
      </right>
      <top style="hair">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hair">
        <color theme="0" tint="-0.499984740745262"/>
      </bottom>
      <diagonal/>
    </border>
    <border>
      <left style="medium">
        <color theme="0" tint="-0.499984740745262"/>
      </left>
      <right style="thin">
        <color theme="0" tint="-0.499984740745262"/>
      </right>
      <top/>
      <bottom style="medium">
        <color theme="0" tint="-0.499984740745262"/>
      </bottom>
      <diagonal/>
    </border>
    <border>
      <left style="thin">
        <color theme="0" tint="-0.499984740745262"/>
      </left>
      <right style="thin">
        <color theme="0" tint="-0.499984740745262"/>
      </right>
      <top/>
      <bottom style="medium">
        <color theme="0" tint="-0.499984740745262"/>
      </bottom>
      <diagonal/>
    </border>
    <border>
      <left style="thin">
        <color theme="0" tint="-0.499984740745262"/>
      </left>
      <right style="thin">
        <color theme="0" tint="-0.499984740745262"/>
      </right>
      <top style="hair">
        <color theme="0" tint="-0.499984740745262"/>
      </top>
      <bottom style="medium">
        <color theme="0" tint="-0.499984740745262"/>
      </bottom>
      <diagonal/>
    </border>
    <border>
      <left style="thin">
        <color theme="0" tint="-0.499984740745262"/>
      </left>
      <right/>
      <top style="hair">
        <color theme="0" tint="-0.499984740745262"/>
      </top>
      <bottom style="medium">
        <color theme="0" tint="-0.499984740745262"/>
      </bottom>
      <diagonal/>
    </border>
    <border>
      <left/>
      <right/>
      <top style="hair">
        <color theme="0" tint="-0.499984740745262"/>
      </top>
      <bottom style="medium">
        <color theme="0" tint="-0.499984740745262"/>
      </bottom>
      <diagonal/>
    </border>
    <border>
      <left/>
      <right style="medium">
        <color theme="0" tint="-0.499984740745262"/>
      </right>
      <top style="hair">
        <color theme="0" tint="-0.499984740745262"/>
      </top>
      <bottom style="medium">
        <color theme="0" tint="-0.499984740745262"/>
      </bottom>
      <diagonal/>
    </border>
    <border>
      <left/>
      <right/>
      <top/>
      <bottom style="double">
        <color theme="0" tint="-0.499984740745262"/>
      </bottom>
      <diagonal/>
    </border>
    <border>
      <left/>
      <right/>
      <top style="thin">
        <color theme="0" tint="-0.499984740745262"/>
      </top>
      <bottom style="double">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double">
        <color theme="0" tint="-0.499984740745262"/>
      </top>
      <bottom style="hair">
        <color theme="0" tint="-0.499984740745262"/>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hair">
        <color auto="1"/>
      </top>
      <bottom/>
      <diagonal/>
    </border>
    <border>
      <left style="thin">
        <color auto="1"/>
      </left>
      <right style="thin">
        <color auto="1"/>
      </right>
      <top style="double">
        <color auto="1"/>
      </top>
      <bottom style="thin">
        <color auto="1"/>
      </bottom>
      <diagonal/>
    </border>
    <border>
      <left style="thin">
        <color theme="4" tint="0.59996337778862885"/>
      </left>
      <right style="hair">
        <color theme="4" tint="0.59996337778862885"/>
      </right>
      <top/>
      <bottom style="hair">
        <color theme="4" tint="0.59996337778862885"/>
      </bottom>
      <diagonal/>
    </border>
    <border>
      <left style="double">
        <color theme="9" tint="0.39994506668294322"/>
      </left>
      <right/>
      <top style="double">
        <color theme="9" tint="0.39994506668294322"/>
      </top>
      <bottom/>
      <diagonal/>
    </border>
    <border>
      <left/>
      <right/>
      <top style="double">
        <color theme="9" tint="0.39994506668294322"/>
      </top>
      <bottom/>
      <diagonal/>
    </border>
    <border>
      <left/>
      <right style="double">
        <color theme="9" tint="0.39994506668294322"/>
      </right>
      <top style="double">
        <color theme="9" tint="0.39994506668294322"/>
      </top>
      <bottom/>
      <diagonal/>
    </border>
    <border>
      <left style="double">
        <color theme="9" tint="0.39994506668294322"/>
      </left>
      <right/>
      <top/>
      <bottom/>
      <diagonal/>
    </border>
    <border>
      <left/>
      <right style="double">
        <color theme="9" tint="0.39994506668294322"/>
      </right>
      <top/>
      <bottom/>
      <diagonal/>
    </border>
    <border>
      <left style="double">
        <color theme="9" tint="0.39994506668294322"/>
      </left>
      <right/>
      <top/>
      <bottom style="double">
        <color theme="9" tint="0.39994506668294322"/>
      </bottom>
      <diagonal/>
    </border>
    <border>
      <left/>
      <right/>
      <top/>
      <bottom style="double">
        <color theme="9" tint="0.39994506668294322"/>
      </bottom>
      <diagonal/>
    </border>
    <border>
      <left/>
      <right style="double">
        <color theme="9" tint="0.39994506668294322"/>
      </right>
      <top/>
      <bottom style="double">
        <color theme="9" tint="0.39994506668294322"/>
      </bottom>
      <diagonal/>
    </border>
    <border>
      <left style="thin">
        <color rgb="FFD9D9D9"/>
      </left>
      <right style="thin">
        <color rgb="FFD9D9D9"/>
      </right>
      <top style="thin">
        <color rgb="FFD9D9D9"/>
      </top>
      <bottom style="thin">
        <color rgb="FFD9D9D9"/>
      </bottom>
      <diagonal/>
    </border>
    <border>
      <left style="medium">
        <color rgb="FF000000"/>
      </left>
      <right style="thin">
        <color rgb="FFD0D0D0"/>
      </right>
      <top style="medium">
        <color rgb="FF000000"/>
      </top>
      <bottom style="thin">
        <color rgb="FFD0D0D0"/>
      </bottom>
      <diagonal/>
    </border>
    <border>
      <left style="thin">
        <color rgb="FFD0D0D0"/>
      </left>
      <right style="thin">
        <color rgb="FFD0D0D0"/>
      </right>
      <top style="medium">
        <color rgb="FF000000"/>
      </top>
      <bottom style="thin">
        <color rgb="FFD0D0D0"/>
      </bottom>
      <diagonal/>
    </border>
    <border>
      <left style="thin">
        <color rgb="FFD0D0D0"/>
      </left>
      <right style="medium">
        <color rgb="FF000000"/>
      </right>
      <top style="medium">
        <color rgb="FF000000"/>
      </top>
      <bottom style="thin">
        <color rgb="FFD0D0D0"/>
      </bottom>
      <diagonal/>
    </border>
    <border>
      <left style="medium">
        <color rgb="FF00000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medium">
        <color rgb="FF000000"/>
      </right>
      <top style="thin">
        <color rgb="FFD0D0D0"/>
      </top>
      <bottom style="thin">
        <color rgb="FFD0D0D0"/>
      </bottom>
      <diagonal/>
    </border>
    <border>
      <left style="medium">
        <color rgb="FF000000"/>
      </left>
      <right style="thin">
        <color rgb="FFD0D0D0"/>
      </right>
      <top style="thin">
        <color rgb="FFD0D0D0"/>
      </top>
      <bottom style="medium">
        <color rgb="FF000000"/>
      </bottom>
      <diagonal/>
    </border>
    <border>
      <left style="thin">
        <color rgb="FFD0D0D0"/>
      </left>
      <right style="thin">
        <color rgb="FFD0D0D0"/>
      </right>
      <top style="thin">
        <color rgb="FFD0D0D0"/>
      </top>
      <bottom style="medium">
        <color rgb="FF000000"/>
      </bottom>
      <diagonal/>
    </border>
    <border>
      <left style="thin">
        <color rgb="FFD0D0D0"/>
      </left>
      <right style="medium">
        <color rgb="FF000000"/>
      </right>
      <top style="thin">
        <color rgb="FFD0D0D0"/>
      </top>
      <bottom style="medium">
        <color rgb="FF000000"/>
      </bottom>
      <diagonal/>
    </border>
  </borders>
  <cellStyleXfs count="9">
    <xf numFmtId="0" fontId="0" fillId="0" borderId="0">
      <alignment vertical="center"/>
    </xf>
    <xf numFmtId="38" fontId="4" fillId="0" borderId="0" applyFont="0" applyFill="0" applyBorder="0" applyAlignment="0" applyProtection="0">
      <alignment vertical="center"/>
    </xf>
    <xf numFmtId="9" fontId="4" fillId="0" borderId="0" applyFont="0" applyFill="0" applyBorder="0" applyAlignment="0" applyProtection="0">
      <alignment vertical="center"/>
    </xf>
    <xf numFmtId="0" fontId="34" fillId="0" borderId="0"/>
    <xf numFmtId="0" fontId="95" fillId="0" borderId="0" applyNumberFormat="0" applyFill="0" applyBorder="0" applyAlignment="0" applyProtection="0">
      <alignment vertical="center"/>
    </xf>
    <xf numFmtId="0" fontId="144" fillId="0" borderId="0">
      <alignment vertical="center"/>
    </xf>
    <xf numFmtId="9" fontId="144" fillId="0" borderId="0" applyFont="0" applyFill="0" applyBorder="0" applyAlignment="0" applyProtection="0">
      <alignment vertical="center"/>
    </xf>
    <xf numFmtId="6" fontId="144" fillId="0" borderId="0" applyFont="0" applyFill="0" applyBorder="0" applyAlignment="0" applyProtection="0">
      <alignment vertical="center"/>
    </xf>
    <xf numFmtId="0" fontId="144" fillId="0" borderId="0">
      <alignment vertical="top"/>
    </xf>
  </cellStyleXfs>
  <cellXfs count="1556">
    <xf numFmtId="0" fontId="0" fillId="0" borderId="0" xfId="0">
      <alignment vertical="center"/>
    </xf>
    <xf numFmtId="0" fontId="36" fillId="0" borderId="0" xfId="0" applyFont="1" applyAlignment="1">
      <alignment horizontal="left" vertical="center"/>
    </xf>
    <xf numFmtId="0" fontId="1" fillId="2" borderId="0" xfId="0" applyFont="1" applyFill="1">
      <alignment vertical="center"/>
    </xf>
    <xf numFmtId="0" fontId="1" fillId="2" borderId="0" xfId="0" applyFont="1" applyFill="1" applyAlignment="1">
      <alignment horizontal="center" vertical="center"/>
    </xf>
    <xf numFmtId="0" fontId="5" fillId="2" borderId="0" xfId="0" applyFont="1" applyFill="1">
      <alignment vertical="center"/>
    </xf>
    <xf numFmtId="0" fontId="1" fillId="0" borderId="0" xfId="0" applyFont="1">
      <alignment vertical="center"/>
    </xf>
    <xf numFmtId="0" fontId="1" fillId="0" borderId="0" xfId="0" applyFont="1" applyAlignment="1">
      <alignment horizontal="center" vertical="center"/>
    </xf>
    <xf numFmtId="0" fontId="6" fillId="2" borderId="0" xfId="0" applyFont="1" applyFill="1" applyAlignment="1">
      <alignment vertical="center" shrinkToFit="1" readingOrder="1"/>
    </xf>
    <xf numFmtId="0" fontId="5" fillId="2" borderId="0" xfId="0" applyFont="1" applyFill="1" applyAlignment="1">
      <alignment vertical="center" shrinkToFit="1" readingOrder="1"/>
    </xf>
    <xf numFmtId="0" fontId="6" fillId="2" borderId="0" xfId="0" applyFont="1" applyFill="1" applyAlignment="1">
      <alignment horizontal="center" vertical="center" shrinkToFit="1" readingOrder="1"/>
    </xf>
    <xf numFmtId="0" fontId="5" fillId="2" borderId="0" xfId="0" applyFont="1" applyFill="1" applyAlignment="1">
      <alignment horizontal="center" vertical="center" shrinkToFit="1" readingOrder="1"/>
    </xf>
    <xf numFmtId="0" fontId="5" fillId="2" borderId="0" xfId="0" applyFont="1" applyFill="1" applyAlignment="1">
      <alignment horizontal="center" vertical="center" shrinkToFit="1"/>
    </xf>
    <xf numFmtId="0" fontId="17" fillId="2" borderId="0" xfId="0" applyFont="1" applyFill="1" applyAlignment="1">
      <alignment horizontal="center" vertical="center"/>
    </xf>
    <xf numFmtId="0" fontId="18" fillId="2" borderId="0" xfId="0" applyFont="1" applyFill="1">
      <alignment vertical="center"/>
    </xf>
    <xf numFmtId="0" fontId="12" fillId="2" borderId="0" xfId="0" applyFont="1" applyFill="1">
      <alignment vertical="center"/>
    </xf>
    <xf numFmtId="0" fontId="12" fillId="2" borderId="0" xfId="0" applyFont="1" applyFill="1" applyAlignment="1">
      <alignment horizontal="center" vertical="center"/>
    </xf>
    <xf numFmtId="0" fontId="20" fillId="2" borderId="0" xfId="0" applyFont="1" applyFill="1" applyAlignment="1">
      <alignment horizontal="center" vertical="center" shrinkToFit="1" readingOrder="1"/>
    </xf>
    <xf numFmtId="0" fontId="12" fillId="2" borderId="0" xfId="0" applyFont="1" applyFill="1" applyAlignment="1">
      <alignment horizontal="center" vertical="center" shrinkToFit="1" readingOrder="1"/>
    </xf>
    <xf numFmtId="0" fontId="5" fillId="2" borderId="0" xfId="0" applyFont="1" applyFill="1" applyAlignment="1">
      <alignment wrapText="1" shrinkToFit="1" readingOrder="1"/>
    </xf>
    <xf numFmtId="0" fontId="23" fillId="2" borderId="0" xfId="0" applyFont="1" applyFill="1" applyAlignment="1">
      <alignment horizontal="left" vertical="center"/>
    </xf>
    <xf numFmtId="0" fontId="23" fillId="2" borderId="0" xfId="0" applyFont="1" applyFill="1" applyAlignment="1">
      <alignment horizontal="left" vertical="center" readingOrder="1"/>
    </xf>
    <xf numFmtId="0" fontId="25" fillId="0" borderId="0" xfId="0" applyFont="1" applyAlignment="1">
      <alignment vertical="center" shrinkToFit="1"/>
    </xf>
    <xf numFmtId="177" fontId="25" fillId="0" borderId="0" xfId="0" applyNumberFormat="1" applyFont="1" applyAlignment="1">
      <alignment vertical="center" shrinkToFit="1"/>
    </xf>
    <xf numFmtId="0" fontId="28" fillId="0" borderId="0" xfId="0" applyFont="1" applyAlignment="1">
      <alignment vertical="center" shrinkToFit="1"/>
    </xf>
    <xf numFmtId="0" fontId="27" fillId="0" borderId="1" xfId="0" applyFont="1" applyBorder="1" applyAlignment="1">
      <alignment vertical="center" shrinkToFit="1"/>
    </xf>
    <xf numFmtId="0" fontId="27" fillId="0" borderId="2" xfId="0" applyFont="1" applyBorder="1" applyAlignment="1">
      <alignment vertical="center" shrinkToFit="1"/>
    </xf>
    <xf numFmtId="179" fontId="27" fillId="0" borderId="2" xfId="0" applyNumberFormat="1" applyFont="1" applyBorder="1" applyAlignment="1">
      <alignment vertical="center" shrinkToFit="1"/>
    </xf>
    <xf numFmtId="179" fontId="29" fillId="0" borderId="0" xfId="0" applyNumberFormat="1" applyFont="1" applyAlignment="1">
      <alignment vertical="center" shrinkToFit="1"/>
    </xf>
    <xf numFmtId="0" fontId="31" fillId="2" borderId="0" xfId="0" applyFont="1" applyFill="1">
      <alignment vertical="center"/>
    </xf>
    <xf numFmtId="0" fontId="31" fillId="2" borderId="0" xfId="0" applyFont="1" applyFill="1" applyAlignment="1">
      <alignment horizontal="right" vertical="center"/>
    </xf>
    <xf numFmtId="181" fontId="31" fillId="2" borderId="0" xfId="0" applyNumberFormat="1" applyFont="1" applyFill="1">
      <alignment vertical="center"/>
    </xf>
    <xf numFmtId="0" fontId="31" fillId="2" borderId="18" xfId="0" applyFont="1" applyFill="1" applyBorder="1" applyAlignment="1">
      <alignment horizontal="left" vertical="center"/>
    </xf>
    <xf numFmtId="0" fontId="31" fillId="2" borderId="19" xfId="0" applyFont="1" applyFill="1" applyBorder="1">
      <alignment vertical="center"/>
    </xf>
    <xf numFmtId="0" fontId="31" fillId="2" borderId="20" xfId="0" applyFont="1" applyFill="1" applyBorder="1" applyAlignment="1">
      <alignment horizontal="right" vertical="center"/>
    </xf>
    <xf numFmtId="0" fontId="31" fillId="2" borderId="21" xfId="0" applyFont="1" applyFill="1" applyBorder="1">
      <alignment vertical="center"/>
    </xf>
    <xf numFmtId="0" fontId="31" fillId="2" borderId="16" xfId="0" applyFont="1" applyFill="1" applyBorder="1" applyAlignment="1">
      <alignment horizontal="left" vertical="center"/>
    </xf>
    <xf numFmtId="0" fontId="31" fillId="2" borderId="23" xfId="0" applyFont="1" applyFill="1" applyBorder="1">
      <alignment vertical="center"/>
    </xf>
    <xf numFmtId="182" fontId="31" fillId="2" borderId="0" xfId="0" applyNumberFormat="1" applyFont="1" applyFill="1" applyAlignment="1">
      <alignment horizontal="right" vertical="center"/>
    </xf>
    <xf numFmtId="0" fontId="36" fillId="0" borderId="0" xfId="0" applyFont="1" applyAlignment="1">
      <alignment vertical="center" shrinkToFit="1"/>
    </xf>
    <xf numFmtId="0" fontId="14" fillId="2" borderId="0" xfId="0" applyFont="1" applyFill="1" applyAlignment="1">
      <alignment horizontal="center" vertical="center"/>
    </xf>
    <xf numFmtId="0" fontId="30" fillId="2" borderId="16" xfId="0" applyFont="1" applyFill="1" applyBorder="1" applyAlignment="1">
      <alignment horizontal="center" vertical="center"/>
    </xf>
    <xf numFmtId="0" fontId="32" fillId="10" borderId="24" xfId="0" applyFont="1" applyFill="1" applyBorder="1" applyAlignment="1">
      <alignment horizontal="center" vertical="center"/>
    </xf>
    <xf numFmtId="0" fontId="32" fillId="2" borderId="33" xfId="0" applyFont="1" applyFill="1" applyBorder="1" applyAlignment="1">
      <alignment horizontal="center" vertical="center"/>
    </xf>
    <xf numFmtId="183" fontId="32" fillId="2" borderId="33" xfId="0" applyNumberFormat="1" applyFont="1" applyFill="1" applyBorder="1" applyAlignment="1">
      <alignment horizontal="center" vertical="center"/>
    </xf>
    <xf numFmtId="183" fontId="32" fillId="2" borderId="33" xfId="1" applyNumberFormat="1" applyFont="1" applyFill="1" applyBorder="1" applyAlignment="1">
      <alignment horizontal="center" vertical="center"/>
    </xf>
    <xf numFmtId="0" fontId="32" fillId="2" borderId="34" xfId="0" applyFont="1" applyFill="1" applyBorder="1" applyAlignment="1">
      <alignment horizontal="center" vertical="center"/>
    </xf>
    <xf numFmtId="183" fontId="32" fillId="2" borderId="34" xfId="0" applyNumberFormat="1" applyFont="1" applyFill="1" applyBorder="1" applyAlignment="1">
      <alignment horizontal="center" vertical="center"/>
    </xf>
    <xf numFmtId="183" fontId="32" fillId="2" borderId="34" xfId="1" applyNumberFormat="1" applyFont="1" applyFill="1" applyBorder="1" applyAlignment="1">
      <alignment horizontal="center" vertical="center"/>
    </xf>
    <xf numFmtId="0" fontId="32" fillId="2" borderId="37" xfId="0" applyFont="1" applyFill="1" applyBorder="1" applyAlignment="1">
      <alignment horizontal="center" vertical="center"/>
    </xf>
    <xf numFmtId="183" fontId="32" fillId="2" borderId="37" xfId="0" applyNumberFormat="1" applyFont="1" applyFill="1" applyBorder="1" applyAlignment="1">
      <alignment horizontal="center" vertical="center"/>
    </xf>
    <xf numFmtId="183" fontId="32" fillId="2" borderId="37" xfId="1" applyNumberFormat="1" applyFont="1" applyFill="1" applyBorder="1" applyAlignment="1">
      <alignment horizontal="center" vertical="center"/>
    </xf>
    <xf numFmtId="0" fontId="31" fillId="14" borderId="27" xfId="0" applyFont="1" applyFill="1" applyBorder="1" applyAlignment="1">
      <alignment horizontal="center" vertical="center"/>
    </xf>
    <xf numFmtId="0" fontId="43" fillId="2" borderId="0" xfId="0" applyFont="1" applyFill="1" applyAlignment="1">
      <alignment horizontal="left" vertical="center"/>
    </xf>
    <xf numFmtId="0" fontId="15" fillId="2" borderId="0" xfId="0" applyFont="1" applyFill="1">
      <alignment vertical="center"/>
    </xf>
    <xf numFmtId="0" fontId="43" fillId="2" borderId="0" xfId="0" applyFont="1" applyFill="1">
      <alignment vertical="center"/>
    </xf>
    <xf numFmtId="0" fontId="42" fillId="2" borderId="0" xfId="0" applyFont="1" applyFill="1">
      <alignment vertical="center"/>
    </xf>
    <xf numFmtId="0" fontId="44" fillId="2" borderId="0" xfId="0" applyFont="1" applyFill="1" applyAlignment="1">
      <alignment vertical="center" textRotation="255"/>
    </xf>
    <xf numFmtId="0" fontId="12" fillId="2" borderId="0" xfId="0" applyFont="1" applyFill="1" applyAlignment="1">
      <alignment horizontal="center" shrinkToFit="1" readingOrder="1"/>
    </xf>
    <xf numFmtId="0" fontId="21" fillId="2" borderId="0" xfId="0" applyFont="1" applyFill="1">
      <alignment vertical="center"/>
    </xf>
    <xf numFmtId="0" fontId="45" fillId="2" borderId="0" xfId="0" applyFont="1" applyFill="1" applyAlignment="1">
      <alignment horizontal="center" vertical="center"/>
    </xf>
    <xf numFmtId="0" fontId="5" fillId="2" borderId="0" xfId="0" applyFont="1" applyFill="1" applyAlignment="1">
      <alignment horizontal="center" vertical="center"/>
    </xf>
    <xf numFmtId="0" fontId="14" fillId="2" borderId="0" xfId="0" applyFont="1" applyFill="1">
      <alignment vertical="center"/>
    </xf>
    <xf numFmtId="0" fontId="14" fillId="2" borderId="65" xfId="0" applyFont="1" applyFill="1" applyBorder="1" applyAlignment="1">
      <alignment horizontal="center" vertical="center"/>
    </xf>
    <xf numFmtId="0" fontId="5" fillId="2" borderId="65" xfId="0" applyFont="1" applyFill="1" applyBorder="1">
      <alignment vertical="center"/>
    </xf>
    <xf numFmtId="0" fontId="1" fillId="2" borderId="65" xfId="0" applyFont="1" applyFill="1" applyBorder="1">
      <alignment vertical="center"/>
    </xf>
    <xf numFmtId="0" fontId="12" fillId="2" borderId="65" xfId="0" applyFont="1" applyFill="1" applyBorder="1">
      <alignment vertical="center"/>
    </xf>
    <xf numFmtId="0" fontId="18" fillId="2" borderId="65" xfId="0" applyFont="1" applyFill="1" applyBorder="1">
      <alignment vertical="center"/>
    </xf>
    <xf numFmtId="0" fontId="19" fillId="2" borderId="0" xfId="0" applyFont="1" applyFill="1">
      <alignment vertical="center"/>
    </xf>
    <xf numFmtId="0" fontId="55" fillId="2" borderId="0" xfId="0" applyFont="1" applyFill="1" applyAlignment="1">
      <alignment shrinkToFit="1"/>
    </xf>
    <xf numFmtId="0" fontId="52" fillId="2" borderId="0" xfId="0" applyFont="1" applyFill="1" applyAlignment="1">
      <alignment horizontal="center" vertical="center"/>
    </xf>
    <xf numFmtId="179" fontId="6" fillId="2" borderId="0" xfId="0" applyNumberFormat="1" applyFont="1" applyFill="1" applyAlignment="1">
      <alignment vertical="center" shrinkToFit="1" readingOrder="1"/>
    </xf>
    <xf numFmtId="0" fontId="56" fillId="2" borderId="0" xfId="0" applyFont="1" applyFill="1" applyAlignment="1">
      <alignment vertical="center" shrinkToFit="1" readingOrder="1"/>
    </xf>
    <xf numFmtId="179" fontId="56" fillId="2" borderId="0" xfId="0" applyNumberFormat="1" applyFont="1" applyFill="1" applyAlignment="1">
      <alignment vertical="center" shrinkToFit="1" readingOrder="1"/>
    </xf>
    <xf numFmtId="0" fontId="23" fillId="2" borderId="0" xfId="0" applyFont="1" applyFill="1">
      <alignment vertical="center"/>
    </xf>
    <xf numFmtId="179" fontId="58" fillId="2" borderId="0" xfId="0" applyNumberFormat="1" applyFont="1" applyFill="1" applyAlignment="1">
      <alignment horizontal="center" vertical="center" shrinkToFit="1"/>
    </xf>
    <xf numFmtId="0" fontId="5" fillId="2" borderId="0" xfId="0" applyFont="1" applyFill="1" applyAlignment="1">
      <alignment horizontal="left" vertical="center"/>
    </xf>
    <xf numFmtId="0" fontId="61" fillId="2" borderId="0" xfId="0" applyFont="1" applyFill="1">
      <alignment vertical="center"/>
    </xf>
    <xf numFmtId="0" fontId="61" fillId="2" borderId="0" xfId="0" applyFont="1" applyFill="1" applyAlignment="1">
      <alignment horizontal="right" vertical="center"/>
    </xf>
    <xf numFmtId="181" fontId="61" fillId="2" borderId="0" xfId="0" applyNumberFormat="1" applyFont="1" applyFill="1">
      <alignment vertical="center"/>
    </xf>
    <xf numFmtId="182" fontId="61" fillId="2" borderId="0" xfId="0" applyNumberFormat="1" applyFont="1" applyFill="1" applyAlignment="1">
      <alignment horizontal="right" vertical="center"/>
    </xf>
    <xf numFmtId="0" fontId="13" fillId="2" borderId="0" xfId="0" applyFont="1" applyFill="1">
      <alignment vertical="center"/>
    </xf>
    <xf numFmtId="0" fontId="44" fillId="2" borderId="0" xfId="0" applyFont="1" applyFill="1">
      <alignment vertical="center"/>
    </xf>
    <xf numFmtId="179" fontId="27" fillId="0" borderId="1" xfId="0" applyNumberFormat="1" applyFont="1" applyBorder="1" applyAlignment="1">
      <alignment vertical="center" shrinkToFit="1"/>
    </xf>
    <xf numFmtId="0" fontId="5" fillId="2" borderId="0" xfId="0" applyFont="1" applyFill="1" applyAlignment="1">
      <alignment vertical="center" shrinkToFit="1"/>
    </xf>
    <xf numFmtId="179" fontId="25" fillId="0" borderId="0" xfId="0" applyNumberFormat="1" applyFont="1" applyAlignment="1">
      <alignment vertical="center" shrinkToFit="1"/>
    </xf>
    <xf numFmtId="179" fontId="48" fillId="2" borderId="0" xfId="0" applyNumberFormat="1" applyFont="1" applyFill="1" applyAlignment="1">
      <alignment vertical="center" shrinkToFit="1" readingOrder="1"/>
    </xf>
    <xf numFmtId="0" fontId="63" fillId="2" borderId="0" xfId="0" applyFont="1" applyFill="1" applyAlignment="1"/>
    <xf numFmtId="0" fontId="23" fillId="2" borderId="65" xfId="0" applyFont="1" applyFill="1" applyBorder="1" applyAlignment="1">
      <alignment horizontal="left" vertical="center"/>
    </xf>
    <xf numFmtId="0" fontId="1" fillId="2" borderId="0" xfId="0" applyFont="1" applyFill="1" applyAlignment="1">
      <alignment horizontal="left" vertical="center"/>
    </xf>
    <xf numFmtId="0" fontId="12" fillId="2" borderId="0" xfId="0" applyFont="1" applyFill="1" applyAlignment="1">
      <alignment wrapText="1"/>
    </xf>
    <xf numFmtId="0" fontId="12" fillId="2" borderId="0" xfId="0" applyFont="1" applyFill="1" applyAlignment="1">
      <alignment vertical="center" wrapText="1"/>
    </xf>
    <xf numFmtId="0" fontId="65" fillId="2" borderId="97" xfId="0" applyFont="1" applyFill="1" applyBorder="1" applyAlignment="1">
      <alignment horizontal="center" vertical="center"/>
    </xf>
    <xf numFmtId="179" fontId="65" fillId="2" borderId="0" xfId="0" applyNumberFormat="1" applyFont="1" applyFill="1" applyAlignment="1">
      <alignment horizontal="center" vertical="center"/>
    </xf>
    <xf numFmtId="179" fontId="65" fillId="2" borderId="0" xfId="1" applyNumberFormat="1" applyFont="1" applyFill="1" applyBorder="1" applyAlignment="1">
      <alignment horizontal="center" vertical="center" shrinkToFit="1"/>
    </xf>
    <xf numFmtId="0" fontId="67" fillId="2" borderId="0" xfId="0" applyFont="1" applyFill="1">
      <alignment vertical="center"/>
    </xf>
    <xf numFmtId="179" fontId="69" fillId="14" borderId="84" xfId="0" applyNumberFormat="1" applyFont="1" applyFill="1" applyBorder="1" applyAlignment="1">
      <alignment horizontal="right" vertical="center"/>
    </xf>
    <xf numFmtId="38" fontId="69" fillId="2" borderId="0" xfId="1" applyFont="1" applyFill="1" applyBorder="1" applyAlignment="1">
      <alignment vertical="center"/>
    </xf>
    <xf numFmtId="179" fontId="69" fillId="14" borderId="84" xfId="1" applyNumberFormat="1" applyFont="1" applyFill="1" applyBorder="1" applyAlignment="1">
      <alignment vertical="center"/>
    </xf>
    <xf numFmtId="179" fontId="1" fillId="2" borderId="0" xfId="0" applyNumberFormat="1" applyFont="1" applyFill="1" applyAlignment="1">
      <alignment horizontal="center" vertical="center"/>
    </xf>
    <xf numFmtId="0" fontId="25" fillId="2" borderId="0" xfId="0" applyFont="1" applyFill="1" applyAlignment="1">
      <alignment horizontal="center" vertical="top"/>
    </xf>
    <xf numFmtId="179" fontId="39" fillId="2" borderId="0" xfId="0" applyNumberFormat="1" applyFont="1" applyFill="1" applyAlignment="1">
      <alignment horizontal="center" vertical="center"/>
    </xf>
    <xf numFmtId="179" fontId="39" fillId="2" borderId="0" xfId="0" applyNumberFormat="1" applyFont="1" applyFill="1" applyAlignment="1">
      <alignment horizontal="center" vertical="center" wrapText="1"/>
    </xf>
    <xf numFmtId="0" fontId="11" fillId="0" borderId="0" xfId="0" applyFont="1" applyAlignment="1">
      <alignment vertical="center" shrinkToFit="1"/>
    </xf>
    <xf numFmtId="176" fontId="10" fillId="0" borderId="0" xfId="2" applyNumberFormat="1" applyFont="1" applyAlignment="1">
      <alignment vertical="center" shrinkToFit="1"/>
    </xf>
    <xf numFmtId="0" fontId="5" fillId="2" borderId="100" xfId="0" applyFont="1" applyFill="1" applyBorder="1">
      <alignment vertical="center"/>
    </xf>
    <xf numFmtId="0" fontId="11" fillId="2" borderId="0" xfId="0" applyFont="1" applyFill="1" applyAlignment="1">
      <alignment horizontal="center" vertical="center"/>
    </xf>
    <xf numFmtId="0" fontId="66" fillId="2" borderId="0" xfId="0" applyFont="1" applyFill="1">
      <alignment vertical="center"/>
    </xf>
    <xf numFmtId="0" fontId="31" fillId="2" borderId="0" xfId="0" applyFont="1" applyFill="1" applyAlignment="1">
      <alignment horizontal="right" vertical="center" shrinkToFit="1"/>
    </xf>
    <xf numFmtId="182" fontId="31" fillId="2" borderId="0" xfId="0" applyNumberFormat="1" applyFont="1" applyFill="1" applyAlignment="1">
      <alignment horizontal="right" vertical="center" shrinkToFit="1"/>
    </xf>
    <xf numFmtId="0" fontId="74" fillId="2" borderId="0" xfId="0" applyFont="1" applyFill="1">
      <alignment vertical="center"/>
    </xf>
    <xf numFmtId="0" fontId="31" fillId="2" borderId="19" xfId="0" applyFont="1" applyFill="1" applyBorder="1" applyAlignment="1">
      <alignment horizontal="left" vertical="center"/>
    </xf>
    <xf numFmtId="0" fontId="31" fillId="2" borderId="23" xfId="0" applyFont="1" applyFill="1" applyBorder="1" applyAlignment="1">
      <alignment horizontal="left" vertical="center"/>
    </xf>
    <xf numFmtId="0" fontId="31" fillId="2" borderId="20" xfId="0" applyFont="1" applyFill="1" applyBorder="1" applyAlignment="1">
      <alignment horizontal="left" vertical="center"/>
    </xf>
    <xf numFmtId="0" fontId="66" fillId="2" borderId="14" xfId="0" applyFont="1" applyFill="1" applyBorder="1" applyAlignment="1">
      <alignment horizontal="center" vertical="center"/>
    </xf>
    <xf numFmtId="183" fontId="66" fillId="2" borderId="14" xfId="0" applyNumberFormat="1" applyFont="1" applyFill="1" applyBorder="1" applyAlignment="1">
      <alignment horizontal="center" vertical="center"/>
    </xf>
    <xf numFmtId="183" fontId="66" fillId="2" borderId="14" xfId="0" applyNumberFormat="1" applyFont="1" applyFill="1" applyBorder="1">
      <alignment vertical="center"/>
    </xf>
    <xf numFmtId="183" fontId="66" fillId="2" borderId="14" xfId="1" applyNumberFormat="1" applyFont="1" applyFill="1" applyBorder="1" applyAlignment="1">
      <alignment horizontal="right" vertical="center"/>
    </xf>
    <xf numFmtId="0" fontId="65" fillId="2" borderId="0" xfId="0" applyFont="1" applyFill="1" applyAlignment="1">
      <alignment horizontal="center" vertical="center"/>
    </xf>
    <xf numFmtId="183" fontId="65" fillId="2" borderId="0" xfId="0" applyNumberFormat="1" applyFont="1" applyFill="1" applyAlignment="1">
      <alignment horizontal="center" vertical="center"/>
    </xf>
    <xf numFmtId="183" fontId="65" fillId="2" borderId="0" xfId="0" applyNumberFormat="1" applyFont="1" applyFill="1">
      <alignment vertical="center"/>
    </xf>
    <xf numFmtId="0" fontId="65" fillId="14" borderId="84" xfId="0" applyFont="1" applyFill="1" applyBorder="1" applyAlignment="1">
      <alignment horizontal="center" vertical="center"/>
    </xf>
    <xf numFmtId="0" fontId="1" fillId="0" borderId="0" xfId="0" applyFont="1" applyAlignment="1">
      <alignment horizontal="left" vertical="center"/>
    </xf>
    <xf numFmtId="183" fontId="66" fillId="2" borderId="6" xfId="0" applyNumberFormat="1" applyFont="1" applyFill="1" applyBorder="1" applyAlignment="1">
      <alignment horizontal="center" vertical="center" shrinkToFit="1"/>
    </xf>
    <xf numFmtId="0" fontId="65" fillId="2" borderId="84" xfId="0" applyFont="1" applyFill="1" applyBorder="1" applyAlignment="1">
      <alignment horizontal="center" vertical="center"/>
    </xf>
    <xf numFmtId="0" fontId="25" fillId="8" borderId="0" xfId="0" applyFont="1" applyFill="1" applyAlignment="1">
      <alignment vertical="center" shrinkToFit="1"/>
    </xf>
    <xf numFmtId="0" fontId="28" fillId="8" borderId="0" xfId="0" applyFont="1" applyFill="1" applyAlignment="1">
      <alignment vertical="center" shrinkToFit="1"/>
    </xf>
    <xf numFmtId="0" fontId="27" fillId="8" borderId="1" xfId="0" applyFont="1" applyFill="1" applyBorder="1" applyAlignment="1">
      <alignment vertical="center" shrinkToFit="1"/>
    </xf>
    <xf numFmtId="0" fontId="27" fillId="8" borderId="2" xfId="0" applyFont="1" applyFill="1" applyBorder="1" applyAlignment="1">
      <alignment vertical="center" shrinkToFit="1"/>
    </xf>
    <xf numFmtId="179" fontId="27" fillId="8" borderId="2" xfId="0" applyNumberFormat="1" applyFont="1" applyFill="1" applyBorder="1" applyAlignment="1">
      <alignment vertical="center" shrinkToFit="1"/>
    </xf>
    <xf numFmtId="0" fontId="27" fillId="8" borderId="4" xfId="0" applyFont="1" applyFill="1" applyBorder="1" applyAlignment="1">
      <alignment vertical="center" shrinkToFit="1"/>
    </xf>
    <xf numFmtId="179" fontId="27" fillId="8" borderId="4" xfId="0" applyNumberFormat="1" applyFont="1" applyFill="1" applyBorder="1" applyAlignment="1">
      <alignment vertical="center" shrinkToFit="1"/>
    </xf>
    <xf numFmtId="0" fontId="27" fillId="8" borderId="0" xfId="0" applyFont="1" applyFill="1" applyAlignment="1">
      <alignment vertical="center" shrinkToFit="1"/>
    </xf>
    <xf numFmtId="179" fontId="27" fillId="8" borderId="0" xfId="0" applyNumberFormat="1" applyFont="1" applyFill="1" applyAlignment="1">
      <alignment vertical="center" shrinkToFit="1"/>
    </xf>
    <xf numFmtId="179" fontId="28" fillId="8" borderId="0" xfId="0" applyNumberFormat="1" applyFont="1" applyFill="1" applyAlignment="1">
      <alignment vertical="center" shrinkToFit="1"/>
    </xf>
    <xf numFmtId="176" fontId="28" fillId="8" borderId="0" xfId="2" applyNumberFormat="1" applyFont="1" applyFill="1" applyAlignment="1">
      <alignment vertical="center" shrinkToFit="1"/>
    </xf>
    <xf numFmtId="179" fontId="29" fillId="8" borderId="0" xfId="0" applyNumberFormat="1" applyFont="1" applyFill="1" applyAlignment="1">
      <alignment vertical="center" shrinkToFit="1"/>
    </xf>
    <xf numFmtId="0" fontId="27" fillId="0" borderId="0" xfId="0" applyFont="1" applyAlignment="1">
      <alignment vertical="center" shrinkToFit="1"/>
    </xf>
    <xf numFmtId="179" fontId="27" fillId="0" borderId="0" xfId="0" applyNumberFormat="1" applyFont="1" applyAlignment="1">
      <alignment vertical="center" shrinkToFit="1"/>
    </xf>
    <xf numFmtId="179" fontId="28" fillId="0" borderId="0" xfId="0" applyNumberFormat="1" applyFont="1" applyAlignment="1">
      <alignment vertical="center" shrinkToFit="1"/>
    </xf>
    <xf numFmtId="176" fontId="28" fillId="0" borderId="0" xfId="2" applyNumberFormat="1" applyFont="1" applyFill="1" applyAlignment="1">
      <alignment vertical="center" shrinkToFit="1"/>
    </xf>
    <xf numFmtId="179" fontId="27" fillId="0" borderId="2" xfId="1" applyNumberFormat="1" applyFont="1" applyBorder="1" applyAlignment="1">
      <alignment vertical="center" shrinkToFit="1"/>
    </xf>
    <xf numFmtId="0" fontId="10" fillId="0" borderId="4" xfId="0" applyFont="1" applyBorder="1" applyAlignment="1">
      <alignment vertical="center" shrinkToFit="1"/>
    </xf>
    <xf numFmtId="179" fontId="10" fillId="0" borderId="4" xfId="0" applyNumberFormat="1" applyFont="1" applyBorder="1" applyAlignment="1">
      <alignment vertical="center" shrinkToFit="1"/>
    </xf>
    <xf numFmtId="0" fontId="27" fillId="6" borderId="2" xfId="0" applyFont="1" applyFill="1" applyBorder="1" applyAlignment="1">
      <alignment vertical="center" shrinkToFit="1"/>
    </xf>
    <xf numFmtId="179" fontId="27" fillId="6" borderId="2" xfId="0" applyNumberFormat="1" applyFont="1" applyFill="1" applyBorder="1" applyAlignment="1">
      <alignment vertical="center" shrinkToFit="1"/>
    </xf>
    <xf numFmtId="0" fontId="25" fillId="15" borderId="0" xfId="0" applyFont="1" applyFill="1" applyAlignment="1">
      <alignment vertical="center" shrinkToFit="1"/>
    </xf>
    <xf numFmtId="0" fontId="25" fillId="21" borderId="0" xfId="0" applyFont="1" applyFill="1" applyAlignment="1">
      <alignment vertical="center" shrinkToFit="1"/>
    </xf>
    <xf numFmtId="0" fontId="55" fillId="2" borderId="100" xfId="0" applyFont="1" applyFill="1" applyBorder="1" applyAlignment="1">
      <alignment shrinkToFit="1"/>
    </xf>
    <xf numFmtId="0" fontId="52" fillId="2" borderId="100" xfId="0" applyFont="1" applyFill="1" applyBorder="1" applyAlignment="1">
      <alignment horizontal="center" vertical="center"/>
    </xf>
    <xf numFmtId="0" fontId="66" fillId="2" borderId="85" xfId="0" applyFont="1" applyFill="1" applyBorder="1" applyAlignment="1">
      <alignment horizontal="center" vertical="center" shrinkToFit="1"/>
    </xf>
    <xf numFmtId="0" fontId="66" fillId="2" borderId="1" xfId="0" applyFont="1" applyFill="1" applyBorder="1" applyAlignment="1">
      <alignment horizontal="center" vertical="center" shrinkToFit="1"/>
    </xf>
    <xf numFmtId="183" fontId="66" fillId="2" borderId="85" xfId="0" applyNumberFormat="1" applyFont="1" applyFill="1" applyBorder="1" applyAlignment="1">
      <alignment vertical="center" shrinkToFit="1"/>
    </xf>
    <xf numFmtId="0" fontId="66" fillId="2" borderId="2" xfId="0" applyFont="1" applyFill="1" applyBorder="1" applyAlignment="1">
      <alignment horizontal="center" vertical="center" shrinkToFit="1"/>
    </xf>
    <xf numFmtId="183" fontId="66" fillId="2" borderId="2" xfId="0" applyNumberFormat="1" applyFont="1" applyFill="1" applyBorder="1" applyAlignment="1">
      <alignment vertical="center" shrinkToFit="1"/>
    </xf>
    <xf numFmtId="0" fontId="66" fillId="2" borderId="6" xfId="0" applyFont="1" applyFill="1" applyBorder="1" applyAlignment="1">
      <alignment horizontal="center" vertical="center" shrinkToFit="1"/>
    </xf>
    <xf numFmtId="183" fontId="66" fillId="2" borderId="6" xfId="0" applyNumberFormat="1" applyFont="1" applyFill="1" applyBorder="1" applyAlignment="1">
      <alignment vertical="center" shrinkToFit="1"/>
    </xf>
    <xf numFmtId="183" fontId="65" fillId="2" borderId="3" xfId="0" applyNumberFormat="1" applyFont="1" applyFill="1" applyBorder="1" applyAlignment="1">
      <alignment vertical="center" shrinkToFit="1"/>
    </xf>
    <xf numFmtId="183" fontId="65" fillId="2" borderId="5" xfId="0" applyNumberFormat="1" applyFont="1" applyFill="1" applyBorder="1" applyAlignment="1">
      <alignment vertical="center" shrinkToFit="1"/>
    </xf>
    <xf numFmtId="183" fontId="80" fillId="2" borderId="3" xfId="0" applyNumberFormat="1" applyFont="1" applyFill="1" applyBorder="1" applyAlignment="1">
      <alignment vertical="center" shrinkToFit="1"/>
    </xf>
    <xf numFmtId="183" fontId="80" fillId="2" borderId="5" xfId="0" applyNumberFormat="1" applyFont="1" applyFill="1" applyBorder="1" applyAlignment="1">
      <alignment vertical="center" shrinkToFit="1"/>
    </xf>
    <xf numFmtId="0" fontId="66" fillId="2" borderId="4" xfId="0" applyFont="1" applyFill="1" applyBorder="1" applyAlignment="1">
      <alignment horizontal="center" vertical="center" shrinkToFit="1"/>
    </xf>
    <xf numFmtId="183" fontId="66" fillId="2" borderId="4" xfId="0" applyNumberFormat="1" applyFont="1" applyFill="1" applyBorder="1" applyAlignment="1">
      <alignment horizontal="right" vertical="center" shrinkToFit="1"/>
    </xf>
    <xf numFmtId="183" fontId="66" fillId="2" borderId="4" xfId="0" applyNumberFormat="1" applyFont="1" applyFill="1" applyBorder="1" applyAlignment="1">
      <alignment vertical="center" shrinkToFit="1"/>
    </xf>
    <xf numFmtId="0" fontId="31" fillId="2" borderId="33" xfId="0" applyFont="1" applyFill="1" applyBorder="1" applyAlignment="1">
      <alignment horizontal="center" vertical="center" shrinkToFit="1"/>
    </xf>
    <xf numFmtId="183" fontId="31" fillId="2" borderId="33" xfId="0" applyNumberFormat="1" applyFont="1" applyFill="1" applyBorder="1" applyAlignment="1">
      <alignment vertical="center" shrinkToFit="1"/>
    </xf>
    <xf numFmtId="0" fontId="31" fillId="2" borderId="34" xfId="0" applyFont="1" applyFill="1" applyBorder="1" applyAlignment="1">
      <alignment horizontal="center" vertical="center" shrinkToFit="1"/>
    </xf>
    <xf numFmtId="183" fontId="31" fillId="2" borderId="34" xfId="0" applyNumberFormat="1" applyFont="1" applyFill="1" applyBorder="1" applyAlignment="1">
      <alignment vertical="center" shrinkToFit="1"/>
    </xf>
    <xf numFmtId="0" fontId="31" fillId="2" borderId="37" xfId="0" applyFont="1" applyFill="1" applyBorder="1" applyAlignment="1">
      <alignment horizontal="center" vertical="center" shrinkToFit="1"/>
    </xf>
    <xf numFmtId="0" fontId="61" fillId="10" borderId="3" xfId="0" applyFont="1" applyFill="1" applyBorder="1" applyAlignment="1">
      <alignment horizontal="center" vertical="center" shrinkToFit="1"/>
    </xf>
    <xf numFmtId="0" fontId="61" fillId="2" borderId="9" xfId="0" applyFont="1" applyFill="1" applyBorder="1" applyAlignment="1">
      <alignment vertical="center" shrinkToFit="1"/>
    </xf>
    <xf numFmtId="179" fontId="69" fillId="2" borderId="1" xfId="0" applyNumberFormat="1" applyFont="1" applyFill="1" applyBorder="1" applyAlignment="1">
      <alignment horizontal="right" vertical="center" shrinkToFit="1"/>
    </xf>
    <xf numFmtId="183" fontId="69" fillId="2" borderId="9" xfId="1" applyNumberFormat="1" applyFont="1" applyFill="1" applyBorder="1" applyAlignment="1">
      <alignment vertical="center" shrinkToFit="1"/>
    </xf>
    <xf numFmtId="179" fontId="69" fillId="2" borderId="1" xfId="1" applyNumberFormat="1" applyFont="1" applyFill="1" applyBorder="1" applyAlignment="1">
      <alignment vertical="center" shrinkToFit="1"/>
    </xf>
    <xf numFmtId="179" fontId="69" fillId="2" borderId="2" xfId="0" applyNumberFormat="1" applyFont="1" applyFill="1" applyBorder="1" applyAlignment="1">
      <alignment horizontal="right" vertical="center" shrinkToFit="1"/>
    </xf>
    <xf numFmtId="179" fontId="69" fillId="2" borderId="2" xfId="1" applyNumberFormat="1" applyFont="1" applyFill="1" applyBorder="1" applyAlignment="1">
      <alignment vertical="center" shrinkToFit="1"/>
    </xf>
    <xf numFmtId="179" fontId="70" fillId="2" borderId="4" xfId="0" applyNumberFormat="1" applyFont="1" applyFill="1" applyBorder="1" applyAlignment="1">
      <alignment horizontal="right" vertical="center" shrinkToFit="1"/>
    </xf>
    <xf numFmtId="183" fontId="71" fillId="2" borderId="9" xfId="1" applyNumberFormat="1" applyFont="1" applyFill="1" applyBorder="1" applyAlignment="1">
      <alignment vertical="center" shrinkToFit="1"/>
    </xf>
    <xf numFmtId="179" fontId="70" fillId="2" borderId="4" xfId="1" applyNumberFormat="1" applyFont="1" applyFill="1" applyBorder="1" applyAlignment="1">
      <alignment vertical="center" shrinkToFit="1"/>
    </xf>
    <xf numFmtId="0" fontId="31" fillId="2" borderId="40" xfId="0" applyFont="1" applyFill="1" applyBorder="1" applyAlignment="1">
      <alignment horizontal="center" vertical="center" shrinkToFit="1"/>
    </xf>
    <xf numFmtId="183" fontId="31" fillId="2" borderId="40" xfId="0" applyNumberFormat="1" applyFont="1" applyFill="1" applyBorder="1" applyAlignment="1">
      <alignment vertical="center" shrinkToFit="1"/>
    </xf>
    <xf numFmtId="183" fontId="33" fillId="2" borderId="34" xfId="0" applyNumberFormat="1" applyFont="1" applyFill="1" applyBorder="1" applyAlignment="1">
      <alignment vertical="center" shrinkToFit="1"/>
    </xf>
    <xf numFmtId="183" fontId="31" fillId="2" borderId="37" xfId="0" applyNumberFormat="1" applyFont="1" applyFill="1" applyBorder="1" applyAlignment="1">
      <alignment vertical="center" shrinkToFit="1"/>
    </xf>
    <xf numFmtId="183" fontId="69" fillId="2" borderId="1" xfId="0" applyNumberFormat="1" applyFont="1" applyFill="1" applyBorder="1" applyAlignment="1">
      <alignment horizontal="right" vertical="center" shrinkToFit="1"/>
    </xf>
    <xf numFmtId="183" fontId="69" fillId="2" borderId="2" xfId="0" applyNumberFormat="1" applyFont="1" applyFill="1" applyBorder="1" applyAlignment="1">
      <alignment horizontal="right" vertical="center" shrinkToFit="1"/>
    </xf>
    <xf numFmtId="183" fontId="70" fillId="2" borderId="4" xfId="0" applyNumberFormat="1" applyFont="1" applyFill="1" applyBorder="1" applyAlignment="1">
      <alignment horizontal="right" vertical="center" shrinkToFit="1"/>
    </xf>
    <xf numFmtId="38" fontId="1" fillId="0" borderId="0" xfId="1" applyFont="1" applyFill="1" applyBorder="1">
      <alignment vertical="center"/>
    </xf>
    <xf numFmtId="0" fontId="19" fillId="2" borderId="0" xfId="0" applyFont="1" applyFill="1" applyAlignment="1">
      <alignment horizontal="center" vertical="center"/>
    </xf>
    <xf numFmtId="181" fontId="61" fillId="2" borderId="0" xfId="0" applyNumberFormat="1" applyFont="1" applyFill="1" applyAlignment="1">
      <alignment vertical="center" shrinkToFit="1"/>
    </xf>
    <xf numFmtId="0" fontId="55" fillId="2" borderId="101" xfId="0" applyFont="1" applyFill="1" applyBorder="1" applyAlignment="1">
      <alignment shrinkToFit="1"/>
    </xf>
    <xf numFmtId="0" fontId="5" fillId="2" borderId="102" xfId="0" applyFont="1" applyFill="1" applyBorder="1">
      <alignment vertical="center"/>
    </xf>
    <xf numFmtId="0" fontId="55" fillId="2" borderId="126" xfId="0" applyFont="1" applyFill="1" applyBorder="1" applyAlignment="1">
      <alignment shrinkToFit="1"/>
    </xf>
    <xf numFmtId="0" fontId="5" fillId="2" borderId="127" xfId="0" applyFont="1" applyFill="1" applyBorder="1">
      <alignment vertical="center"/>
    </xf>
    <xf numFmtId="0" fontId="5" fillId="2" borderId="126" xfId="0" applyFont="1" applyFill="1" applyBorder="1">
      <alignment vertical="center"/>
    </xf>
    <xf numFmtId="0" fontId="5" fillId="2" borderId="104" xfId="0" applyFont="1" applyFill="1" applyBorder="1">
      <alignment vertical="center"/>
    </xf>
    <xf numFmtId="0" fontId="5" fillId="2" borderId="101" xfId="0" applyFont="1" applyFill="1" applyBorder="1">
      <alignment vertical="center"/>
    </xf>
    <xf numFmtId="0" fontId="55" fillId="2" borderId="102" xfId="0" applyFont="1" applyFill="1" applyBorder="1" applyAlignment="1">
      <alignment shrinkToFit="1"/>
    </xf>
    <xf numFmtId="0" fontId="55" fillId="2" borderId="127" xfId="0" applyFont="1" applyFill="1" applyBorder="1" applyAlignment="1">
      <alignment shrinkToFit="1"/>
    </xf>
    <xf numFmtId="0" fontId="5" fillId="2" borderId="105" xfId="0" applyFont="1" applyFill="1" applyBorder="1" applyAlignment="1">
      <alignment vertical="center" shrinkToFit="1" readingOrder="1"/>
    </xf>
    <xf numFmtId="0" fontId="11" fillId="2" borderId="103" xfId="0" applyFont="1" applyFill="1" applyBorder="1" applyAlignment="1">
      <alignment horizontal="center" vertical="center"/>
    </xf>
    <xf numFmtId="0" fontId="1" fillId="2" borderId="104" xfId="0" applyFont="1" applyFill="1" applyBorder="1" applyAlignment="1">
      <alignment horizontal="left" vertical="center"/>
    </xf>
    <xf numFmtId="0" fontId="11" fillId="2" borderId="104" xfId="0" applyFont="1" applyFill="1" applyBorder="1" applyAlignment="1">
      <alignment horizontal="center" vertical="center"/>
    </xf>
    <xf numFmtId="0" fontId="15" fillId="2" borderId="104" xfId="0" applyFont="1" applyFill="1" applyBorder="1" applyAlignment="1">
      <alignment vertical="center" shrinkToFit="1" readingOrder="1"/>
    </xf>
    <xf numFmtId="0" fontId="21" fillId="2" borderId="103" xfId="0" applyFont="1" applyFill="1" applyBorder="1">
      <alignment vertical="center"/>
    </xf>
    <xf numFmtId="0" fontId="21" fillId="2" borderId="104" xfId="0" applyFont="1" applyFill="1" applyBorder="1" applyAlignment="1">
      <alignment horizontal="left" vertical="center"/>
    </xf>
    <xf numFmtId="0" fontId="21" fillId="2" borderId="104" xfId="0" applyFont="1" applyFill="1" applyBorder="1">
      <alignment vertical="center"/>
    </xf>
    <xf numFmtId="179" fontId="21" fillId="2" borderId="104" xfId="0" applyNumberFormat="1" applyFont="1" applyFill="1" applyBorder="1">
      <alignment vertical="center"/>
    </xf>
    <xf numFmtId="0" fontId="21" fillId="2" borderId="104" xfId="0" applyFont="1" applyFill="1" applyBorder="1" applyAlignment="1">
      <alignment vertical="center" shrinkToFit="1"/>
    </xf>
    <xf numFmtId="0" fontId="21" fillId="2" borderId="104" xfId="0" applyFont="1" applyFill="1" applyBorder="1" applyAlignment="1">
      <alignment vertical="top" shrinkToFit="1"/>
    </xf>
    <xf numFmtId="0" fontId="21" fillId="2" borderId="105" xfId="0" applyFont="1" applyFill="1" applyBorder="1" applyAlignment="1">
      <alignment vertical="top" shrinkToFit="1"/>
    </xf>
    <xf numFmtId="0" fontId="1" fillId="10" borderId="0" xfId="0" applyFont="1" applyFill="1">
      <alignment vertical="center"/>
    </xf>
    <xf numFmtId="0" fontId="83" fillId="2" borderId="0" xfId="0" applyFont="1" applyFill="1">
      <alignment vertical="center"/>
    </xf>
    <xf numFmtId="183" fontId="74" fillId="2" borderId="85" xfId="0" applyNumberFormat="1" applyFont="1" applyFill="1" applyBorder="1" applyAlignment="1">
      <alignment vertical="center" shrinkToFit="1"/>
    </xf>
    <xf numFmtId="0" fontId="31" fillId="2" borderId="16" xfId="0" applyFont="1" applyFill="1" applyBorder="1" applyAlignment="1">
      <alignment horizontal="center" vertical="center"/>
    </xf>
    <xf numFmtId="0" fontId="31" fillId="14" borderId="16" xfId="0" applyFont="1" applyFill="1" applyBorder="1" applyAlignment="1">
      <alignment horizontal="center" vertical="center"/>
    </xf>
    <xf numFmtId="38" fontId="31" fillId="2" borderId="16" xfId="1" applyFont="1" applyFill="1" applyBorder="1" applyAlignment="1">
      <alignment horizontal="right" vertical="center"/>
    </xf>
    <xf numFmtId="0" fontId="33" fillId="14" borderId="16" xfId="0" applyFont="1" applyFill="1" applyBorder="1" applyAlignment="1">
      <alignment horizontal="center" vertical="center"/>
    </xf>
    <xf numFmtId="0" fontId="85" fillId="2" borderId="27" xfId="0" applyFont="1" applyFill="1" applyBorder="1" applyAlignment="1">
      <alignment horizontal="center" vertical="center"/>
    </xf>
    <xf numFmtId="0" fontId="86" fillId="2" borderId="0" xfId="0" applyFont="1" applyFill="1">
      <alignment vertical="center"/>
    </xf>
    <xf numFmtId="183" fontId="31" fillId="2" borderId="37" xfId="0" applyNumberFormat="1" applyFont="1" applyFill="1" applyBorder="1" applyAlignment="1">
      <alignment horizontal="right" vertical="center" shrinkToFit="1"/>
    </xf>
    <xf numFmtId="0" fontId="87" fillId="0" borderId="0" xfId="0" applyFont="1" applyAlignment="1">
      <alignment vertical="center" shrinkToFit="1"/>
    </xf>
    <xf numFmtId="38" fontId="87" fillId="0" borderId="0" xfId="1" applyFont="1" applyFill="1" applyBorder="1" applyAlignment="1">
      <alignment vertical="center" shrinkToFit="1"/>
    </xf>
    <xf numFmtId="0" fontId="87" fillId="0" borderId="0" xfId="0" applyFont="1" applyAlignment="1">
      <alignment horizontal="center" vertical="center" shrinkToFit="1"/>
    </xf>
    <xf numFmtId="38" fontId="87" fillId="0" borderId="0" xfId="0" applyNumberFormat="1" applyFont="1" applyAlignment="1">
      <alignment vertical="center" shrinkToFit="1"/>
    </xf>
    <xf numFmtId="0" fontId="25" fillId="10" borderId="0" xfId="0" applyFont="1" applyFill="1" applyAlignment="1">
      <alignment vertical="center" shrinkToFit="1"/>
    </xf>
    <xf numFmtId="0" fontId="35" fillId="2" borderId="0" xfId="0" applyFont="1" applyFill="1">
      <alignment vertical="center"/>
    </xf>
    <xf numFmtId="38" fontId="35" fillId="2" borderId="15" xfId="0" applyNumberFormat="1" applyFont="1" applyFill="1" applyBorder="1" applyAlignment="1">
      <alignment vertical="center" shrinkToFit="1"/>
    </xf>
    <xf numFmtId="0" fontId="35" fillId="2" borderId="0" xfId="0" applyFont="1" applyFill="1" applyAlignment="1">
      <alignment vertical="center" shrinkToFit="1"/>
    </xf>
    <xf numFmtId="38" fontId="35" fillId="2" borderId="0" xfId="1" applyFont="1" applyFill="1">
      <alignment vertical="center"/>
    </xf>
    <xf numFmtId="0" fontId="26" fillId="2" borderId="0" xfId="0" applyFont="1" applyFill="1" applyAlignment="1">
      <alignment horizontal="left" vertical="center"/>
    </xf>
    <xf numFmtId="0" fontId="35" fillId="2" borderId="3" xfId="0" applyFont="1" applyFill="1" applyBorder="1" applyAlignment="1">
      <alignment vertical="center" shrinkToFit="1"/>
    </xf>
    <xf numFmtId="38" fontId="35" fillId="5" borderId="131" xfId="1" applyFont="1" applyFill="1" applyBorder="1" applyAlignment="1">
      <alignment vertical="center" shrinkToFit="1"/>
    </xf>
    <xf numFmtId="179" fontId="60" fillId="2" borderId="0" xfId="1" applyNumberFormat="1" applyFont="1" applyFill="1" applyBorder="1" applyAlignment="1">
      <alignment horizontal="center" vertical="center" shrinkToFit="1"/>
    </xf>
    <xf numFmtId="0" fontId="80" fillId="2" borderId="0" xfId="0" applyFont="1" applyFill="1" applyAlignment="1">
      <alignment vertical="top"/>
    </xf>
    <xf numFmtId="0" fontId="80" fillId="2" borderId="0" xfId="0" applyFont="1" applyFill="1" applyAlignment="1">
      <alignment horizontal="left" vertical="top"/>
    </xf>
    <xf numFmtId="0" fontId="35" fillId="2" borderId="0" xfId="0" applyFont="1" applyFill="1" applyAlignment="1">
      <alignment horizontal="left" vertical="center"/>
    </xf>
    <xf numFmtId="0" fontId="37" fillId="2" borderId="0" xfId="0" applyFont="1" applyFill="1" applyAlignment="1">
      <alignment horizontal="center" vertical="center"/>
    </xf>
    <xf numFmtId="0" fontId="37" fillId="2" borderId="0" xfId="0" applyFont="1" applyFill="1" applyAlignment="1">
      <alignment horizontal="left" vertical="center"/>
    </xf>
    <xf numFmtId="0" fontId="37" fillId="15" borderId="132" xfId="0" applyFont="1" applyFill="1" applyBorder="1" applyAlignment="1">
      <alignment horizontal="left" vertical="center"/>
    </xf>
    <xf numFmtId="0" fontId="37" fillId="21" borderId="138" xfId="0" applyFont="1" applyFill="1" applyBorder="1" applyAlignment="1">
      <alignment horizontal="left" vertical="center"/>
    </xf>
    <xf numFmtId="0" fontId="90" fillId="2" borderId="0" xfId="0" applyFont="1" applyFill="1">
      <alignment vertical="center"/>
    </xf>
    <xf numFmtId="0" fontId="91" fillId="2" borderId="0" xfId="0" applyFont="1" applyFill="1">
      <alignment vertical="center"/>
    </xf>
    <xf numFmtId="38" fontId="88" fillId="5" borderId="131" xfId="1" applyFont="1" applyFill="1" applyBorder="1" applyAlignment="1">
      <alignment vertical="center" shrinkToFit="1"/>
    </xf>
    <xf numFmtId="0" fontId="92" fillId="2" borderId="0" xfId="0" applyFont="1" applyFill="1">
      <alignment vertical="center"/>
    </xf>
    <xf numFmtId="0" fontId="92" fillId="5" borderId="131" xfId="0" applyFont="1" applyFill="1" applyBorder="1">
      <alignment vertical="center"/>
    </xf>
    <xf numFmtId="0" fontId="92" fillId="2" borderId="0" xfId="0" applyFont="1" applyFill="1" applyAlignment="1">
      <alignment horizontal="right" vertical="center"/>
    </xf>
    <xf numFmtId="0" fontId="93" fillId="2" borderId="0" xfId="0" applyFont="1" applyFill="1">
      <alignment vertical="center"/>
    </xf>
    <xf numFmtId="0" fontId="94" fillId="2" borderId="0" xfId="0" applyFont="1" applyFill="1" applyAlignment="1">
      <alignment horizontal="right" vertical="center"/>
    </xf>
    <xf numFmtId="0" fontId="37" fillId="24" borderId="141" xfId="0" applyFont="1" applyFill="1" applyBorder="1">
      <alignment vertical="center"/>
    </xf>
    <xf numFmtId="38" fontId="35" fillId="14" borderId="3" xfId="0" applyNumberFormat="1" applyFont="1" applyFill="1" applyBorder="1" applyAlignment="1">
      <alignment vertical="center" shrinkToFit="1"/>
    </xf>
    <xf numFmtId="38" fontId="35" fillId="14" borderId="3" xfId="1" applyFont="1" applyFill="1" applyBorder="1" applyAlignment="1">
      <alignment horizontal="right" vertical="center" shrinkToFit="1"/>
    </xf>
    <xf numFmtId="192" fontId="35" fillId="14" borderId="3" xfId="0" applyNumberFormat="1" applyFont="1" applyFill="1" applyBorder="1" applyAlignment="1">
      <alignment horizontal="center" vertical="center" shrinkToFit="1"/>
    </xf>
    <xf numFmtId="0" fontId="37" fillId="23" borderId="138" xfId="0" applyFont="1" applyFill="1" applyBorder="1">
      <alignment vertical="center"/>
    </xf>
    <xf numFmtId="0" fontId="1" fillId="0" borderId="0" xfId="0" applyFont="1" applyAlignment="1">
      <alignment vertical="center" shrinkToFit="1"/>
    </xf>
    <xf numFmtId="0" fontId="98" fillId="2" borderId="0" xfId="0" applyFont="1" applyFill="1">
      <alignment vertical="center"/>
    </xf>
    <xf numFmtId="0" fontId="99" fillId="2" borderId="0" xfId="0" applyFont="1" applyFill="1">
      <alignment vertical="center"/>
    </xf>
    <xf numFmtId="0" fontId="100" fillId="2" borderId="0" xfId="0" applyFont="1" applyFill="1">
      <alignment vertical="center"/>
    </xf>
    <xf numFmtId="0" fontId="98" fillId="2" borderId="144" xfId="0" applyFont="1" applyFill="1" applyBorder="1">
      <alignment vertical="center"/>
    </xf>
    <xf numFmtId="0" fontId="100" fillId="10" borderId="0" xfId="0" applyFont="1" applyFill="1">
      <alignment vertical="center"/>
    </xf>
    <xf numFmtId="0" fontId="97" fillId="2" borderId="0" xfId="0" applyFont="1" applyFill="1">
      <alignment vertical="center"/>
    </xf>
    <xf numFmtId="0" fontId="102" fillId="2" borderId="0" xfId="0" applyFont="1" applyFill="1">
      <alignment vertical="center"/>
    </xf>
    <xf numFmtId="0" fontId="103" fillId="2" borderId="0" xfId="0" applyFont="1" applyFill="1">
      <alignment vertical="center"/>
    </xf>
    <xf numFmtId="0" fontId="104" fillId="10" borderId="3" xfId="0" applyFont="1" applyFill="1" applyBorder="1" applyAlignment="1">
      <alignment horizontal="center" vertical="center" shrinkToFit="1"/>
    </xf>
    <xf numFmtId="38" fontId="104" fillId="0" borderId="10" xfId="1" applyFont="1" applyFill="1" applyBorder="1" applyAlignment="1">
      <alignment vertical="center" shrinkToFit="1"/>
    </xf>
    <xf numFmtId="0" fontId="36" fillId="0" borderId="0" xfId="0" applyFont="1">
      <alignment vertical="center"/>
    </xf>
    <xf numFmtId="0" fontId="36" fillId="0" borderId="0" xfId="0" applyFont="1" applyAlignment="1">
      <alignment horizontal="left" vertical="center" shrinkToFit="1"/>
    </xf>
    <xf numFmtId="180" fontId="36" fillId="0" borderId="0" xfId="0" applyNumberFormat="1" applyFont="1" applyAlignment="1">
      <alignment vertical="center" shrinkToFit="1"/>
    </xf>
    <xf numFmtId="9" fontId="36" fillId="8" borderId="3" xfId="2" applyFont="1" applyFill="1" applyBorder="1" applyAlignment="1">
      <alignment vertical="center" shrinkToFit="1"/>
    </xf>
    <xf numFmtId="0" fontId="36" fillId="8" borderId="0" xfId="0" applyFont="1" applyFill="1" applyAlignment="1">
      <alignment vertical="center" shrinkToFit="1"/>
    </xf>
    <xf numFmtId="9" fontId="36" fillId="5" borderId="3" xfId="2" applyFont="1" applyFill="1" applyBorder="1" applyAlignment="1">
      <alignment vertical="center" shrinkToFit="1"/>
    </xf>
    <xf numFmtId="38" fontId="36" fillId="0" borderId="0" xfId="1" applyFont="1" applyAlignment="1">
      <alignment vertical="center" shrinkToFit="1"/>
    </xf>
    <xf numFmtId="9" fontId="36" fillId="5" borderId="3" xfId="2" applyFont="1" applyFill="1" applyBorder="1" applyAlignment="1">
      <alignment horizontal="right" vertical="center" shrinkToFit="1"/>
    </xf>
    <xf numFmtId="38" fontId="36" fillId="0" borderId="0" xfId="0" applyNumberFormat="1" applyFont="1" applyAlignment="1">
      <alignment vertical="center" shrinkToFit="1"/>
    </xf>
    <xf numFmtId="38" fontId="36" fillId="0" borderId="0" xfId="1" applyFont="1" applyAlignment="1">
      <alignment vertical="center"/>
    </xf>
    <xf numFmtId="0" fontId="105" fillId="0" borderId="0" xfId="4" applyFont="1" applyAlignment="1">
      <alignment vertical="center"/>
    </xf>
    <xf numFmtId="38" fontId="36" fillId="0" borderId="0" xfId="1" applyFont="1" applyFill="1" applyAlignment="1">
      <alignment vertical="center" shrinkToFit="1"/>
    </xf>
    <xf numFmtId="0" fontId="36" fillId="6" borderId="0" xfId="0" applyFont="1" applyFill="1" applyAlignment="1">
      <alignment vertical="center" shrinkToFit="1"/>
    </xf>
    <xf numFmtId="38" fontId="36" fillId="6" borderId="0" xfId="0" applyNumberFormat="1" applyFont="1" applyFill="1" applyAlignment="1">
      <alignment vertical="center" shrinkToFit="1"/>
    </xf>
    <xf numFmtId="38" fontId="36" fillId="0" borderId="5" xfId="1" applyFont="1" applyBorder="1" applyAlignment="1">
      <alignment vertical="center" shrinkToFit="1"/>
    </xf>
    <xf numFmtId="38" fontId="36" fillId="0" borderId="3" xfId="0" applyNumberFormat="1" applyFont="1" applyBorder="1" applyAlignment="1">
      <alignment vertical="center" shrinkToFit="1"/>
    </xf>
    <xf numFmtId="38" fontId="36" fillId="9" borderId="3" xfId="0" applyNumberFormat="1" applyFont="1" applyFill="1" applyBorder="1" applyAlignment="1">
      <alignment vertical="center" shrinkToFit="1"/>
    </xf>
    <xf numFmtId="0" fontId="36" fillId="0" borderId="1" xfId="0" applyFont="1" applyBorder="1" applyAlignment="1">
      <alignment horizontal="center" vertical="center" shrinkToFit="1"/>
    </xf>
    <xf numFmtId="0" fontId="36" fillId="0" borderId="0" xfId="0" applyFont="1" applyAlignment="1">
      <alignment horizontal="center" vertical="center" shrinkToFit="1"/>
    </xf>
    <xf numFmtId="0" fontId="36" fillId="0" borderId="1" xfId="1" applyNumberFormat="1" applyFont="1" applyBorder="1" applyAlignment="1">
      <alignment horizontal="center" vertical="center" shrinkToFit="1"/>
    </xf>
    <xf numFmtId="0" fontId="36" fillId="0" borderId="2" xfId="0" applyFont="1" applyBorder="1" applyAlignment="1">
      <alignment vertical="center" shrinkToFit="1"/>
    </xf>
    <xf numFmtId="0" fontId="36" fillId="5" borderId="2" xfId="0" applyFont="1" applyFill="1" applyBorder="1" applyAlignment="1">
      <alignment vertical="center" shrinkToFit="1"/>
    </xf>
    <xf numFmtId="0" fontId="36" fillId="20" borderId="2" xfId="0" applyFont="1" applyFill="1" applyBorder="1" applyAlignment="1">
      <alignment vertical="center" shrinkToFit="1"/>
    </xf>
    <xf numFmtId="38" fontId="36" fillId="0" borderId="2" xfId="1" applyFont="1" applyBorder="1" applyAlignment="1">
      <alignment vertical="center" shrinkToFit="1"/>
    </xf>
    <xf numFmtId="0" fontId="36" fillId="0" borderId="2" xfId="0" applyFont="1" applyBorder="1" applyAlignment="1">
      <alignment horizontal="right" vertical="center" shrinkToFit="1"/>
    </xf>
    <xf numFmtId="38" fontId="36" fillId="0" borderId="0" xfId="1" applyFont="1" applyBorder="1" applyAlignment="1">
      <alignment vertical="center" shrinkToFit="1"/>
    </xf>
    <xf numFmtId="38" fontId="36" fillId="0" borderId="0" xfId="1" applyFont="1" applyFill="1" applyBorder="1" applyAlignment="1">
      <alignment vertical="center" shrinkToFit="1"/>
    </xf>
    <xf numFmtId="193" fontId="36" fillId="0" borderId="2" xfId="1" applyNumberFormat="1" applyFont="1" applyFill="1" applyBorder="1" applyAlignment="1">
      <alignment horizontal="right" vertical="center" shrinkToFit="1"/>
    </xf>
    <xf numFmtId="38" fontId="36" fillId="0" borderId="2" xfId="1" applyFont="1" applyFill="1" applyBorder="1" applyAlignment="1">
      <alignment horizontal="right" vertical="center" shrinkToFit="1"/>
    </xf>
    <xf numFmtId="38" fontId="36" fillId="12" borderId="2" xfId="1" applyFont="1" applyFill="1" applyBorder="1" applyAlignment="1">
      <alignment horizontal="right" vertical="center" shrinkToFit="1"/>
    </xf>
    <xf numFmtId="38" fontId="36" fillId="0" borderId="2" xfId="1" applyFont="1" applyFill="1" applyBorder="1" applyAlignment="1">
      <alignment vertical="center" shrinkToFit="1"/>
    </xf>
    <xf numFmtId="0" fontId="106" fillId="2" borderId="0" xfId="0" applyFont="1" applyFill="1">
      <alignment vertical="center"/>
    </xf>
    <xf numFmtId="38" fontId="1" fillId="0" borderId="0" xfId="1" applyFont="1" applyBorder="1">
      <alignment vertical="center"/>
    </xf>
    <xf numFmtId="0" fontId="36" fillId="0" borderId="3" xfId="0" applyFont="1" applyBorder="1" applyAlignment="1">
      <alignment horizontal="center" vertical="center" shrinkToFit="1"/>
    </xf>
    <xf numFmtId="0" fontId="107" fillId="0" borderId="0" xfId="0" applyFont="1">
      <alignment vertical="center"/>
    </xf>
    <xf numFmtId="0" fontId="108" fillId="25" borderId="0" xfId="0" applyFont="1" applyFill="1">
      <alignment vertical="center"/>
    </xf>
    <xf numFmtId="0" fontId="36" fillId="0" borderId="0" xfId="0" applyFont="1" applyAlignment="1">
      <alignment horizontal="center" vertical="center"/>
    </xf>
    <xf numFmtId="0" fontId="28" fillId="0" borderId="0" xfId="0" applyFont="1">
      <alignment vertical="center"/>
    </xf>
    <xf numFmtId="0" fontId="36" fillId="0" borderId="0" xfId="0" applyFont="1" applyAlignment="1">
      <alignment horizontal="right" vertical="center" shrinkToFit="1"/>
    </xf>
    <xf numFmtId="0" fontId="31" fillId="2" borderId="0" xfId="0" applyFont="1" applyFill="1" applyAlignment="1">
      <alignment horizontal="left" vertical="center"/>
    </xf>
    <xf numFmtId="0" fontId="109" fillId="0" borderId="0" xfId="0" applyFont="1">
      <alignment vertical="center"/>
    </xf>
    <xf numFmtId="0" fontId="24" fillId="0" borderId="0" xfId="0" applyFont="1">
      <alignment vertical="center"/>
    </xf>
    <xf numFmtId="0" fontId="110" fillId="0" borderId="0" xfId="0" applyFont="1">
      <alignment vertical="center"/>
    </xf>
    <xf numFmtId="0" fontId="10" fillId="0" borderId="0" xfId="2" applyNumberFormat="1" applyFont="1" applyAlignment="1">
      <alignment vertical="center" shrinkToFit="1"/>
    </xf>
    <xf numFmtId="0" fontId="31" fillId="2" borderId="20" xfId="0" applyFont="1" applyFill="1" applyBorder="1">
      <alignment vertical="center"/>
    </xf>
    <xf numFmtId="183" fontId="66" fillId="2" borderId="2" xfId="0" applyNumberFormat="1" applyFont="1" applyFill="1" applyBorder="1" applyAlignment="1">
      <alignment horizontal="center" vertical="center" shrinkToFit="1"/>
    </xf>
    <xf numFmtId="0" fontId="69" fillId="2" borderId="1" xfId="0" applyFont="1" applyFill="1" applyBorder="1" applyAlignment="1">
      <alignment horizontal="center" vertical="center" shrinkToFit="1"/>
    </xf>
    <xf numFmtId="0" fontId="11" fillId="2" borderId="0" xfId="0" applyFont="1" applyFill="1">
      <alignment vertical="center"/>
    </xf>
    <xf numFmtId="0" fontId="115" fillId="0" borderId="0" xfId="0" applyFont="1">
      <alignment vertical="center"/>
    </xf>
    <xf numFmtId="0" fontId="116" fillId="0" borderId="0" xfId="0" applyFont="1">
      <alignment vertical="center"/>
    </xf>
    <xf numFmtId="38" fontId="116" fillId="0" borderId="0" xfId="1" applyFont="1">
      <alignment vertical="center"/>
    </xf>
    <xf numFmtId="0" fontId="116" fillId="0" borderId="0" xfId="0" applyFont="1" applyAlignment="1">
      <alignment horizontal="center" vertical="center"/>
    </xf>
    <xf numFmtId="41" fontId="116" fillId="0" borderId="0" xfId="0" applyNumberFormat="1" applyFont="1">
      <alignment vertical="center"/>
    </xf>
    <xf numFmtId="183" fontId="66" fillId="2" borderId="85" xfId="0" applyNumberFormat="1" applyFont="1" applyFill="1" applyBorder="1" applyAlignment="1">
      <alignment horizontal="center" vertical="center" shrinkToFit="1"/>
    </xf>
    <xf numFmtId="183" fontId="117" fillId="2" borderId="85" xfId="0" applyNumberFormat="1" applyFont="1" applyFill="1" applyBorder="1" applyAlignment="1">
      <alignment horizontal="center" vertical="center" shrinkToFit="1"/>
    </xf>
    <xf numFmtId="183" fontId="31" fillId="2" borderId="33" xfId="0" applyNumberFormat="1" applyFont="1" applyFill="1" applyBorder="1" applyAlignment="1">
      <alignment horizontal="center" vertical="center" shrinkToFit="1"/>
    </xf>
    <xf numFmtId="183" fontId="31" fillId="2" borderId="34" xfId="0" applyNumberFormat="1" applyFont="1" applyFill="1" applyBorder="1" applyAlignment="1">
      <alignment horizontal="center" vertical="center" shrinkToFit="1"/>
    </xf>
    <xf numFmtId="183" fontId="31" fillId="2" borderId="37" xfId="0" applyNumberFormat="1" applyFont="1" applyFill="1" applyBorder="1" applyAlignment="1">
      <alignment horizontal="center" vertical="center" shrinkToFit="1"/>
    </xf>
    <xf numFmtId="0" fontId="118" fillId="0" borderId="0" xfId="0" applyFont="1">
      <alignment vertical="center"/>
    </xf>
    <xf numFmtId="38" fontId="36" fillId="26" borderId="2" xfId="1" applyFont="1" applyFill="1" applyBorder="1" applyAlignment="1">
      <alignment horizontal="right" vertical="center" shrinkToFit="1"/>
    </xf>
    <xf numFmtId="38" fontId="36" fillId="26" borderId="2" xfId="0" applyNumberFormat="1" applyFont="1" applyFill="1" applyBorder="1" applyAlignment="1">
      <alignment horizontal="right" vertical="center" shrinkToFit="1"/>
    </xf>
    <xf numFmtId="38" fontId="36" fillId="14" borderId="3" xfId="0" applyNumberFormat="1" applyFont="1" applyFill="1" applyBorder="1" applyAlignment="1">
      <alignment vertical="center" shrinkToFit="1"/>
    </xf>
    <xf numFmtId="0" fontId="36" fillId="9" borderId="3" xfId="0" applyFont="1" applyFill="1" applyBorder="1" applyAlignment="1">
      <alignment vertical="center" shrinkToFit="1"/>
    </xf>
    <xf numFmtId="0" fontId="36" fillId="0" borderId="7" xfId="0" applyFont="1" applyBorder="1" applyAlignment="1">
      <alignment horizontal="center" vertical="center" shrinkToFit="1"/>
    </xf>
    <xf numFmtId="38" fontId="36" fillId="26" borderId="85" xfId="1" applyFont="1" applyFill="1" applyBorder="1" applyAlignment="1">
      <alignment horizontal="right" vertical="center" shrinkToFit="1"/>
    </xf>
    <xf numFmtId="38" fontId="36" fillId="26" borderId="85" xfId="0" applyNumberFormat="1" applyFont="1" applyFill="1" applyBorder="1" applyAlignment="1">
      <alignment horizontal="right" vertical="center" shrinkToFit="1"/>
    </xf>
    <xf numFmtId="38" fontId="36" fillId="12" borderId="85" xfId="1" applyFont="1" applyFill="1" applyBorder="1" applyAlignment="1">
      <alignment horizontal="right" vertical="center" shrinkToFit="1"/>
    </xf>
    <xf numFmtId="38" fontId="36" fillId="12" borderId="129" xfId="1" applyFont="1" applyFill="1" applyBorder="1" applyAlignment="1">
      <alignment horizontal="right" vertical="center" shrinkToFit="1"/>
    </xf>
    <xf numFmtId="0" fontId="25" fillId="0" borderId="5" xfId="0" applyFont="1" applyBorder="1" applyAlignment="1">
      <alignment horizontal="center" vertical="center"/>
    </xf>
    <xf numFmtId="0" fontId="25" fillId="0" borderId="30" xfId="0" applyFont="1" applyBorder="1" applyAlignment="1">
      <alignment horizontal="center" vertical="center"/>
    </xf>
    <xf numFmtId="0" fontId="25" fillId="0" borderId="15" xfId="0" applyFont="1" applyBorder="1" applyAlignment="1">
      <alignment horizontal="center" vertical="center"/>
    </xf>
    <xf numFmtId="0" fontId="36" fillId="0" borderId="3" xfId="1" applyNumberFormat="1" applyFont="1" applyBorder="1" applyAlignment="1">
      <alignment horizontal="center" vertical="center" shrinkToFit="1"/>
    </xf>
    <xf numFmtId="0" fontId="119" fillId="27" borderId="0" xfId="0" applyFont="1" applyFill="1">
      <alignment vertical="center"/>
    </xf>
    <xf numFmtId="183" fontId="61" fillId="2" borderId="2" xfId="0" applyNumberFormat="1" applyFont="1" applyFill="1" applyBorder="1" applyAlignment="1">
      <alignment vertical="center" shrinkToFit="1"/>
    </xf>
    <xf numFmtId="9" fontId="36" fillId="5" borderId="2" xfId="2" applyFont="1" applyFill="1" applyBorder="1" applyAlignment="1">
      <alignment vertical="center" shrinkToFit="1"/>
    </xf>
    <xf numFmtId="0" fontId="104" fillId="0" borderId="3" xfId="0" applyFont="1" applyBorder="1" applyAlignment="1">
      <alignment vertical="center" shrinkToFit="1"/>
    </xf>
    <xf numFmtId="0" fontId="36" fillId="0" borderId="1" xfId="1" applyNumberFormat="1" applyFont="1" applyFill="1" applyBorder="1" applyAlignment="1">
      <alignment horizontal="center" vertical="center" shrinkToFit="1"/>
    </xf>
    <xf numFmtId="38" fontId="36" fillId="5" borderId="4" xfId="1" applyFont="1" applyFill="1" applyBorder="1" applyAlignment="1">
      <alignment vertical="center" shrinkToFit="1"/>
    </xf>
    <xf numFmtId="0" fontId="16" fillId="0" borderId="0" xfId="0" applyFont="1">
      <alignment vertical="center"/>
    </xf>
    <xf numFmtId="0" fontId="5" fillId="0" borderId="0" xfId="0" applyFont="1">
      <alignment vertical="center"/>
    </xf>
    <xf numFmtId="0" fontId="42" fillId="0" borderId="0" xfId="0" applyFont="1">
      <alignment vertical="center"/>
    </xf>
    <xf numFmtId="0" fontId="35" fillId="2" borderId="7" xfId="0" applyFont="1" applyFill="1" applyBorder="1">
      <alignment vertical="center"/>
    </xf>
    <xf numFmtId="0" fontId="35" fillId="2" borderId="8" xfId="0" applyFont="1" applyFill="1" applyBorder="1">
      <alignment vertical="center"/>
    </xf>
    <xf numFmtId="0" fontId="35" fillId="2" borderId="12" xfId="0" applyFont="1" applyFill="1" applyBorder="1">
      <alignment vertical="center"/>
    </xf>
    <xf numFmtId="38" fontId="36" fillId="27" borderId="0" xfId="1" applyFont="1" applyFill="1" applyAlignment="1">
      <alignment vertical="center" shrinkToFit="1"/>
    </xf>
    <xf numFmtId="179" fontId="10" fillId="2" borderId="0" xfId="0" applyNumberFormat="1" applyFont="1" applyFill="1">
      <alignment vertical="center"/>
    </xf>
    <xf numFmtId="179" fontId="46" fillId="2" borderId="0" xfId="0" applyNumberFormat="1" applyFont="1" applyFill="1">
      <alignment vertical="center"/>
    </xf>
    <xf numFmtId="0" fontId="47" fillId="2" borderId="0" xfId="0" applyFont="1" applyFill="1">
      <alignment vertical="center"/>
    </xf>
    <xf numFmtId="179" fontId="39" fillId="2" borderId="0" xfId="0" applyNumberFormat="1" applyFont="1" applyFill="1">
      <alignment vertical="center"/>
    </xf>
    <xf numFmtId="0" fontId="49" fillId="2" borderId="0" xfId="0" applyFont="1" applyFill="1">
      <alignment vertical="center"/>
    </xf>
    <xf numFmtId="179" fontId="113" fillId="2" borderId="0" xfId="0" applyNumberFormat="1" applyFont="1" applyFill="1">
      <alignment vertical="center"/>
    </xf>
    <xf numFmtId="179" fontId="51" fillId="2" borderId="0" xfId="0" applyNumberFormat="1" applyFont="1" applyFill="1">
      <alignment vertical="center"/>
    </xf>
    <xf numFmtId="0" fontId="64" fillId="2" borderId="0" xfId="0" applyFont="1" applyFill="1">
      <alignment vertical="center"/>
    </xf>
    <xf numFmtId="3" fontId="31" fillId="2" borderId="0" xfId="0" applyNumberFormat="1" applyFont="1" applyFill="1">
      <alignment vertical="center"/>
    </xf>
    <xf numFmtId="0" fontId="96" fillId="0" borderId="0" xfId="0" applyFont="1">
      <alignment vertical="center"/>
    </xf>
    <xf numFmtId="0" fontId="1" fillId="0" borderId="0" xfId="0" applyFont="1" applyAlignment="1">
      <alignment vertical="center" wrapText="1"/>
    </xf>
    <xf numFmtId="1" fontId="36" fillId="0" borderId="0" xfId="0" applyNumberFormat="1" applyFont="1" applyAlignment="1">
      <alignment vertical="center" shrinkToFit="1"/>
    </xf>
    <xf numFmtId="0" fontId="120" fillId="0" borderId="0" xfId="0" applyFont="1" applyAlignment="1">
      <alignment horizontal="center" vertical="center"/>
    </xf>
    <xf numFmtId="0" fontId="36" fillId="0" borderId="5" xfId="0" applyFont="1" applyBorder="1" applyAlignment="1">
      <alignment horizontal="center" vertical="center" shrinkToFit="1"/>
    </xf>
    <xf numFmtId="38" fontId="36" fillId="12" borderId="8" xfId="1" applyFont="1" applyFill="1" applyBorder="1" applyAlignment="1">
      <alignment horizontal="right" vertical="center" shrinkToFit="1"/>
    </xf>
    <xf numFmtId="0" fontId="1" fillId="0" borderId="159" xfId="0" applyFont="1" applyBorder="1">
      <alignment vertical="center"/>
    </xf>
    <xf numFmtId="0" fontId="1" fillId="0" borderId="161" xfId="0" applyFont="1" applyBorder="1">
      <alignment vertical="center"/>
    </xf>
    <xf numFmtId="0" fontId="1" fillId="0" borderId="163" xfId="0" applyFont="1" applyBorder="1">
      <alignment vertical="center"/>
    </xf>
    <xf numFmtId="0" fontId="36" fillId="2" borderId="0" xfId="0" applyFont="1" applyFill="1">
      <alignment vertical="center"/>
    </xf>
    <xf numFmtId="0" fontId="109" fillId="2" borderId="0" xfId="0" applyFont="1" applyFill="1">
      <alignment vertical="center"/>
    </xf>
    <xf numFmtId="0" fontId="28" fillId="2" borderId="164" xfId="0" applyFont="1" applyFill="1" applyBorder="1">
      <alignment vertical="center"/>
    </xf>
    <xf numFmtId="0" fontId="36" fillId="2" borderId="165" xfId="0" applyFont="1" applyFill="1" applyBorder="1">
      <alignment vertical="center"/>
    </xf>
    <xf numFmtId="0" fontId="109" fillId="2" borderId="165" xfId="0" applyFont="1" applyFill="1" applyBorder="1">
      <alignment vertical="center"/>
    </xf>
    <xf numFmtId="0" fontId="109" fillId="2" borderId="166" xfId="0" applyFont="1" applyFill="1" applyBorder="1">
      <alignment vertical="center"/>
    </xf>
    <xf numFmtId="0" fontId="36" fillId="2" borderId="167" xfId="0" applyFont="1" applyFill="1" applyBorder="1" applyAlignment="1">
      <alignment vertical="center" shrinkToFit="1"/>
    </xf>
    <xf numFmtId="0" fontId="109" fillId="2" borderId="168" xfId="0" applyFont="1" applyFill="1" applyBorder="1">
      <alignment vertical="center"/>
    </xf>
    <xf numFmtId="0" fontId="36" fillId="2" borderId="167" xfId="0" applyFont="1" applyFill="1" applyBorder="1">
      <alignment vertical="center"/>
    </xf>
    <xf numFmtId="0" fontId="36" fillId="2" borderId="169" xfId="0" applyFont="1" applyFill="1" applyBorder="1">
      <alignment vertical="center"/>
    </xf>
    <xf numFmtId="0" fontId="36" fillId="2" borderId="170" xfId="0" applyFont="1" applyFill="1" applyBorder="1">
      <alignment vertical="center"/>
    </xf>
    <xf numFmtId="0" fontId="109" fillId="2" borderId="170" xfId="0" applyFont="1" applyFill="1" applyBorder="1">
      <alignment vertical="center"/>
    </xf>
    <xf numFmtId="0" fontId="109" fillId="2" borderId="171" xfId="0" applyFont="1" applyFill="1" applyBorder="1">
      <alignment vertical="center"/>
    </xf>
    <xf numFmtId="0" fontId="31" fillId="14" borderId="0" xfId="0" applyFont="1" applyFill="1">
      <alignment vertical="center"/>
    </xf>
    <xf numFmtId="179" fontId="31" fillId="14" borderId="0" xfId="0" applyNumberFormat="1" applyFont="1" applyFill="1">
      <alignment vertical="center"/>
    </xf>
    <xf numFmtId="179" fontId="31" fillId="2" borderId="0" xfId="0" applyNumberFormat="1" applyFont="1" applyFill="1">
      <alignment vertical="center"/>
    </xf>
    <xf numFmtId="179" fontId="61" fillId="2" borderId="0" xfId="0" applyNumberFormat="1" applyFont="1" applyFill="1">
      <alignment vertical="center"/>
    </xf>
    <xf numFmtId="0" fontId="121" fillId="2" borderId="0" xfId="0" applyFont="1" applyFill="1">
      <alignment vertical="center"/>
    </xf>
    <xf numFmtId="38" fontId="25" fillId="8" borderId="0" xfId="1" applyFont="1" applyFill="1" applyAlignment="1">
      <alignment vertical="center" shrinkToFit="1"/>
    </xf>
    <xf numFmtId="0" fontId="0" fillId="2" borderId="0" xfId="0" applyFill="1">
      <alignment vertical="center"/>
    </xf>
    <xf numFmtId="0" fontId="122" fillId="0" borderId="0" xfId="0" applyFont="1">
      <alignment vertical="center"/>
    </xf>
    <xf numFmtId="0" fontId="122" fillId="0" borderId="0" xfId="0" applyFont="1" applyAlignment="1">
      <alignment horizontal="center" vertical="center"/>
    </xf>
    <xf numFmtId="0" fontId="123" fillId="0" borderId="0" xfId="0" applyFont="1" applyAlignment="1">
      <alignment vertical="center" shrinkToFit="1"/>
    </xf>
    <xf numFmtId="38" fontId="36" fillId="8" borderId="0" xfId="0" applyNumberFormat="1" applyFont="1" applyFill="1" applyAlignment="1">
      <alignment vertical="center" shrinkToFit="1"/>
    </xf>
    <xf numFmtId="0" fontId="1" fillId="12" borderId="0" xfId="0" applyFont="1" applyFill="1" applyAlignment="1">
      <alignment vertical="center" shrinkToFit="1"/>
    </xf>
    <xf numFmtId="0" fontId="36" fillId="8" borderId="1" xfId="0" applyFont="1" applyFill="1" applyBorder="1" applyAlignment="1">
      <alignment horizontal="center" vertical="center" shrinkToFit="1"/>
    </xf>
    <xf numFmtId="38" fontId="36" fillId="8" borderId="1" xfId="1" applyFont="1" applyFill="1" applyBorder="1" applyAlignment="1">
      <alignment horizontal="center" vertical="center" shrinkToFit="1"/>
    </xf>
    <xf numFmtId="38" fontId="1" fillId="0" borderId="0" xfId="1" applyFont="1" applyAlignment="1">
      <alignment vertical="center" shrinkToFit="1"/>
    </xf>
    <xf numFmtId="38" fontId="123" fillId="6" borderId="3" xfId="1" applyFont="1" applyFill="1" applyBorder="1" applyAlignment="1">
      <alignment vertical="center" shrinkToFit="1"/>
    </xf>
    <xf numFmtId="38" fontId="36" fillId="8" borderId="2" xfId="1" applyFont="1" applyFill="1" applyBorder="1" applyAlignment="1">
      <alignment horizontal="right" vertical="center" shrinkToFit="1"/>
    </xf>
    <xf numFmtId="38" fontId="36" fillId="8" borderId="2" xfId="1" applyFont="1" applyFill="1" applyBorder="1" applyAlignment="1">
      <alignment vertical="center" shrinkToFit="1"/>
    </xf>
    <xf numFmtId="38" fontId="36" fillId="8" borderId="2" xfId="1" applyFont="1" applyFill="1" applyBorder="1" applyAlignment="1">
      <alignment horizontal="center" vertical="center" shrinkToFit="1"/>
    </xf>
    <xf numFmtId="38" fontId="1" fillId="0" borderId="3" xfId="0" applyNumberFormat="1" applyFont="1" applyBorder="1" applyAlignment="1">
      <alignment vertical="center" shrinkToFit="1"/>
    </xf>
    <xf numFmtId="0" fontId="1" fillId="0" borderId="3" xfId="0" applyFont="1" applyBorder="1" applyAlignment="1">
      <alignment vertical="center" shrinkToFit="1"/>
    </xf>
    <xf numFmtId="38" fontId="123" fillId="0" borderId="3" xfId="1" applyFont="1" applyFill="1" applyBorder="1" applyAlignment="1">
      <alignment vertical="center" shrinkToFit="1"/>
    </xf>
    <xf numFmtId="38" fontId="1" fillId="6" borderId="3" xfId="0" applyNumberFormat="1" applyFont="1" applyFill="1" applyBorder="1" applyAlignment="1">
      <alignment vertical="center" shrinkToFit="1"/>
    </xf>
    <xf numFmtId="0" fontId="36" fillId="8" borderId="3" xfId="0" applyFont="1" applyFill="1" applyBorder="1" applyAlignment="1">
      <alignment vertical="center" shrinkToFit="1"/>
    </xf>
    <xf numFmtId="179" fontId="1" fillId="0" borderId="0" xfId="0" applyNumberFormat="1" applyFont="1" applyAlignment="1">
      <alignment vertical="center" shrinkToFit="1"/>
    </xf>
    <xf numFmtId="0" fontId="1" fillId="0" borderId="1" xfId="0" applyFont="1" applyBorder="1" applyAlignment="1">
      <alignment vertical="center" shrinkToFit="1"/>
    </xf>
    <xf numFmtId="0" fontId="36" fillId="0" borderId="128" xfId="0" applyFont="1" applyBorder="1" applyAlignment="1">
      <alignment vertical="center" shrinkToFit="1"/>
    </xf>
    <xf numFmtId="0" fontId="36" fillId="0" borderId="129" xfId="0" applyFont="1" applyBorder="1" applyAlignment="1">
      <alignment vertical="center" shrinkToFit="1"/>
    </xf>
    <xf numFmtId="38" fontId="36" fillId="0" borderId="107" xfId="1" applyFont="1" applyFill="1" applyBorder="1" applyAlignment="1">
      <alignment vertical="center" shrinkToFit="1"/>
    </xf>
    <xf numFmtId="0" fontId="36" fillId="0" borderId="8" xfId="0" applyFont="1" applyBorder="1" applyAlignment="1">
      <alignment vertical="center" shrinkToFit="1"/>
    </xf>
    <xf numFmtId="0" fontId="36" fillId="0" borderId="122" xfId="0" applyFont="1" applyBorder="1" applyAlignment="1">
      <alignment vertical="center" shrinkToFit="1"/>
    </xf>
    <xf numFmtId="0" fontId="36" fillId="0" borderId="120" xfId="0" applyFont="1" applyBorder="1" applyAlignment="1">
      <alignment vertical="center" shrinkToFit="1"/>
    </xf>
    <xf numFmtId="38" fontId="36" fillId="0" borderId="122" xfId="1" applyFont="1" applyFill="1" applyBorder="1" applyAlignment="1">
      <alignment vertical="center" shrinkToFit="1"/>
    </xf>
    <xf numFmtId="176" fontId="51" fillId="8" borderId="0" xfId="2" applyNumberFormat="1" applyFont="1" applyFill="1" applyAlignment="1">
      <alignment vertical="center" shrinkToFit="1"/>
    </xf>
    <xf numFmtId="0" fontId="1" fillId="8" borderId="0" xfId="0" applyFont="1" applyFill="1" applyAlignment="1">
      <alignment vertical="center" shrinkToFit="1"/>
    </xf>
    <xf numFmtId="179" fontId="51" fillId="8" borderId="0" xfId="0" applyNumberFormat="1" applyFont="1" applyFill="1" applyAlignment="1">
      <alignment vertical="center" shrinkToFit="1"/>
    </xf>
    <xf numFmtId="179" fontId="84" fillId="0" borderId="1" xfId="0" applyNumberFormat="1" applyFont="1" applyBorder="1" applyAlignment="1">
      <alignment vertical="center" shrinkToFit="1"/>
    </xf>
    <xf numFmtId="9" fontId="10" fillId="8" borderId="0" xfId="0" applyNumberFormat="1" applyFont="1" applyFill="1" applyAlignment="1">
      <alignment vertical="center" shrinkToFit="1"/>
    </xf>
    <xf numFmtId="38" fontId="36" fillId="8" borderId="4" xfId="1" applyFont="1" applyFill="1" applyBorder="1" applyAlignment="1">
      <alignment horizontal="center" vertical="center" shrinkToFit="1"/>
    </xf>
    <xf numFmtId="184" fontId="87" fillId="0" borderId="0" xfId="0" applyNumberFormat="1" applyFont="1" applyAlignment="1">
      <alignment vertical="center" shrinkToFit="1"/>
    </xf>
    <xf numFmtId="10" fontId="87" fillId="0" borderId="0" xfId="2" applyNumberFormat="1" applyFont="1" applyFill="1" applyBorder="1" applyAlignment="1">
      <alignment vertical="center" shrinkToFit="1"/>
    </xf>
    <xf numFmtId="0" fontId="1" fillId="0" borderId="172" xfId="0" applyFont="1" applyBorder="1" applyAlignment="1">
      <alignment vertical="center" shrinkToFit="1"/>
    </xf>
    <xf numFmtId="0" fontId="1" fillId="0" borderId="2" xfId="0" applyFont="1" applyBorder="1" applyAlignment="1">
      <alignment vertical="center" shrinkToFit="1"/>
    </xf>
    <xf numFmtId="0" fontId="1" fillId="8" borderId="2" xfId="0" applyFont="1" applyFill="1" applyBorder="1" applyAlignment="1">
      <alignment vertical="center" shrinkToFit="1"/>
    </xf>
    <xf numFmtId="0" fontId="1" fillId="6" borderId="2" xfId="0" applyFont="1" applyFill="1" applyBorder="1" applyAlignment="1">
      <alignment vertical="center" shrinkToFit="1"/>
    </xf>
    <xf numFmtId="0" fontId="18" fillId="0" borderId="2" xfId="0" applyFont="1" applyBorder="1" applyAlignment="1">
      <alignment vertical="center" shrinkToFit="1"/>
    </xf>
    <xf numFmtId="0" fontId="18" fillId="0" borderId="4" xfId="0" applyFont="1" applyBorder="1" applyAlignment="1">
      <alignment vertical="center" shrinkToFit="1"/>
    </xf>
    <xf numFmtId="0" fontId="18" fillId="10" borderId="1" xfId="0" applyFont="1" applyFill="1" applyBorder="1" applyAlignment="1">
      <alignment horizontal="center" vertical="center" shrinkToFit="1"/>
    </xf>
    <xf numFmtId="38" fontId="18" fillId="0" borderId="2" xfId="1" applyFont="1" applyBorder="1" applyAlignment="1">
      <alignment vertical="center" shrinkToFit="1"/>
    </xf>
    <xf numFmtId="38" fontId="18" fillId="0" borderId="4" xfId="1" applyFont="1" applyBorder="1" applyAlignment="1">
      <alignment vertical="center" shrinkToFit="1"/>
    </xf>
    <xf numFmtId="38" fontId="18" fillId="10" borderId="2" xfId="1" applyFont="1" applyFill="1" applyBorder="1" applyAlignment="1">
      <alignment vertical="center" shrinkToFit="1"/>
    </xf>
    <xf numFmtId="38" fontId="18" fillId="10" borderId="4" xfId="1" applyFont="1" applyFill="1" applyBorder="1" applyAlignment="1">
      <alignment vertical="center" shrinkToFit="1"/>
    </xf>
    <xf numFmtId="38" fontId="18" fillId="0" borderId="2" xfId="1" applyFont="1" applyFill="1" applyBorder="1" applyAlignment="1">
      <alignment vertical="center" shrinkToFit="1"/>
    </xf>
    <xf numFmtId="38" fontId="18" fillId="0" borderId="4" xfId="1" applyFont="1" applyFill="1" applyBorder="1" applyAlignment="1">
      <alignment vertical="center" shrinkToFit="1"/>
    </xf>
    <xf numFmtId="179" fontId="1" fillId="8" borderId="2" xfId="0" applyNumberFormat="1" applyFont="1" applyFill="1" applyBorder="1" applyAlignment="1">
      <alignment vertical="center" shrinkToFit="1"/>
    </xf>
    <xf numFmtId="179" fontId="1" fillId="0" borderId="2" xfId="0" applyNumberFormat="1" applyFont="1" applyBorder="1" applyAlignment="1">
      <alignment vertical="center" shrinkToFit="1"/>
    </xf>
    <xf numFmtId="179" fontId="1" fillId="6" borderId="2" xfId="0" applyNumberFormat="1" applyFont="1" applyFill="1" applyBorder="1" applyAlignment="1">
      <alignment vertical="center" shrinkToFit="1"/>
    </xf>
    <xf numFmtId="0" fontId="124" fillId="2" borderId="0" xfId="0" applyFont="1" applyFill="1">
      <alignment vertical="center"/>
    </xf>
    <xf numFmtId="179" fontId="124" fillId="2" borderId="0" xfId="0" applyNumberFormat="1" applyFont="1" applyFill="1">
      <alignment vertical="center"/>
    </xf>
    <xf numFmtId="38" fontId="1" fillId="9" borderId="2" xfId="0" applyNumberFormat="1" applyFont="1" applyFill="1" applyBorder="1" applyAlignment="1">
      <alignment vertical="center" shrinkToFit="1"/>
    </xf>
    <xf numFmtId="0" fontId="35" fillId="20" borderId="3" xfId="0" applyFont="1" applyFill="1" applyBorder="1" applyAlignment="1">
      <alignment vertical="center" shrinkToFit="1"/>
    </xf>
    <xf numFmtId="0" fontId="125" fillId="2" borderId="0" xfId="0" applyFont="1" applyFill="1">
      <alignment vertical="center"/>
    </xf>
    <xf numFmtId="0" fontId="36" fillId="5" borderId="2" xfId="0" quotePrefix="1" applyFont="1" applyFill="1" applyBorder="1" applyAlignment="1">
      <alignment vertical="center" shrinkToFit="1"/>
    </xf>
    <xf numFmtId="0" fontId="36" fillId="19" borderId="2" xfId="0" applyFont="1" applyFill="1" applyBorder="1">
      <alignment vertical="center"/>
    </xf>
    <xf numFmtId="0" fontId="45" fillId="2" borderId="0" xfId="0" applyFont="1" applyFill="1" applyAlignment="1"/>
    <xf numFmtId="179" fontId="126" fillId="2" borderId="0" xfId="0" applyNumberFormat="1" applyFont="1" applyFill="1">
      <alignment vertical="center"/>
    </xf>
    <xf numFmtId="0" fontId="129" fillId="2" borderId="0" xfId="0" applyFont="1" applyFill="1">
      <alignment vertical="center"/>
    </xf>
    <xf numFmtId="0" fontId="42" fillId="0" borderId="0" xfId="0" applyFont="1" applyAlignment="1">
      <alignment vertical="center" shrinkToFit="1"/>
    </xf>
    <xf numFmtId="0" fontId="13" fillId="0" borderId="0" xfId="0" applyFont="1" applyAlignment="1">
      <alignment vertical="center" shrinkToFit="1"/>
    </xf>
    <xf numFmtId="0" fontId="15" fillId="0" borderId="0" xfId="0" applyFont="1" applyAlignment="1">
      <alignment vertical="center" shrinkToFit="1"/>
    </xf>
    <xf numFmtId="0" fontId="24" fillId="0" borderId="4" xfId="0" applyFont="1" applyBorder="1" applyAlignment="1">
      <alignment vertical="center" shrinkToFit="1"/>
    </xf>
    <xf numFmtId="179" fontId="24" fillId="0" borderId="4" xfId="0" applyNumberFormat="1" applyFont="1" applyBorder="1" applyAlignment="1">
      <alignment vertical="center" shrinkToFit="1"/>
    </xf>
    <xf numFmtId="0" fontId="24" fillId="0" borderId="0" xfId="0" applyFont="1" applyAlignment="1">
      <alignment vertical="center" shrinkToFit="1"/>
    </xf>
    <xf numFmtId="38" fontId="1" fillId="0" borderId="0" xfId="0" applyNumberFormat="1" applyFont="1" applyAlignment="1">
      <alignment vertical="center" shrinkToFit="1"/>
    </xf>
    <xf numFmtId="38" fontId="116" fillId="0" borderId="0" xfId="0" applyNumberFormat="1" applyFont="1" applyAlignment="1">
      <alignment vertical="center" shrinkToFit="1"/>
    </xf>
    <xf numFmtId="38" fontId="130" fillId="0" borderId="4" xfId="1" applyFont="1" applyBorder="1" applyAlignment="1">
      <alignment vertical="center" shrinkToFit="1"/>
    </xf>
    <xf numFmtId="0" fontId="19" fillId="2" borderId="0" xfId="0" applyFont="1" applyFill="1" applyAlignment="1"/>
    <xf numFmtId="38" fontId="116" fillId="0" borderId="0" xfId="1" applyFont="1" applyAlignment="1">
      <alignment vertical="center" shrinkToFit="1"/>
    </xf>
    <xf numFmtId="194" fontId="1" fillId="0" borderId="0" xfId="0" applyNumberFormat="1" applyFont="1" applyAlignment="1">
      <alignment vertical="center" shrinkToFit="1"/>
    </xf>
    <xf numFmtId="0" fontId="1" fillId="34" borderId="0" xfId="0" applyFont="1" applyFill="1" applyAlignment="1">
      <alignment vertical="center" shrinkToFit="1"/>
    </xf>
    <xf numFmtId="0" fontId="1" fillId="9" borderId="0" xfId="0" applyFont="1" applyFill="1" applyAlignment="1">
      <alignment vertical="center" shrinkToFit="1"/>
    </xf>
    <xf numFmtId="0" fontId="116" fillId="9" borderId="0" xfId="0" applyFont="1" applyFill="1" applyAlignment="1">
      <alignment vertical="center" shrinkToFit="1"/>
    </xf>
    <xf numFmtId="194" fontId="116" fillId="0" borderId="0" xfId="0" applyNumberFormat="1" applyFont="1" applyAlignment="1">
      <alignment vertical="center" shrinkToFit="1"/>
    </xf>
    <xf numFmtId="0" fontId="116" fillId="34" borderId="0" xfId="0" applyFont="1" applyFill="1" applyAlignment="1">
      <alignment vertical="center" shrinkToFit="1"/>
    </xf>
    <xf numFmtId="38" fontId="1" fillId="9" borderId="0" xfId="1" applyFont="1" applyFill="1" applyAlignment="1">
      <alignment vertical="center" shrinkToFit="1"/>
    </xf>
    <xf numFmtId="38" fontId="116" fillId="9" borderId="0" xfId="1" applyFont="1" applyFill="1" applyAlignment="1">
      <alignment vertical="center" shrinkToFit="1"/>
    </xf>
    <xf numFmtId="38" fontId="116" fillId="24" borderId="0" xfId="1" applyFont="1" applyFill="1" applyAlignment="1">
      <alignment vertical="center" shrinkToFit="1"/>
    </xf>
    <xf numFmtId="0" fontId="35" fillId="35" borderId="3" xfId="0" applyFont="1" applyFill="1" applyBorder="1" applyAlignment="1">
      <alignment vertical="center" shrinkToFit="1"/>
    </xf>
    <xf numFmtId="0" fontId="50" fillId="2" borderId="0" xfId="0" applyFont="1" applyFill="1" applyAlignment="1">
      <alignment horizontal="center" vertical="center"/>
    </xf>
    <xf numFmtId="183" fontId="31" fillId="2" borderId="35" xfId="1" applyNumberFormat="1" applyFont="1" applyFill="1" applyBorder="1" applyAlignment="1">
      <alignment horizontal="right" vertical="center" shrinkToFit="1"/>
    </xf>
    <xf numFmtId="183" fontId="31" fillId="2" borderId="36" xfId="1" applyNumberFormat="1" applyFont="1" applyFill="1" applyBorder="1" applyAlignment="1">
      <alignment horizontal="right" vertical="center" shrinkToFit="1"/>
    </xf>
    <xf numFmtId="0" fontId="31" fillId="10" borderId="25" xfId="0" applyFont="1" applyFill="1" applyBorder="1" applyAlignment="1">
      <alignment horizontal="center" vertical="center" shrinkToFit="1"/>
    </xf>
    <xf numFmtId="0" fontId="31" fillId="10" borderId="24" xfId="0" applyFont="1" applyFill="1" applyBorder="1" applyAlignment="1">
      <alignment horizontal="center" vertical="center" shrinkToFit="1"/>
    </xf>
    <xf numFmtId="0" fontId="69" fillId="2" borderId="2" xfId="0" applyFont="1" applyFill="1" applyBorder="1" applyAlignment="1">
      <alignment horizontal="center" vertical="center" shrinkToFit="1"/>
    </xf>
    <xf numFmtId="0" fontId="66" fillId="10" borderId="3" xfId="0" applyFont="1" applyFill="1" applyBorder="1" applyAlignment="1">
      <alignment horizontal="center" vertical="center" shrinkToFit="1"/>
    </xf>
    <xf numFmtId="0" fontId="31" fillId="2" borderId="17" xfId="0" applyFont="1" applyFill="1" applyBorder="1" applyAlignment="1">
      <alignment horizontal="right" vertical="center"/>
    </xf>
    <xf numFmtId="0" fontId="31" fillId="2" borderId="22" xfId="0" applyFont="1" applyFill="1" applyBorder="1" applyAlignment="1">
      <alignment horizontal="right" vertical="center"/>
    </xf>
    <xf numFmtId="0" fontId="31" fillId="10" borderId="130" xfId="0" applyFont="1" applyFill="1" applyBorder="1" applyAlignment="1">
      <alignment horizontal="center" vertical="center" shrinkToFit="1"/>
    </xf>
    <xf numFmtId="0" fontId="63" fillId="2" borderId="0" xfId="0" applyFont="1" applyFill="1" applyAlignment="1">
      <alignment horizontal="left"/>
    </xf>
    <xf numFmtId="0" fontId="42" fillId="2" borderId="0" xfId="0" applyFont="1" applyFill="1" applyAlignment="1">
      <alignment horizontal="center" vertical="center"/>
    </xf>
    <xf numFmtId="0" fontId="12" fillId="2" borderId="0" xfId="0" applyFont="1" applyFill="1" applyAlignment="1">
      <alignment horizontal="left" vertical="center"/>
    </xf>
    <xf numFmtId="0" fontId="21" fillId="2" borderId="104" xfId="0" applyFont="1" applyFill="1" applyBorder="1" applyAlignment="1">
      <alignment horizontal="center" vertical="center"/>
    </xf>
    <xf numFmtId="0" fontId="35" fillId="2" borderId="3" xfId="0" applyFont="1" applyFill="1" applyBorder="1" applyAlignment="1">
      <alignment horizontal="center" vertical="center" shrinkToFit="1"/>
    </xf>
    <xf numFmtId="0" fontId="37" fillId="23" borderId="135" xfId="0" applyFont="1" applyFill="1" applyBorder="1">
      <alignment vertical="center"/>
    </xf>
    <xf numFmtId="0" fontId="0" fillId="2" borderId="178" xfId="0" applyFill="1" applyBorder="1">
      <alignment vertical="center"/>
    </xf>
    <xf numFmtId="0" fontId="0" fillId="2" borderId="13" xfId="0" applyFill="1" applyBorder="1">
      <alignment vertical="center"/>
    </xf>
    <xf numFmtId="0" fontId="124" fillId="2" borderId="178" xfId="0" applyFont="1" applyFill="1" applyBorder="1">
      <alignment vertical="center"/>
    </xf>
    <xf numFmtId="0" fontId="124" fillId="2" borderId="13" xfId="0" applyFont="1" applyFill="1" applyBorder="1">
      <alignment vertical="center"/>
    </xf>
    <xf numFmtId="0" fontId="125" fillId="2" borderId="13" xfId="0" applyFont="1" applyFill="1" applyBorder="1">
      <alignment vertical="center"/>
    </xf>
    <xf numFmtId="0" fontId="0" fillId="2" borderId="179" xfId="0" applyFill="1" applyBorder="1">
      <alignment vertical="center"/>
    </xf>
    <xf numFmtId="0" fontId="0" fillId="2" borderId="14" xfId="0" applyFill="1" applyBorder="1">
      <alignment vertical="center"/>
    </xf>
    <xf numFmtId="0" fontId="45" fillId="2" borderId="14" xfId="0" applyFont="1" applyFill="1" applyBorder="1" applyAlignment="1"/>
    <xf numFmtId="0" fontId="38" fillId="2" borderId="14" xfId="0" applyFont="1" applyFill="1" applyBorder="1" applyAlignment="1"/>
    <xf numFmtId="0" fontId="0" fillId="2" borderId="180" xfId="0" applyFill="1" applyBorder="1">
      <alignment vertical="center"/>
    </xf>
    <xf numFmtId="0" fontId="0" fillId="2" borderId="183" xfId="0" applyFill="1" applyBorder="1">
      <alignment vertical="center"/>
    </xf>
    <xf numFmtId="0" fontId="45" fillId="2" borderId="183" xfId="0" applyFont="1" applyFill="1" applyBorder="1" applyAlignment="1"/>
    <xf numFmtId="0" fontId="45" fillId="2" borderId="184" xfId="0" applyFont="1" applyFill="1" applyBorder="1" applyAlignment="1"/>
    <xf numFmtId="0" fontId="124" fillId="2" borderId="183" xfId="0" applyFont="1" applyFill="1" applyBorder="1">
      <alignment vertical="center"/>
    </xf>
    <xf numFmtId="0" fontId="125" fillId="2" borderId="178" xfId="0" applyFont="1" applyFill="1" applyBorder="1">
      <alignment vertical="center"/>
    </xf>
    <xf numFmtId="0" fontId="0" fillId="2" borderId="184" xfId="0" applyFill="1" applyBorder="1">
      <alignment vertical="center"/>
    </xf>
    <xf numFmtId="9" fontId="36" fillId="5" borderId="1" xfId="1" applyNumberFormat="1" applyFont="1" applyFill="1" applyBorder="1" applyAlignment="1">
      <alignment horizontal="right" vertical="center" shrinkToFit="1"/>
    </xf>
    <xf numFmtId="9" fontId="36" fillId="0" borderId="2" xfId="1" applyNumberFormat="1" applyFont="1" applyFill="1" applyBorder="1" applyAlignment="1">
      <alignment horizontal="right" vertical="center" shrinkToFit="1"/>
    </xf>
    <xf numFmtId="0" fontId="36" fillId="28" borderId="2" xfId="0" applyFont="1" applyFill="1" applyBorder="1" applyAlignment="1">
      <alignment horizontal="center" vertical="center" shrinkToFit="1"/>
    </xf>
    <xf numFmtId="179" fontId="36" fillId="0" borderId="4" xfId="0" applyNumberFormat="1" applyFont="1" applyBorder="1" applyAlignment="1">
      <alignment horizontal="center" vertical="center" shrinkToFit="1"/>
    </xf>
    <xf numFmtId="192" fontId="36" fillId="0" borderId="4" xfId="0" applyNumberFormat="1" applyFont="1" applyBorder="1" applyAlignment="1">
      <alignment horizontal="center" vertical="center" shrinkToFit="1"/>
    </xf>
    <xf numFmtId="0" fontId="36" fillId="5" borderId="4" xfId="0" applyFont="1" applyFill="1" applyBorder="1" applyAlignment="1">
      <alignment vertical="center" shrinkToFit="1"/>
    </xf>
    <xf numFmtId="0" fontId="36" fillId="0" borderId="4" xfId="0" applyFont="1" applyBorder="1" applyAlignment="1">
      <alignment horizontal="right" vertical="center" shrinkToFit="1"/>
    </xf>
    <xf numFmtId="0" fontId="36" fillId="0" borderId="4" xfId="0" applyFont="1" applyBorder="1" applyAlignment="1">
      <alignment vertical="center" shrinkToFit="1"/>
    </xf>
    <xf numFmtId="38" fontId="36" fillId="0" borderId="4" xfId="1" applyFont="1" applyFill="1" applyBorder="1" applyAlignment="1">
      <alignment vertical="center" shrinkToFit="1"/>
    </xf>
    <xf numFmtId="0" fontId="36" fillId="20" borderId="4" xfId="0" applyFont="1" applyFill="1" applyBorder="1" applyAlignment="1">
      <alignment vertical="center" shrinkToFit="1"/>
    </xf>
    <xf numFmtId="0" fontId="35" fillId="5" borderId="190" xfId="0" applyFont="1" applyFill="1" applyBorder="1" applyAlignment="1">
      <alignment horizontal="left" vertical="center"/>
    </xf>
    <xf numFmtId="0" fontId="35" fillId="5" borderId="191" xfId="0" applyFont="1" applyFill="1" applyBorder="1" applyAlignment="1">
      <alignment horizontal="left" vertical="center"/>
    </xf>
    <xf numFmtId="0" fontId="35" fillId="5" borderId="192" xfId="0" applyFont="1" applyFill="1" applyBorder="1" applyAlignment="1">
      <alignment horizontal="left" vertical="center"/>
    </xf>
    <xf numFmtId="0" fontId="35" fillId="5" borderId="193" xfId="0" applyFont="1" applyFill="1" applyBorder="1" applyAlignment="1">
      <alignment horizontal="left" vertical="center"/>
    </xf>
    <xf numFmtId="0" fontId="35" fillId="5" borderId="106" xfId="0" applyFont="1" applyFill="1" applyBorder="1" applyAlignment="1">
      <alignment horizontal="left" vertical="center"/>
    </xf>
    <xf numFmtId="0" fontId="35" fillId="5" borderId="194" xfId="0" applyFont="1" applyFill="1" applyBorder="1" applyAlignment="1">
      <alignment horizontal="left" vertical="center"/>
    </xf>
    <xf numFmtId="38" fontId="36" fillId="0" borderId="3" xfId="1" applyFont="1" applyFill="1" applyBorder="1" applyAlignment="1">
      <alignment vertical="center" shrinkToFit="1"/>
    </xf>
    <xf numFmtId="0" fontId="1" fillId="0" borderId="196" xfId="0" applyFont="1" applyBorder="1" applyAlignment="1">
      <alignment vertical="center" shrinkToFit="1"/>
    </xf>
    <xf numFmtId="0" fontId="1" fillId="0" borderId="197" xfId="0" applyFont="1" applyBorder="1" applyAlignment="1">
      <alignment vertical="center" shrinkToFit="1"/>
    </xf>
    <xf numFmtId="0" fontId="1" fillId="0" borderId="198" xfId="0" applyFont="1" applyBorder="1" applyAlignment="1">
      <alignment vertical="center" shrinkToFit="1"/>
    </xf>
    <xf numFmtId="0" fontId="1" fillId="0" borderId="199" xfId="0" applyFont="1" applyBorder="1" applyAlignment="1">
      <alignment vertical="center" shrinkToFit="1"/>
    </xf>
    <xf numFmtId="0" fontId="1" fillId="0" borderId="198" xfId="0" applyFont="1" applyBorder="1">
      <alignment vertical="center"/>
    </xf>
    <xf numFmtId="0" fontId="1" fillId="0" borderId="199" xfId="0" applyFont="1" applyBorder="1">
      <alignment vertical="center"/>
    </xf>
    <xf numFmtId="0" fontId="1" fillId="0" borderId="200" xfId="0" applyFont="1" applyBorder="1">
      <alignment vertical="center"/>
    </xf>
    <xf numFmtId="0" fontId="1" fillId="0" borderId="172" xfId="0" applyFont="1" applyBorder="1">
      <alignment vertical="center"/>
    </xf>
    <xf numFmtId="0" fontId="1" fillId="0" borderId="172" xfId="0" applyFont="1" applyBorder="1" applyAlignment="1">
      <alignment horizontal="center" vertical="center"/>
    </xf>
    <xf numFmtId="0" fontId="1" fillId="0" borderId="201" xfId="0" applyFont="1" applyBorder="1">
      <alignment vertical="center"/>
    </xf>
    <xf numFmtId="0" fontId="36" fillId="0" borderId="208" xfId="0" applyFont="1" applyBorder="1" applyAlignment="1">
      <alignment vertical="center" shrinkToFit="1"/>
    </xf>
    <xf numFmtId="0" fontId="36" fillId="0" borderId="209" xfId="0" applyFont="1" applyBorder="1" applyAlignment="1">
      <alignment vertical="center" shrinkToFit="1"/>
    </xf>
    <xf numFmtId="0" fontId="36" fillId="0" borderId="205" xfId="0" applyFont="1" applyBorder="1" applyAlignment="1">
      <alignment vertical="center" shrinkToFit="1"/>
    </xf>
    <xf numFmtId="0" fontId="36" fillId="0" borderId="206" xfId="0" applyFont="1" applyBorder="1" applyAlignment="1">
      <alignment vertical="center" shrinkToFit="1"/>
    </xf>
    <xf numFmtId="0" fontId="36" fillId="0" borderId="207" xfId="0" applyFont="1" applyBorder="1" applyAlignment="1">
      <alignment vertical="center" shrinkToFit="1"/>
    </xf>
    <xf numFmtId="0" fontId="104" fillId="0" borderId="202" xfId="0" applyFont="1" applyBorder="1" applyAlignment="1">
      <alignment horizontal="center" vertical="center" shrinkToFit="1"/>
    </xf>
    <xf numFmtId="0" fontId="104" fillId="0" borderId="203" xfId="0" applyFont="1" applyBorder="1" applyAlignment="1">
      <alignment horizontal="center" vertical="center" shrinkToFit="1"/>
    </xf>
    <xf numFmtId="0" fontId="104" fillId="0" borderId="204" xfId="0" applyFont="1" applyBorder="1" applyAlignment="1">
      <alignment horizontal="center" vertical="center" shrinkToFit="1"/>
    </xf>
    <xf numFmtId="0" fontId="137" fillId="0" borderId="0" xfId="0" applyFont="1" applyAlignment="1">
      <alignment horizontal="center" vertical="center"/>
    </xf>
    <xf numFmtId="0" fontId="137" fillId="31" borderId="0" xfId="0" applyFont="1" applyFill="1" applyAlignment="1">
      <alignment horizontal="center" vertical="center"/>
    </xf>
    <xf numFmtId="0" fontId="137" fillId="10" borderId="0" xfId="1" applyNumberFormat="1" applyFont="1" applyFill="1" applyAlignment="1">
      <alignment horizontal="center" vertical="center"/>
    </xf>
    <xf numFmtId="0" fontId="137" fillId="0" borderId="0" xfId="0" applyFont="1" applyAlignment="1">
      <alignment horizontal="center" vertical="center" wrapText="1"/>
    </xf>
    <xf numFmtId="0" fontId="136" fillId="36" borderId="210" xfId="0" applyFont="1" applyFill="1" applyBorder="1" applyAlignment="1">
      <alignment horizontal="center" vertical="center"/>
    </xf>
    <xf numFmtId="0" fontId="137" fillId="10" borderId="0" xfId="0" applyFont="1" applyFill="1" applyAlignment="1">
      <alignment horizontal="center" vertical="center"/>
    </xf>
    <xf numFmtId="0" fontId="137" fillId="10" borderId="0" xfId="0" applyFont="1" applyFill="1" applyAlignment="1">
      <alignment horizontal="center" vertical="center" wrapText="1"/>
    </xf>
    <xf numFmtId="38" fontId="1" fillId="10" borderId="0" xfId="1" applyFont="1" applyFill="1" applyBorder="1">
      <alignment vertical="center"/>
    </xf>
    <xf numFmtId="0" fontId="118" fillId="10" borderId="0" xfId="0" applyFont="1" applyFill="1">
      <alignment vertical="center"/>
    </xf>
    <xf numFmtId="3" fontId="118" fillId="10" borderId="0" xfId="0" applyNumberFormat="1" applyFont="1" applyFill="1">
      <alignment vertical="center"/>
    </xf>
    <xf numFmtId="38" fontId="1" fillId="10" borderId="0" xfId="1" applyFont="1" applyFill="1" applyBorder="1" applyAlignment="1">
      <alignment vertical="center"/>
    </xf>
    <xf numFmtId="0" fontId="1" fillId="10" borderId="0" xfId="0" applyFont="1" applyFill="1" applyAlignment="1">
      <alignment horizontal="left" vertical="center"/>
    </xf>
    <xf numFmtId="0" fontId="1" fillId="10" borderId="0" xfId="0" applyFont="1" applyFill="1" applyAlignment="1">
      <alignment horizontal="center" vertical="center"/>
    </xf>
    <xf numFmtId="0" fontId="118" fillId="10" borderId="0" xfId="0" applyFont="1" applyFill="1" applyAlignment="1">
      <alignment horizontal="center" vertical="center"/>
    </xf>
    <xf numFmtId="0" fontId="116" fillId="10" borderId="0" xfId="0" applyFont="1" applyFill="1">
      <alignment vertical="center"/>
    </xf>
    <xf numFmtId="0" fontId="1" fillId="10" borderId="0" xfId="0" applyFont="1" applyFill="1" applyAlignment="1">
      <alignment vertical="center" wrapText="1"/>
    </xf>
    <xf numFmtId="0" fontId="1" fillId="14" borderId="0" xfId="0" applyFont="1" applyFill="1">
      <alignment vertical="center"/>
    </xf>
    <xf numFmtId="0" fontId="118" fillId="14" borderId="0" xfId="0" applyFont="1" applyFill="1">
      <alignment vertical="center"/>
    </xf>
    <xf numFmtId="41" fontId="1" fillId="14" borderId="0" xfId="0" applyNumberFormat="1" applyFont="1" applyFill="1">
      <alignment vertical="center"/>
    </xf>
    <xf numFmtId="0" fontId="136" fillId="32" borderId="210" xfId="0" applyFont="1" applyFill="1" applyBorder="1" applyAlignment="1">
      <alignment horizontal="center" vertical="center"/>
    </xf>
    <xf numFmtId="0" fontId="1" fillId="32" borderId="0" xfId="0" applyFont="1" applyFill="1">
      <alignment vertical="center"/>
    </xf>
    <xf numFmtId="0" fontId="137" fillId="4" borderId="0" xfId="0" applyFont="1" applyFill="1" applyAlignment="1">
      <alignment horizontal="center" vertical="center"/>
    </xf>
    <xf numFmtId="0" fontId="1" fillId="4" borderId="0" xfId="0" applyFont="1" applyFill="1">
      <alignment vertical="center"/>
    </xf>
    <xf numFmtId="0" fontId="118" fillId="4" borderId="0" xfId="0" applyFont="1" applyFill="1">
      <alignment vertical="center"/>
    </xf>
    <xf numFmtId="38" fontId="137" fillId="14" borderId="0" xfId="1" applyFont="1" applyFill="1" applyAlignment="1">
      <alignment horizontal="center" vertical="center"/>
    </xf>
    <xf numFmtId="38" fontId="137" fillId="32" borderId="0" xfId="1" applyFont="1" applyFill="1" applyAlignment="1">
      <alignment horizontal="center" vertical="center"/>
    </xf>
    <xf numFmtId="9" fontId="95" fillId="4" borderId="0" xfId="4" applyNumberFormat="1" applyFill="1" applyAlignment="1">
      <alignment horizontal="left" vertical="center"/>
    </xf>
    <xf numFmtId="0" fontId="1" fillId="14" borderId="0" xfId="0" applyFont="1" applyFill="1" applyAlignment="1">
      <alignment vertical="center" wrapText="1"/>
    </xf>
    <xf numFmtId="2" fontId="1" fillId="32" borderId="0" xfId="0" applyNumberFormat="1" applyFont="1" applyFill="1" applyAlignment="1">
      <alignment horizontal="center" vertical="center" wrapText="1"/>
    </xf>
    <xf numFmtId="0" fontId="137" fillId="0" borderId="0" xfId="0" applyFont="1" applyAlignment="1">
      <alignment horizontal="left" vertical="center"/>
    </xf>
    <xf numFmtId="0" fontId="25" fillId="0" borderId="3" xfId="0" applyFont="1" applyBorder="1" applyAlignment="1">
      <alignment horizontal="center" vertical="center" shrinkToFit="1"/>
    </xf>
    <xf numFmtId="0" fontId="25" fillId="0" borderId="2" xfId="0" applyFont="1" applyBorder="1" applyAlignment="1">
      <alignment horizontal="center" vertical="center" shrinkToFit="1"/>
    </xf>
    <xf numFmtId="189" fontId="25" fillId="0" borderId="3" xfId="0" applyNumberFormat="1" applyFont="1" applyBorder="1" applyAlignment="1">
      <alignment horizontal="center" vertical="center" shrinkToFit="1"/>
    </xf>
    <xf numFmtId="187" fontId="25" fillId="0" borderId="90" xfId="0" applyNumberFormat="1" applyFont="1" applyBorder="1" applyAlignment="1">
      <alignment horizontal="center" vertical="center" shrinkToFit="1"/>
    </xf>
    <xf numFmtId="0" fontId="25" fillId="22" borderId="123" xfId="0" applyFont="1" applyFill="1" applyBorder="1" applyAlignment="1">
      <alignment horizontal="center" vertical="center" shrinkToFit="1"/>
    </xf>
    <xf numFmtId="0" fontId="25" fillId="22" borderId="124" xfId="0" applyFont="1" applyFill="1" applyBorder="1" applyAlignment="1">
      <alignment horizontal="center" vertical="center" shrinkToFit="1"/>
    </xf>
    <xf numFmtId="0" fontId="25" fillId="22" borderId="125" xfId="0" applyFont="1" applyFill="1" applyBorder="1" applyAlignment="1">
      <alignment horizontal="center" vertical="center" shrinkToFit="1"/>
    </xf>
    <xf numFmtId="0" fontId="25" fillId="5" borderId="0" xfId="0" applyFont="1" applyFill="1" applyAlignment="1">
      <alignment vertical="center" shrinkToFit="1"/>
    </xf>
    <xf numFmtId="0" fontId="25" fillId="18" borderId="10" xfId="0" applyFont="1" applyFill="1" applyBorder="1" applyAlignment="1">
      <alignment horizontal="center" vertical="center" shrinkToFit="1"/>
    </xf>
    <xf numFmtId="179" fontId="25" fillId="0" borderId="2" xfId="0" applyNumberFormat="1" applyFont="1" applyBorder="1" applyAlignment="1">
      <alignment horizontal="center" vertical="center" shrinkToFit="1"/>
    </xf>
    <xf numFmtId="185" fontId="25" fillId="0" borderId="2" xfId="0" applyNumberFormat="1" applyFont="1" applyBorder="1" applyAlignment="1">
      <alignment horizontal="center" vertical="center" shrinkToFit="1"/>
    </xf>
    <xf numFmtId="186" fontId="25" fillId="0" borderId="2" xfId="0" applyNumberFormat="1" applyFont="1" applyBorder="1" applyAlignment="1">
      <alignment horizontal="center" vertical="center" shrinkToFit="1"/>
    </xf>
    <xf numFmtId="0" fontId="25" fillId="5" borderId="1" xfId="0" applyFont="1" applyFill="1" applyBorder="1" applyAlignment="1">
      <alignment horizontal="center" vertical="center" shrinkToFit="1"/>
    </xf>
    <xf numFmtId="0" fontId="25" fillId="5" borderId="9" xfId="0" applyFont="1" applyFill="1" applyBorder="1" applyAlignment="1">
      <alignment horizontal="center" vertical="center" shrinkToFit="1"/>
    </xf>
    <xf numFmtId="0" fontId="25" fillId="5" borderId="4" xfId="0" applyFont="1" applyFill="1" applyBorder="1" applyAlignment="1">
      <alignment vertical="center" shrinkToFit="1"/>
    </xf>
    <xf numFmtId="0" fontId="25" fillId="5" borderId="4" xfId="0" applyFont="1" applyFill="1" applyBorder="1" applyAlignment="1">
      <alignment horizontal="center" vertical="center" shrinkToFit="1"/>
    </xf>
    <xf numFmtId="0" fontId="138" fillId="0" borderId="3" xfId="0" applyFont="1" applyBorder="1" applyAlignment="1">
      <alignment horizontal="center" vertical="center" shrinkToFit="1"/>
    </xf>
    <xf numFmtId="187" fontId="25" fillId="0" borderId="0" xfId="0" applyNumberFormat="1" applyFont="1" applyAlignment="1">
      <alignment vertical="center" shrinkToFit="1"/>
    </xf>
    <xf numFmtId="0" fontId="25" fillId="0" borderId="3" xfId="0" applyFont="1" applyBorder="1" applyAlignment="1">
      <alignment horizontal="center" vertical="center" wrapText="1" shrinkToFit="1"/>
    </xf>
    <xf numFmtId="0" fontId="25" fillId="0" borderId="85" xfId="0" applyFont="1" applyBorder="1" applyAlignment="1">
      <alignment horizontal="center" vertical="center" shrinkToFit="1"/>
    </xf>
    <xf numFmtId="0" fontId="25" fillId="0" borderId="0" xfId="0" applyFont="1" applyAlignment="1">
      <alignment horizontal="center" vertical="center" shrinkToFit="1"/>
    </xf>
    <xf numFmtId="0" fontId="25" fillId="0" borderId="6" xfId="0" applyFont="1" applyBorder="1" applyAlignment="1">
      <alignment horizontal="center" vertical="center" shrinkToFit="1"/>
    </xf>
    <xf numFmtId="0" fontId="36" fillId="19" borderId="4" xfId="0" applyFont="1" applyFill="1" applyBorder="1">
      <alignment vertical="center"/>
    </xf>
    <xf numFmtId="185" fontId="25" fillId="0" borderId="0" xfId="0" applyNumberFormat="1" applyFont="1" applyAlignment="1">
      <alignment horizontal="center" vertical="center" shrinkToFit="1"/>
    </xf>
    <xf numFmtId="185" fontId="25" fillId="0" borderId="6" xfId="0" applyNumberFormat="1" applyFont="1" applyBorder="1" applyAlignment="1">
      <alignment horizontal="center" vertical="center" shrinkToFit="1"/>
    </xf>
    <xf numFmtId="185" fontId="25" fillId="0" borderId="0" xfId="0" applyNumberFormat="1" applyFont="1" applyAlignment="1">
      <alignment vertical="center" shrinkToFit="1"/>
    </xf>
    <xf numFmtId="186" fontId="25" fillId="0" borderId="0" xfId="0" applyNumberFormat="1" applyFont="1" applyAlignment="1">
      <alignment vertical="center" shrinkToFit="1"/>
    </xf>
    <xf numFmtId="186" fontId="25" fillId="0" borderId="6" xfId="0" applyNumberFormat="1" applyFont="1" applyBorder="1" applyAlignment="1">
      <alignment horizontal="center" vertical="center" shrinkToFit="1"/>
    </xf>
    <xf numFmtId="179" fontId="25" fillId="0" borderId="6" xfId="0" applyNumberFormat="1" applyFont="1" applyBorder="1" applyAlignment="1">
      <alignment horizontal="center" vertical="center" shrinkToFit="1"/>
    </xf>
    <xf numFmtId="187" fontId="25" fillId="0" borderId="6" xfId="0" applyNumberFormat="1" applyFont="1" applyBorder="1" applyAlignment="1">
      <alignment horizontal="center" vertical="center" shrinkToFit="1"/>
    </xf>
    <xf numFmtId="0" fontId="9" fillId="7" borderId="0" xfId="0" applyFont="1" applyFill="1">
      <alignment vertical="center"/>
    </xf>
    <xf numFmtId="0" fontId="36" fillId="0" borderId="85" xfId="0" applyFont="1" applyBorder="1" applyAlignment="1">
      <alignment horizontal="center" vertical="center" shrinkToFit="1"/>
    </xf>
    <xf numFmtId="0" fontId="36" fillId="5" borderId="211" xfId="0" applyFont="1" applyFill="1" applyBorder="1" applyAlignment="1">
      <alignment horizontal="center" vertical="center" shrinkToFit="1"/>
    </xf>
    <xf numFmtId="0" fontId="25" fillId="0" borderId="1" xfId="0" applyFont="1" applyBorder="1" applyAlignment="1">
      <alignment horizontal="center" vertical="center" shrinkToFit="1"/>
    </xf>
    <xf numFmtId="0" fontId="25" fillId="0" borderId="212" xfId="0" applyFont="1" applyBorder="1" applyAlignment="1">
      <alignment horizontal="center" vertical="center" shrinkToFit="1"/>
    </xf>
    <xf numFmtId="0" fontId="25" fillId="0" borderId="178" xfId="0" applyFont="1" applyBorder="1" applyAlignment="1">
      <alignment horizontal="center" vertical="center" shrinkToFit="1"/>
    </xf>
    <xf numFmtId="185" fontId="25" fillId="0" borderId="178" xfId="0" applyNumberFormat="1" applyFont="1" applyBorder="1" applyAlignment="1">
      <alignment horizontal="center" vertical="center" shrinkToFit="1"/>
    </xf>
    <xf numFmtId="186" fontId="25" fillId="0" borderId="178" xfId="0" applyNumberFormat="1" applyFont="1" applyBorder="1" applyAlignment="1">
      <alignment horizontal="center" vertical="center" shrinkToFit="1"/>
    </xf>
    <xf numFmtId="179" fontId="25" fillId="0" borderId="178" xfId="0" applyNumberFormat="1" applyFont="1" applyBorder="1" applyAlignment="1">
      <alignment horizontal="center" vertical="center" shrinkToFit="1"/>
    </xf>
    <xf numFmtId="187" fontId="25" fillId="0" borderId="178" xfId="0" applyNumberFormat="1" applyFont="1" applyBorder="1" applyAlignment="1">
      <alignment horizontal="center" vertical="center" shrinkToFit="1"/>
    </xf>
    <xf numFmtId="0" fontId="27" fillId="0" borderId="213" xfId="0" applyFont="1" applyBorder="1" applyAlignment="1">
      <alignment horizontal="center" vertical="center" shrinkToFit="1"/>
    </xf>
    <xf numFmtId="0" fontId="25" fillId="0" borderId="214" xfId="0" applyFont="1" applyBorder="1" applyAlignment="1">
      <alignment horizontal="center" vertical="center" shrinkToFit="1"/>
    </xf>
    <xf numFmtId="0" fontId="137" fillId="8" borderId="0" xfId="0" applyFont="1" applyFill="1" applyAlignment="1">
      <alignment horizontal="center" vertical="center" wrapText="1"/>
    </xf>
    <xf numFmtId="0" fontId="137" fillId="8" borderId="0" xfId="0" applyFont="1" applyFill="1" applyAlignment="1">
      <alignment horizontal="center" vertical="center"/>
    </xf>
    <xf numFmtId="38" fontId="137" fillId="8" borderId="0" xfId="1" applyFont="1" applyFill="1" applyAlignment="1">
      <alignment horizontal="center" vertical="center" wrapText="1"/>
    </xf>
    <xf numFmtId="0" fontId="1" fillId="8" borderId="0" xfId="0" applyFont="1" applyFill="1">
      <alignment vertical="center"/>
    </xf>
    <xf numFmtId="0" fontId="118" fillId="8" borderId="0" xfId="0" applyFont="1" applyFill="1">
      <alignment vertical="center"/>
    </xf>
    <xf numFmtId="177" fontId="1" fillId="8" borderId="0" xfId="0" applyNumberFormat="1" applyFont="1" applyFill="1">
      <alignment vertical="center"/>
    </xf>
    <xf numFmtId="38" fontId="36" fillId="5" borderId="1" xfId="1" applyFont="1" applyFill="1" applyBorder="1" applyAlignment="1">
      <alignment vertical="center" shrinkToFit="1"/>
    </xf>
    <xf numFmtId="38" fontId="36" fillId="5" borderId="2" xfId="1" applyFont="1" applyFill="1" applyBorder="1" applyAlignment="1">
      <alignment vertical="center" shrinkToFit="1"/>
    </xf>
    <xf numFmtId="0" fontId="25" fillId="2" borderId="0" xfId="0" applyFont="1" applyFill="1">
      <alignment vertical="center"/>
    </xf>
    <xf numFmtId="0" fontId="25" fillId="2" borderId="0" xfId="0" applyFont="1" applyFill="1" applyAlignment="1">
      <alignment vertical="center" shrinkToFit="1"/>
    </xf>
    <xf numFmtId="0" fontId="27" fillId="2" borderId="0" xfId="0" applyFont="1" applyFill="1">
      <alignment vertical="center"/>
    </xf>
    <xf numFmtId="0" fontId="25" fillId="2" borderId="0" xfId="0" applyFont="1" applyFill="1" applyAlignment="1">
      <alignment horizontal="center" vertical="center" shrinkToFit="1"/>
    </xf>
    <xf numFmtId="0" fontId="138" fillId="2" borderId="0" xfId="0" applyFont="1" applyFill="1" applyAlignment="1">
      <alignment vertical="center" shrinkToFit="1"/>
    </xf>
    <xf numFmtId="0" fontId="36" fillId="0" borderId="1" xfId="0" applyFont="1" applyBorder="1" applyAlignment="1">
      <alignment vertical="center" shrinkToFit="1"/>
    </xf>
    <xf numFmtId="0" fontId="36" fillId="0" borderId="11" xfId="0" applyFont="1" applyBorder="1" applyAlignment="1">
      <alignment horizontal="center" vertical="center" shrinkToFit="1"/>
    </xf>
    <xf numFmtId="0" fontId="36" fillId="5" borderId="1" xfId="0" applyFont="1" applyFill="1" applyBorder="1" applyAlignment="1">
      <alignment vertical="center" shrinkToFit="1"/>
    </xf>
    <xf numFmtId="0" fontId="36" fillId="20" borderId="1" xfId="0" applyFont="1" applyFill="1" applyBorder="1" applyAlignment="1">
      <alignment vertical="center" shrinkToFit="1"/>
    </xf>
    <xf numFmtId="0" fontId="96" fillId="2" borderId="0" xfId="0" applyFont="1" applyFill="1" applyAlignment="1">
      <alignment vertical="center" shrinkToFit="1"/>
    </xf>
    <xf numFmtId="0" fontId="141" fillId="2" borderId="0" xfId="0" applyFont="1" applyFill="1" applyAlignment="1">
      <alignment vertical="center" shrinkToFit="1"/>
    </xf>
    <xf numFmtId="0" fontId="96" fillId="2" borderId="0" xfId="0" applyFont="1" applyFill="1" applyAlignment="1">
      <alignment horizontal="center" vertical="center" shrinkToFit="1"/>
    </xf>
    <xf numFmtId="0" fontId="96" fillId="2" borderId="0" xfId="0" applyFont="1" applyFill="1">
      <alignment vertical="center"/>
    </xf>
    <xf numFmtId="0" fontId="140" fillId="2" borderId="0" xfId="0" applyFont="1" applyFill="1" applyAlignment="1">
      <alignment vertical="center" shrinkToFit="1"/>
    </xf>
    <xf numFmtId="0" fontId="140" fillId="2" borderId="0" xfId="0" applyFont="1" applyFill="1" applyAlignment="1">
      <alignment horizontal="center" vertical="center" shrinkToFit="1"/>
    </xf>
    <xf numFmtId="0" fontId="107" fillId="2" borderId="0" xfId="0" applyFont="1" applyFill="1">
      <alignment vertical="center"/>
    </xf>
    <xf numFmtId="0" fontId="104" fillId="2" borderId="0" xfId="0" applyFont="1" applyFill="1">
      <alignment vertical="center"/>
    </xf>
    <xf numFmtId="0" fontId="23" fillId="2" borderId="144" xfId="0" applyFont="1" applyFill="1" applyBorder="1">
      <alignment vertical="center"/>
    </xf>
    <xf numFmtId="0" fontId="15" fillId="2" borderId="0" xfId="0" applyFont="1" applyFill="1" applyAlignment="1">
      <alignment vertical="center" shrinkToFit="1"/>
    </xf>
    <xf numFmtId="0" fontId="142" fillId="2" borderId="0" xfId="0" applyFont="1" applyFill="1" applyAlignment="1">
      <alignment vertical="center" shrinkToFit="1"/>
    </xf>
    <xf numFmtId="0" fontId="15" fillId="2" borderId="0" xfId="0" applyFont="1" applyFill="1" applyAlignment="1">
      <alignment horizontal="center" vertical="center" shrinkToFit="1"/>
    </xf>
    <xf numFmtId="0" fontId="96" fillId="10" borderId="4" xfId="0" applyFont="1" applyFill="1" applyBorder="1" applyAlignment="1">
      <alignment horizontal="center" vertical="center" shrinkToFit="1"/>
    </xf>
    <xf numFmtId="0" fontId="96" fillId="2" borderId="4" xfId="0" applyFont="1" applyFill="1" applyBorder="1" applyAlignment="1">
      <alignment horizontal="center" vertical="center" shrinkToFit="1"/>
    </xf>
    <xf numFmtId="0" fontId="96" fillId="18" borderId="1" xfId="0" applyFont="1" applyFill="1" applyBorder="1" applyAlignment="1">
      <alignment horizontal="center" vertical="center" shrinkToFit="1"/>
    </xf>
    <xf numFmtId="0" fontId="96" fillId="10" borderId="219" xfId="0" applyFont="1" applyFill="1" applyBorder="1" applyAlignment="1">
      <alignment horizontal="center" vertical="center" shrinkToFit="1"/>
    </xf>
    <xf numFmtId="0" fontId="96" fillId="2" borderId="219" xfId="0" applyFont="1" applyFill="1" applyBorder="1" applyAlignment="1">
      <alignment horizontal="center" vertical="center" shrinkToFit="1"/>
    </xf>
    <xf numFmtId="0" fontId="96" fillId="2" borderId="220" xfId="0" applyFont="1" applyFill="1" applyBorder="1" applyAlignment="1">
      <alignment horizontal="center" vertical="center" shrinkToFit="1"/>
    </xf>
    <xf numFmtId="189" fontId="96" fillId="2" borderId="222" xfId="0" applyNumberFormat="1" applyFont="1" applyFill="1" applyBorder="1" applyAlignment="1">
      <alignment horizontal="center" vertical="center" shrinkToFit="1"/>
    </xf>
    <xf numFmtId="0" fontId="96" fillId="18" borderId="226" xfId="0" applyFont="1" applyFill="1" applyBorder="1" applyAlignment="1">
      <alignment horizontal="center" vertical="center" shrinkToFit="1"/>
    </xf>
    <xf numFmtId="0" fontId="18" fillId="2" borderId="144" xfId="0" applyFont="1" applyFill="1" applyBorder="1">
      <alignment vertical="center"/>
    </xf>
    <xf numFmtId="38" fontId="65" fillId="2" borderId="0" xfId="1" applyFont="1" applyFill="1" applyBorder="1" applyAlignment="1">
      <alignment horizontal="right" vertical="center"/>
    </xf>
    <xf numFmtId="183" fontId="66" fillId="2" borderId="4" xfId="0" applyNumberFormat="1" applyFont="1" applyFill="1" applyBorder="1" applyAlignment="1">
      <alignment horizontal="center" vertical="center" shrinkToFit="1"/>
    </xf>
    <xf numFmtId="183" fontId="66" fillId="2" borderId="10" xfId="0" applyNumberFormat="1" applyFont="1" applyFill="1" applyBorder="1" applyAlignment="1">
      <alignment vertical="center" shrinkToFit="1"/>
    </xf>
    <xf numFmtId="0" fontId="65" fillId="2" borderId="154" xfId="0" applyFont="1" applyFill="1" applyBorder="1" applyAlignment="1">
      <alignment horizontal="center" vertical="center"/>
    </xf>
    <xf numFmtId="183" fontId="65" fillId="2" borderId="154" xfId="0" applyNumberFormat="1" applyFont="1" applyFill="1" applyBorder="1" applyAlignment="1">
      <alignment horizontal="center" vertical="center"/>
    </xf>
    <xf numFmtId="183" fontId="65" fillId="2" borderId="154" xfId="0" applyNumberFormat="1" applyFont="1" applyFill="1" applyBorder="1">
      <alignment vertical="center"/>
    </xf>
    <xf numFmtId="0" fontId="65" fillId="18" borderId="230" xfId="0" applyFont="1" applyFill="1" applyBorder="1" applyAlignment="1">
      <alignment horizontal="center" vertical="center"/>
    </xf>
    <xf numFmtId="38" fontId="65" fillId="18" borderId="230" xfId="1" applyFont="1" applyFill="1" applyBorder="1" applyAlignment="1">
      <alignment horizontal="right" vertical="center"/>
    </xf>
    <xf numFmtId="0" fontId="66" fillId="2" borderId="30" xfId="0" applyFont="1" applyFill="1" applyBorder="1" applyAlignment="1">
      <alignment horizontal="center" vertical="center"/>
    </xf>
    <xf numFmtId="0" fontId="66" fillId="14" borderId="14" xfId="0" applyFont="1" applyFill="1" applyBorder="1" applyAlignment="1">
      <alignment horizontal="center" vertical="center"/>
    </xf>
    <xf numFmtId="0" fontId="36" fillId="0" borderId="2" xfId="0" applyFont="1" applyBorder="1" applyAlignment="1">
      <alignment horizontal="center" vertical="center" shrinkToFit="1"/>
    </xf>
    <xf numFmtId="0" fontId="36" fillId="0" borderId="4" xfId="0" applyFont="1" applyBorder="1" applyAlignment="1">
      <alignment horizontal="center" vertical="center" shrinkToFit="1"/>
    </xf>
    <xf numFmtId="0" fontId="30" fillId="11" borderId="0" xfId="0" applyFont="1" applyFill="1" applyAlignment="1">
      <alignment horizontal="center" vertical="center"/>
    </xf>
    <xf numFmtId="0" fontId="62" fillId="2" borderId="0" xfId="0" applyFont="1" applyFill="1" applyAlignment="1">
      <alignment horizontal="center" vertical="center" shrinkToFit="1"/>
    </xf>
    <xf numFmtId="183" fontId="66" fillId="2" borderId="8" xfId="0" applyNumberFormat="1" applyFont="1" applyFill="1" applyBorder="1" applyAlignment="1">
      <alignment horizontal="center" vertical="center" shrinkToFit="1"/>
    </xf>
    <xf numFmtId="183" fontId="66" fillId="2" borderId="107" xfId="0" applyNumberFormat="1" applyFont="1" applyFill="1" applyBorder="1" applyAlignment="1">
      <alignment horizontal="center" vertical="center" shrinkToFit="1"/>
    </xf>
    <xf numFmtId="183" fontId="66" fillId="2" borderId="12" xfId="0" applyNumberFormat="1" applyFont="1" applyFill="1" applyBorder="1" applyAlignment="1">
      <alignment horizontal="center" vertical="center" shrinkToFit="1"/>
    </xf>
    <xf numFmtId="183" fontId="66" fillId="2" borderId="109" xfId="0" applyNumberFormat="1" applyFont="1" applyFill="1" applyBorder="1" applyAlignment="1">
      <alignment horizontal="center" vertical="center" shrinkToFit="1"/>
    </xf>
    <xf numFmtId="0" fontId="66" fillId="10" borderId="15" xfId="0" applyFont="1" applyFill="1" applyBorder="1" applyAlignment="1">
      <alignment horizontal="center" vertical="center" shrinkToFit="1"/>
    </xf>
    <xf numFmtId="183" fontId="66" fillId="2" borderId="7" xfId="0" applyNumberFormat="1" applyFont="1" applyFill="1" applyBorder="1" applyAlignment="1">
      <alignment horizontal="center" vertical="center" shrinkToFit="1"/>
    </xf>
    <xf numFmtId="183" fontId="66" fillId="2" borderId="119" xfId="0" applyNumberFormat="1" applyFont="1" applyFill="1" applyBorder="1" applyAlignment="1">
      <alignment horizontal="center" vertical="center" shrinkToFit="1"/>
    </xf>
    <xf numFmtId="183" fontId="66" fillId="2" borderId="1" xfId="0" applyNumberFormat="1" applyFont="1" applyFill="1" applyBorder="1" applyAlignment="1">
      <alignment vertical="center" shrinkToFit="1"/>
    </xf>
    <xf numFmtId="0" fontId="65" fillId="2" borderId="154" xfId="0" applyFont="1" applyFill="1" applyBorder="1" applyAlignment="1">
      <alignment horizontal="center" vertical="center" shrinkToFit="1"/>
    </xf>
    <xf numFmtId="0" fontId="25" fillId="0" borderId="234" xfId="0" applyFont="1" applyBorder="1" applyAlignment="1">
      <alignment horizontal="center" vertical="center" shrinkToFit="1"/>
    </xf>
    <xf numFmtId="0" fontId="36" fillId="8" borderId="2" xfId="0" applyFont="1" applyFill="1" applyBorder="1" applyAlignment="1">
      <alignment vertical="center" shrinkToFit="1"/>
    </xf>
    <xf numFmtId="193" fontId="36" fillId="8" borderId="2" xfId="1" applyNumberFormat="1" applyFont="1" applyFill="1" applyBorder="1" applyAlignment="1">
      <alignment horizontal="right" vertical="center" shrinkToFit="1"/>
    </xf>
    <xf numFmtId="38" fontId="36" fillId="8" borderId="8" xfId="1" applyFont="1" applyFill="1" applyBorder="1" applyAlignment="1">
      <alignment horizontal="right" vertical="center" shrinkToFit="1"/>
    </xf>
    <xf numFmtId="9" fontId="36" fillId="8" borderId="2" xfId="1" applyNumberFormat="1" applyFont="1" applyFill="1" applyBorder="1" applyAlignment="1">
      <alignment horizontal="right" vertical="center" shrinkToFit="1"/>
    </xf>
    <xf numFmtId="38" fontId="36" fillId="8" borderId="2" xfId="0" applyNumberFormat="1" applyFont="1" applyFill="1" applyBorder="1" applyAlignment="1">
      <alignment horizontal="right" vertical="center" shrinkToFit="1"/>
    </xf>
    <xf numFmtId="9" fontId="36" fillId="8" borderId="2" xfId="2" applyFont="1" applyFill="1" applyBorder="1" applyAlignment="1">
      <alignment vertical="center" shrinkToFit="1"/>
    </xf>
    <xf numFmtId="1" fontId="36" fillId="8" borderId="0" xfId="0" applyNumberFormat="1" applyFont="1" applyFill="1" applyAlignment="1">
      <alignment vertical="center" shrinkToFit="1"/>
    </xf>
    <xf numFmtId="0" fontId="36" fillId="8" borderId="4" xfId="0" applyFont="1" applyFill="1" applyBorder="1" applyAlignment="1">
      <alignment vertical="center" shrinkToFit="1"/>
    </xf>
    <xf numFmtId="193" fontId="36" fillId="8" borderId="4" xfId="1" applyNumberFormat="1" applyFont="1" applyFill="1" applyBorder="1" applyAlignment="1">
      <alignment horizontal="right" vertical="center" shrinkToFit="1"/>
    </xf>
    <xf numFmtId="38" fontId="36" fillId="8" borderId="4" xfId="1" applyFont="1" applyFill="1" applyBorder="1" applyAlignment="1">
      <alignment horizontal="right" vertical="center" shrinkToFit="1"/>
    </xf>
    <xf numFmtId="38" fontId="36" fillId="8" borderId="12" xfId="1" applyFont="1" applyFill="1" applyBorder="1" applyAlignment="1">
      <alignment horizontal="right" vertical="center" shrinkToFit="1"/>
    </xf>
    <xf numFmtId="9" fontId="36" fillId="8" borderId="4" xfId="1" applyNumberFormat="1" applyFont="1" applyFill="1" applyBorder="1" applyAlignment="1">
      <alignment horizontal="right" vertical="center" shrinkToFit="1"/>
    </xf>
    <xf numFmtId="38" fontId="36" fillId="8" borderId="4" xfId="0" applyNumberFormat="1" applyFont="1" applyFill="1" applyBorder="1" applyAlignment="1">
      <alignment horizontal="right" vertical="center" shrinkToFit="1"/>
    </xf>
    <xf numFmtId="9" fontId="36" fillId="8" borderId="4" xfId="2" applyFont="1" applyFill="1" applyBorder="1" applyAlignment="1">
      <alignment vertical="center" shrinkToFit="1"/>
    </xf>
    <xf numFmtId="0" fontId="124" fillId="0" borderId="0" xfId="5" applyFont="1" applyProtection="1">
      <alignment vertical="center"/>
      <protection locked="0"/>
    </xf>
    <xf numFmtId="0" fontId="115" fillId="0" borderId="0" xfId="5" applyFont="1" applyProtection="1">
      <alignment vertical="center"/>
      <protection locked="0"/>
    </xf>
    <xf numFmtId="0" fontId="144" fillId="0" borderId="0" xfId="5" applyProtection="1">
      <alignment vertical="center"/>
      <protection locked="0"/>
    </xf>
    <xf numFmtId="9" fontId="144" fillId="0" borderId="0" xfId="6" applyFont="1" applyProtection="1">
      <alignment vertical="center"/>
      <protection locked="0"/>
    </xf>
    <xf numFmtId="0" fontId="147" fillId="8" borderId="24" xfId="5" applyFont="1" applyFill="1" applyBorder="1" applyAlignment="1" applyProtection="1">
      <alignment horizontal="center" vertical="center"/>
      <protection locked="0"/>
    </xf>
    <xf numFmtId="0" fontId="124" fillId="0" borderId="40" xfId="5" applyFont="1" applyBorder="1" applyProtection="1">
      <alignment vertical="center"/>
      <protection locked="0"/>
    </xf>
    <xf numFmtId="0" fontId="124" fillId="0" borderId="43" xfId="5" applyFont="1" applyBorder="1" applyAlignment="1" applyProtection="1">
      <alignment horizontal="center" vertical="center"/>
      <protection locked="0"/>
    </xf>
    <xf numFmtId="0" fontId="124" fillId="0" borderId="44" xfId="5" applyFont="1" applyBorder="1" applyAlignment="1" applyProtection="1">
      <alignment horizontal="center" vertical="center"/>
      <protection locked="0"/>
    </xf>
    <xf numFmtId="0" fontId="124" fillId="0" borderId="34" xfId="5" applyFont="1" applyBorder="1" applyProtection="1">
      <alignment vertical="center"/>
      <protection locked="0"/>
    </xf>
    <xf numFmtId="0" fontId="124" fillId="0" borderId="35" xfId="5" applyFont="1" applyBorder="1" applyAlignment="1" applyProtection="1">
      <alignment horizontal="center" vertical="center"/>
      <protection locked="0"/>
    </xf>
    <xf numFmtId="0" fontId="124" fillId="0" borderId="36" xfId="5" applyFont="1" applyBorder="1" applyAlignment="1" applyProtection="1">
      <alignment horizontal="center" vertical="center"/>
      <protection locked="0"/>
    </xf>
    <xf numFmtId="0" fontId="124" fillId="0" borderId="37" xfId="5" applyFont="1" applyBorder="1" applyProtection="1">
      <alignment vertical="center"/>
      <protection locked="0"/>
    </xf>
    <xf numFmtId="0" fontId="124" fillId="0" borderId="38" xfId="5" applyFont="1" applyBorder="1" applyAlignment="1" applyProtection="1">
      <alignment horizontal="center" vertical="center"/>
      <protection locked="0"/>
    </xf>
    <xf numFmtId="0" fontId="124" fillId="0" borderId="39" xfId="5" applyFont="1" applyBorder="1" applyAlignment="1" applyProtection="1">
      <alignment horizontal="center" vertical="center"/>
      <protection locked="0"/>
    </xf>
    <xf numFmtId="0" fontId="124" fillId="2" borderId="0" xfId="5" applyFont="1" applyFill="1" applyProtection="1">
      <alignment vertical="center"/>
      <protection locked="0"/>
    </xf>
    <xf numFmtId="0" fontId="124" fillId="0" borderId="17" xfId="5" applyFont="1" applyBorder="1" applyProtection="1">
      <alignment vertical="center"/>
      <protection locked="0"/>
    </xf>
    <xf numFmtId="0" fontId="124" fillId="2" borderId="18" xfId="5" applyFont="1" applyFill="1" applyBorder="1" applyProtection="1">
      <alignment vertical="center"/>
      <protection locked="0"/>
    </xf>
    <xf numFmtId="0" fontId="124" fillId="2" borderId="19" xfId="5" applyFont="1" applyFill="1" applyBorder="1" applyProtection="1">
      <alignment vertical="center"/>
      <protection locked="0"/>
    </xf>
    <xf numFmtId="0" fontId="124" fillId="0" borderId="20" xfId="5" applyFont="1" applyBorder="1" applyProtection="1">
      <alignment vertical="center"/>
      <protection locked="0"/>
    </xf>
    <xf numFmtId="0" fontId="148" fillId="2" borderId="0" xfId="5" applyFont="1" applyFill="1" applyProtection="1">
      <alignment vertical="center"/>
      <protection locked="0"/>
    </xf>
    <xf numFmtId="0" fontId="124" fillId="2" borderId="21" xfId="5" applyFont="1" applyFill="1" applyBorder="1" applyProtection="1">
      <alignment vertical="center"/>
      <protection locked="0"/>
    </xf>
    <xf numFmtId="0" fontId="144" fillId="0" borderId="0" xfId="5">
      <alignment vertical="center"/>
    </xf>
    <xf numFmtId="0" fontId="124" fillId="0" borderId="22" xfId="5" applyFont="1" applyBorder="1" applyProtection="1">
      <alignment vertical="center"/>
      <protection locked="0"/>
    </xf>
    <xf numFmtId="0" fontId="124" fillId="0" borderId="16" xfId="5" applyFont="1" applyBorder="1" applyProtection="1">
      <alignment vertical="center"/>
      <protection locked="0"/>
    </xf>
    <xf numFmtId="0" fontId="124" fillId="0" borderId="23" xfId="5" applyFont="1" applyBorder="1" applyProtection="1">
      <alignment vertical="center"/>
      <protection locked="0"/>
    </xf>
    <xf numFmtId="0" fontId="25" fillId="0" borderId="0" xfId="0" applyFont="1" applyAlignment="1">
      <alignment horizontal="center" vertical="center"/>
    </xf>
    <xf numFmtId="0" fontId="25" fillId="0" borderId="0" xfId="0" applyFont="1">
      <alignment vertical="center"/>
    </xf>
    <xf numFmtId="0" fontId="25" fillId="0" borderId="0" xfId="0" applyFont="1" applyAlignment="1">
      <alignment horizontal="right" vertical="center"/>
    </xf>
    <xf numFmtId="10" fontId="1" fillId="0" borderId="0" xfId="2" applyNumberFormat="1" applyFont="1" applyAlignment="1">
      <alignment vertical="center" shrinkToFit="1"/>
    </xf>
    <xf numFmtId="195" fontId="150" fillId="0" borderId="0" xfId="0" applyNumberFormat="1" applyFont="1" applyAlignment="1">
      <alignment horizontal="center" vertical="center"/>
    </xf>
    <xf numFmtId="10" fontId="1" fillId="0" borderId="1" xfId="0" applyNumberFormat="1" applyFont="1" applyBorder="1" applyAlignment="1">
      <alignment vertical="center" shrinkToFit="1"/>
    </xf>
    <xf numFmtId="10" fontId="1" fillId="0" borderId="2" xfId="2" applyNumberFormat="1" applyFont="1" applyBorder="1" applyAlignment="1">
      <alignment vertical="center" shrinkToFit="1"/>
    </xf>
    <xf numFmtId="0" fontId="1" fillId="0" borderId="4" xfId="0" applyFont="1" applyBorder="1" applyAlignment="1">
      <alignment vertical="center" shrinkToFit="1"/>
    </xf>
    <xf numFmtId="10" fontId="1" fillId="0" borderId="4" xfId="2" applyNumberFormat="1" applyFont="1" applyBorder="1" applyAlignment="1">
      <alignment vertical="center" shrinkToFit="1"/>
    </xf>
    <xf numFmtId="196" fontId="35" fillId="5" borderId="131" xfId="0" applyNumberFormat="1" applyFont="1" applyFill="1" applyBorder="1">
      <alignment vertical="center"/>
    </xf>
    <xf numFmtId="0" fontId="151" fillId="37" borderId="132" xfId="0" applyFont="1" applyFill="1" applyBorder="1">
      <alignment vertical="center"/>
    </xf>
    <xf numFmtId="0" fontId="151" fillId="37" borderId="240" xfId="0" applyFont="1" applyFill="1" applyBorder="1">
      <alignment vertical="center"/>
    </xf>
    <xf numFmtId="0" fontId="37" fillId="6" borderId="135" xfId="0" applyFont="1" applyFill="1" applyBorder="1">
      <alignment vertical="center"/>
    </xf>
    <xf numFmtId="0" fontId="37" fillId="6" borderId="138" xfId="0" applyFont="1" applyFill="1" applyBorder="1">
      <alignment vertical="center"/>
    </xf>
    <xf numFmtId="0" fontId="37" fillId="33" borderId="132" xfId="0" applyFont="1" applyFill="1" applyBorder="1">
      <alignment vertical="center"/>
    </xf>
    <xf numFmtId="0" fontId="37" fillId="33" borderId="135" xfId="0" applyFont="1" applyFill="1" applyBorder="1">
      <alignment vertical="center"/>
    </xf>
    <xf numFmtId="0" fontId="151" fillId="38" borderId="141" xfId="0" applyFont="1" applyFill="1" applyBorder="1">
      <alignment vertical="center"/>
    </xf>
    <xf numFmtId="0" fontId="1" fillId="0" borderId="244" xfId="0" applyFont="1" applyBorder="1">
      <alignment vertical="center"/>
    </xf>
    <xf numFmtId="0" fontId="1" fillId="0" borderId="245" xfId="0" applyFont="1" applyBorder="1">
      <alignment vertical="center"/>
    </xf>
    <xf numFmtId="0" fontId="1" fillId="0" borderId="246" xfId="0" applyFont="1" applyBorder="1">
      <alignment vertical="center"/>
    </xf>
    <xf numFmtId="0" fontId="1" fillId="0" borderId="247" xfId="0" applyFont="1" applyBorder="1">
      <alignment vertical="center"/>
    </xf>
    <xf numFmtId="0" fontId="1" fillId="0" borderId="248" xfId="0" applyFont="1" applyBorder="1">
      <alignment vertical="center"/>
    </xf>
    <xf numFmtId="0" fontId="1" fillId="0" borderId="3" xfId="0" applyFont="1" applyBorder="1" applyAlignment="1">
      <alignment horizontal="center" vertical="center" shrinkToFit="1"/>
    </xf>
    <xf numFmtId="38" fontId="1" fillId="0" borderId="3" xfId="1" applyFont="1" applyBorder="1" applyAlignment="1">
      <alignment vertical="center" shrinkToFit="1"/>
    </xf>
    <xf numFmtId="0" fontId="36" fillId="17" borderId="1" xfId="0" applyFont="1" applyFill="1" applyBorder="1" applyAlignment="1">
      <alignment horizontal="center" vertical="center" shrinkToFit="1"/>
    </xf>
    <xf numFmtId="0" fontId="136" fillId="0" borderId="0" xfId="0" applyFont="1" applyAlignment="1">
      <alignment horizontal="left" vertical="center"/>
    </xf>
    <xf numFmtId="0" fontId="136" fillId="0" borderId="0" xfId="0" applyFont="1" applyAlignment="1">
      <alignment horizontal="left" vertical="center" wrapText="1"/>
    </xf>
    <xf numFmtId="0" fontId="136" fillId="40" borderId="0" xfId="0" applyFont="1" applyFill="1" applyAlignment="1">
      <alignment horizontal="center" vertical="center"/>
    </xf>
    <xf numFmtId="0" fontId="136" fillId="41" borderId="0" xfId="0" applyFont="1" applyFill="1" applyAlignment="1">
      <alignment horizontal="right" vertical="center"/>
    </xf>
    <xf numFmtId="3" fontId="136" fillId="40" borderId="0" xfId="0" applyNumberFormat="1" applyFont="1" applyFill="1" applyAlignment="1">
      <alignment horizontal="right" vertical="center"/>
    </xf>
    <xf numFmtId="0" fontId="136" fillId="40" borderId="0" xfId="0" applyFont="1" applyFill="1" applyAlignment="1">
      <alignment horizontal="center" vertical="center" wrapText="1"/>
    </xf>
    <xf numFmtId="3" fontId="136" fillId="43" borderId="0" xfId="0" applyNumberFormat="1" applyFont="1" applyFill="1" applyAlignment="1">
      <alignment horizontal="right" vertical="center"/>
    </xf>
    <xf numFmtId="3" fontId="136" fillId="44" borderId="0" xfId="0" applyNumberFormat="1" applyFont="1" applyFill="1" applyAlignment="1">
      <alignment horizontal="right" vertical="center"/>
    </xf>
    <xf numFmtId="0" fontId="156" fillId="42" borderId="0" xfId="0" applyFont="1" applyFill="1" applyAlignment="1">
      <alignment horizontal="left" vertical="center"/>
    </xf>
    <xf numFmtId="0" fontId="136" fillId="43" borderId="0" xfId="0" applyFont="1" applyFill="1" applyAlignment="1">
      <alignment horizontal="left" vertical="center"/>
    </xf>
    <xf numFmtId="0" fontId="136" fillId="44" borderId="0" xfId="0" applyFont="1" applyFill="1" applyAlignment="1">
      <alignment horizontal="left" vertical="center"/>
    </xf>
    <xf numFmtId="0" fontId="156" fillId="42" borderId="0" xfId="0" applyFont="1" applyFill="1" applyAlignment="1">
      <alignment horizontal="center" vertical="center"/>
    </xf>
    <xf numFmtId="0" fontId="136" fillId="43" borderId="0" xfId="0" applyFont="1" applyFill="1" applyAlignment="1">
      <alignment horizontal="right" vertical="center"/>
    </xf>
    <xf numFmtId="0" fontId="136" fillId="44" borderId="0" xfId="0" applyFont="1" applyFill="1" applyAlignment="1">
      <alignment horizontal="right" vertical="center"/>
    </xf>
    <xf numFmtId="0" fontId="136" fillId="40" borderId="0" xfId="0" applyFont="1" applyFill="1" applyAlignment="1">
      <alignment horizontal="right" vertical="center"/>
    </xf>
    <xf numFmtId="0" fontId="136" fillId="0" borderId="0" xfId="0" applyFont="1" applyAlignment="1">
      <alignment horizontal="center" vertical="center" wrapText="1"/>
    </xf>
    <xf numFmtId="0" fontId="136" fillId="0" borderId="0" xfId="0" applyFont="1" applyAlignment="1">
      <alignment vertical="center" wrapText="1"/>
    </xf>
    <xf numFmtId="0" fontId="136" fillId="0" borderId="0" xfId="0" applyFont="1" applyAlignment="1">
      <alignment horizontal="center" vertical="center"/>
    </xf>
    <xf numFmtId="0" fontId="95" fillId="0" borderId="0" xfId="4" applyAlignment="1">
      <alignment horizontal="left" vertical="center" wrapText="1"/>
    </xf>
    <xf numFmtId="3" fontId="157" fillId="0" borderId="0" xfId="0" applyNumberFormat="1" applyFont="1">
      <alignment vertical="center"/>
    </xf>
    <xf numFmtId="10" fontId="158" fillId="0" borderId="0" xfId="0" applyNumberFormat="1" applyFont="1" applyAlignment="1">
      <alignment vertical="center" wrapText="1"/>
    </xf>
    <xf numFmtId="0" fontId="157" fillId="0" borderId="0" xfId="0" applyFont="1">
      <alignment vertical="center"/>
    </xf>
    <xf numFmtId="0" fontId="136" fillId="0" borderId="0" xfId="0" applyFont="1">
      <alignment vertical="center"/>
    </xf>
    <xf numFmtId="3" fontId="136" fillId="41" borderId="0" xfId="0" applyNumberFormat="1" applyFont="1" applyFill="1" applyAlignment="1">
      <alignment horizontal="right" vertical="center"/>
    </xf>
    <xf numFmtId="0" fontId="156" fillId="42" borderId="0" xfId="0" applyFont="1" applyFill="1" applyAlignment="1">
      <alignment vertical="center" wrapText="1"/>
    </xf>
    <xf numFmtId="3" fontId="136" fillId="43" borderId="0" xfId="0" applyNumberFormat="1" applyFont="1" applyFill="1">
      <alignment vertical="center"/>
    </xf>
    <xf numFmtId="3" fontId="136" fillId="44" borderId="0" xfId="0" applyNumberFormat="1" applyFont="1" applyFill="1" applyAlignment="1">
      <alignment horizontal="center" vertical="center"/>
    </xf>
    <xf numFmtId="0" fontId="136" fillId="42" borderId="0" xfId="0" applyFont="1" applyFill="1">
      <alignment vertical="center"/>
    </xf>
    <xf numFmtId="0" fontId="136" fillId="0" borderId="0" xfId="0" applyFont="1" applyAlignment="1">
      <alignment horizontal="right" vertical="center"/>
    </xf>
    <xf numFmtId="3" fontId="136" fillId="0" borderId="0" xfId="0" applyNumberFormat="1" applyFont="1" applyAlignment="1">
      <alignment horizontal="center" vertical="center"/>
    </xf>
    <xf numFmtId="3" fontId="136" fillId="0" borderId="0" xfId="0" applyNumberFormat="1" applyFont="1" applyAlignment="1">
      <alignment horizontal="left" vertical="center"/>
    </xf>
    <xf numFmtId="3" fontId="156" fillId="43" borderId="0" xfId="0" applyNumberFormat="1" applyFont="1" applyFill="1" applyAlignment="1">
      <alignment horizontal="left" vertical="center"/>
    </xf>
    <xf numFmtId="3" fontId="156" fillId="44" borderId="0" xfId="0" applyNumberFormat="1" applyFont="1" applyFill="1" applyAlignment="1">
      <alignment horizontal="left" vertical="center"/>
    </xf>
    <xf numFmtId="0" fontId="136" fillId="42" borderId="0" xfId="0" applyFont="1" applyFill="1" applyAlignment="1">
      <alignment horizontal="left" vertical="center"/>
    </xf>
    <xf numFmtId="3" fontId="136" fillId="0" borderId="0" xfId="0" applyNumberFormat="1" applyFont="1" applyAlignment="1">
      <alignment horizontal="right" vertical="center"/>
    </xf>
    <xf numFmtId="0" fontId="136" fillId="0" borderId="0" xfId="0" applyFont="1" applyAlignment="1">
      <alignment horizontal="right" vertical="center" indent="1"/>
    </xf>
    <xf numFmtId="0" fontId="136" fillId="42" borderId="0" xfId="0" applyFont="1" applyFill="1" applyAlignment="1">
      <alignment horizontal="center" vertical="center"/>
    </xf>
    <xf numFmtId="0" fontId="159" fillId="0" borderId="0" xfId="0" applyFont="1" applyAlignment="1">
      <alignment horizontal="center" vertical="center"/>
    </xf>
    <xf numFmtId="0" fontId="136" fillId="0" borderId="249" xfId="0" applyFont="1" applyBorder="1" applyAlignment="1">
      <alignment horizontal="left" vertical="center"/>
    </xf>
    <xf numFmtId="0" fontId="136" fillId="41" borderId="249" xfId="0" applyFont="1" applyFill="1" applyBorder="1" applyAlignment="1">
      <alignment horizontal="left" vertical="center" wrapText="1"/>
    </xf>
    <xf numFmtId="0" fontId="160" fillId="42" borderId="0" xfId="0" applyFont="1" applyFill="1" applyAlignment="1">
      <alignment horizontal="center" vertical="center"/>
    </xf>
    <xf numFmtId="3" fontId="160" fillId="43" borderId="0" xfId="0" applyNumberFormat="1" applyFont="1" applyFill="1" applyAlignment="1">
      <alignment horizontal="right" vertical="center"/>
    </xf>
    <xf numFmtId="0" fontId="160" fillId="44" borderId="0" xfId="0" applyFont="1" applyFill="1" applyAlignment="1">
      <alignment horizontal="right" vertical="center"/>
    </xf>
    <xf numFmtId="178" fontId="36" fillId="45" borderId="2" xfId="0" applyNumberFormat="1" applyFont="1" applyFill="1" applyBorder="1" applyAlignment="1">
      <alignment vertical="center" shrinkToFit="1"/>
    </xf>
    <xf numFmtId="0" fontId="36" fillId="45" borderId="2" xfId="0" applyFont="1" applyFill="1" applyBorder="1" applyAlignment="1">
      <alignment vertical="center" shrinkToFit="1"/>
    </xf>
    <xf numFmtId="178" fontId="36" fillId="45" borderId="4" xfId="0" applyNumberFormat="1" applyFont="1" applyFill="1" applyBorder="1" applyAlignment="1">
      <alignment vertical="center" shrinkToFit="1"/>
    </xf>
    <xf numFmtId="0" fontId="36" fillId="45" borderId="4" xfId="0" applyFont="1" applyFill="1" applyBorder="1" applyAlignment="1">
      <alignment vertical="center" shrinkToFit="1"/>
    </xf>
    <xf numFmtId="0" fontId="36" fillId="8" borderId="2" xfId="0" quotePrefix="1" applyFont="1" applyFill="1" applyBorder="1" applyAlignment="1">
      <alignment vertical="center" shrinkToFit="1"/>
    </xf>
    <xf numFmtId="0" fontId="36" fillId="8" borderId="4" xfId="0" quotePrefix="1" applyFont="1" applyFill="1" applyBorder="1" applyAlignment="1">
      <alignment vertical="center" shrinkToFit="1"/>
    </xf>
    <xf numFmtId="0" fontId="35" fillId="8" borderId="2" xfId="0" applyFont="1" applyFill="1" applyBorder="1" applyAlignment="1">
      <alignment vertical="center" shrinkToFit="1"/>
    </xf>
    <xf numFmtId="0" fontId="144" fillId="0" borderId="0" xfId="8">
      <alignment vertical="top"/>
    </xf>
    <xf numFmtId="0" fontId="162" fillId="47" borderId="250" xfId="8" applyFont="1" applyFill="1" applyBorder="1" applyAlignment="1">
      <alignment horizontal="center" vertical="center"/>
    </xf>
    <xf numFmtId="0" fontId="162" fillId="47" borderId="251" xfId="8" applyFont="1" applyFill="1" applyBorder="1" applyAlignment="1">
      <alignment horizontal="center" vertical="center"/>
    </xf>
    <xf numFmtId="0" fontId="162" fillId="47" borderId="252" xfId="8" applyFont="1" applyFill="1" applyBorder="1" applyAlignment="1">
      <alignment horizontal="center" vertical="center"/>
    </xf>
    <xf numFmtId="0" fontId="164" fillId="48" borderId="253" xfId="8" applyFont="1" applyFill="1" applyBorder="1" applyAlignment="1">
      <alignment horizontal="center" vertical="center"/>
    </xf>
    <xf numFmtId="0" fontId="164" fillId="48" borderId="254" xfId="8" applyFont="1" applyFill="1" applyBorder="1" applyAlignment="1">
      <alignment horizontal="center" vertical="top"/>
    </xf>
    <xf numFmtId="0" fontId="164" fillId="48" borderId="254" xfId="8" applyFont="1" applyFill="1" applyBorder="1" applyAlignment="1">
      <alignment vertical="center"/>
    </xf>
    <xf numFmtId="0" fontId="164" fillId="48" borderId="255" xfId="8" applyFont="1" applyFill="1" applyBorder="1" applyAlignment="1">
      <alignment vertical="center"/>
    </xf>
    <xf numFmtId="0" fontId="164" fillId="0" borderId="253" xfId="8" applyFont="1" applyBorder="1" applyAlignment="1">
      <alignment horizontal="center" vertical="center"/>
    </xf>
    <xf numFmtId="0" fontId="164" fillId="0" borderId="254" xfId="8" applyFont="1" applyBorder="1" applyAlignment="1">
      <alignment horizontal="center" vertical="top"/>
    </xf>
    <xf numFmtId="0" fontId="164" fillId="0" borderId="254" xfId="8" applyFont="1" applyBorder="1" applyAlignment="1">
      <alignment vertical="center"/>
    </xf>
    <xf numFmtId="0" fontId="164" fillId="0" borderId="255" xfId="8" applyFont="1" applyBorder="1" applyAlignment="1">
      <alignment vertical="center"/>
    </xf>
    <xf numFmtId="0" fontId="164" fillId="0" borderId="256" xfId="8" applyFont="1" applyBorder="1" applyAlignment="1">
      <alignment horizontal="center" vertical="center"/>
    </xf>
    <xf numFmtId="0" fontId="164" fillId="0" borderId="257" xfId="8" applyFont="1" applyBorder="1" applyAlignment="1">
      <alignment horizontal="center" vertical="top"/>
    </xf>
    <xf numFmtId="0" fontId="164" fillId="0" borderId="257" xfId="8" applyFont="1" applyBorder="1" applyAlignment="1">
      <alignment vertical="center"/>
    </xf>
    <xf numFmtId="0" fontId="164" fillId="0" borderId="258" xfId="8" applyFont="1" applyBorder="1" applyAlignment="1">
      <alignment vertical="center"/>
    </xf>
    <xf numFmtId="0" fontId="165" fillId="49" borderId="0" xfId="8" applyFont="1" applyFill="1" applyAlignment="1">
      <alignment horizontal="left" vertical="center"/>
    </xf>
    <xf numFmtId="0" fontId="166" fillId="0" borderId="0" xfId="8" applyFont="1">
      <alignment vertical="top"/>
    </xf>
    <xf numFmtId="0" fontId="36" fillId="0" borderId="0" xfId="0" applyFont="1" applyAlignment="1">
      <alignment horizontal="left" vertical="center"/>
    </xf>
    <xf numFmtId="0" fontId="53" fillId="33" borderId="202" xfId="0" applyFont="1" applyFill="1" applyBorder="1" applyAlignment="1">
      <alignment horizontal="center" vertical="center" shrinkToFit="1"/>
    </xf>
    <xf numFmtId="0" fontId="53" fillId="33" borderId="203" xfId="0" applyFont="1" applyFill="1" applyBorder="1" applyAlignment="1">
      <alignment horizontal="center" vertical="center" shrinkToFit="1"/>
    </xf>
    <xf numFmtId="0" fontId="53" fillId="33" borderId="204" xfId="0" applyFont="1" applyFill="1" applyBorder="1" applyAlignment="1">
      <alignment horizontal="center" vertical="center" shrinkToFit="1"/>
    </xf>
    <xf numFmtId="0" fontId="53" fillId="33" borderId="205" xfId="0" applyFont="1" applyFill="1" applyBorder="1" applyAlignment="1">
      <alignment horizontal="center" vertical="center" shrinkToFit="1"/>
    </xf>
    <xf numFmtId="0" fontId="53" fillId="33" borderId="206" xfId="0" applyFont="1" applyFill="1" applyBorder="1" applyAlignment="1">
      <alignment horizontal="center" vertical="center" shrinkToFit="1"/>
    </xf>
    <xf numFmtId="0" fontId="53" fillId="33" borderId="207" xfId="0" applyFont="1" applyFill="1" applyBorder="1" applyAlignment="1">
      <alignment horizontal="center" vertical="center" shrinkToFit="1"/>
    </xf>
    <xf numFmtId="0" fontId="36" fillId="5" borderId="7" xfId="0" applyFont="1" applyFill="1" applyBorder="1" applyAlignment="1">
      <alignment horizontal="left" vertical="center"/>
    </xf>
    <xf numFmtId="0" fontId="36" fillId="5" borderId="118" xfId="0" applyFont="1" applyFill="1" applyBorder="1" applyAlignment="1">
      <alignment horizontal="left" vertical="center"/>
    </xf>
    <xf numFmtId="0" fontId="36" fillId="5" borderId="119" xfId="0" applyFont="1" applyFill="1" applyBorder="1" applyAlignment="1">
      <alignment horizontal="left" vertical="center"/>
    </xf>
    <xf numFmtId="0" fontId="36" fillId="0" borderId="0" xfId="0" applyFont="1" applyAlignment="1">
      <alignment horizontal="center" vertical="center" shrinkToFit="1"/>
    </xf>
    <xf numFmtId="0" fontId="36" fillId="0" borderId="13" xfId="0" applyFont="1" applyBorder="1" applyAlignment="1">
      <alignment horizontal="center" vertical="center" shrinkToFit="1"/>
    </xf>
    <xf numFmtId="0" fontId="36" fillId="5" borderId="4" xfId="0" applyFont="1" applyFill="1" applyBorder="1" applyAlignment="1">
      <alignment horizontal="center" vertical="center" shrinkToFit="1"/>
    </xf>
    <xf numFmtId="0" fontId="36" fillId="5" borderId="12" xfId="0" applyFont="1" applyFill="1" applyBorder="1" applyAlignment="1">
      <alignment horizontal="left" vertical="center"/>
    </xf>
    <xf numFmtId="0" fontId="36" fillId="5" borderId="108" xfId="0" applyFont="1" applyFill="1" applyBorder="1" applyAlignment="1">
      <alignment horizontal="left" vertical="center"/>
    </xf>
    <xf numFmtId="0" fontId="36" fillId="5" borderId="109" xfId="0" applyFont="1" applyFill="1" applyBorder="1" applyAlignment="1">
      <alignment horizontal="left" vertical="center"/>
    </xf>
    <xf numFmtId="0" fontId="36" fillId="28" borderId="1" xfId="0" applyFont="1" applyFill="1" applyBorder="1" applyAlignment="1">
      <alignment horizontal="center" vertical="center" shrinkToFit="1"/>
    </xf>
    <xf numFmtId="0" fontId="36" fillId="5" borderId="8" xfId="0" applyFont="1" applyFill="1" applyBorder="1" applyAlignment="1">
      <alignment horizontal="left" vertical="center"/>
    </xf>
    <xf numFmtId="0" fontId="36" fillId="5" borderId="106" xfId="0" applyFont="1" applyFill="1" applyBorder="1" applyAlignment="1">
      <alignment horizontal="left" vertical="center"/>
    </xf>
    <xf numFmtId="0" fontId="36" fillId="5" borderId="107" xfId="0" applyFont="1" applyFill="1" applyBorder="1" applyAlignment="1">
      <alignment horizontal="left" vertical="center"/>
    </xf>
    <xf numFmtId="0" fontId="36" fillId="0" borderId="5" xfId="0" applyFont="1" applyBorder="1" applyAlignment="1">
      <alignment vertical="center" shrinkToFit="1"/>
    </xf>
    <xf numFmtId="0" fontId="36" fillId="0" borderId="15" xfId="0" applyFont="1" applyBorder="1" applyAlignment="1">
      <alignment vertical="center" shrinkToFit="1"/>
    </xf>
    <xf numFmtId="0" fontId="36" fillId="5" borderId="5" xfId="0" applyFont="1" applyFill="1" applyBorder="1" applyAlignment="1">
      <alignment vertical="center" shrinkToFit="1"/>
    </xf>
    <xf numFmtId="0" fontId="36" fillId="5" borderId="30" xfId="0" applyFont="1" applyFill="1" applyBorder="1" applyAlignment="1">
      <alignment vertical="center" shrinkToFit="1"/>
    </xf>
    <xf numFmtId="0" fontId="36" fillId="5" borderId="15" xfId="0" applyFont="1" applyFill="1" applyBorder="1" applyAlignment="1">
      <alignment vertical="center" shrinkToFit="1"/>
    </xf>
    <xf numFmtId="0" fontId="36" fillId="0" borderId="215" xfId="0" applyFont="1" applyBorder="1" applyAlignment="1">
      <alignment horizontal="center" vertical="center" shrinkToFit="1"/>
    </xf>
    <xf numFmtId="0" fontId="36" fillId="0" borderId="154" xfId="0" applyFont="1" applyBorder="1" applyAlignment="1">
      <alignment horizontal="center" vertical="center" shrinkToFit="1"/>
    </xf>
    <xf numFmtId="0" fontId="36" fillId="0" borderId="216" xfId="0" applyFont="1" applyBorder="1" applyAlignment="1">
      <alignment horizontal="center" vertical="center" shrinkToFit="1"/>
    </xf>
    <xf numFmtId="0" fontId="36" fillId="5" borderId="121" xfId="0" applyFont="1" applyFill="1" applyBorder="1" applyAlignment="1">
      <alignment horizontal="left" vertical="center"/>
    </xf>
    <xf numFmtId="0" fontId="36" fillId="0" borderId="1" xfId="0" applyFont="1" applyBorder="1" applyAlignment="1">
      <alignment horizontal="center" vertical="center" shrinkToFit="1"/>
    </xf>
    <xf numFmtId="0" fontId="36" fillId="5" borderId="7" xfId="0" applyFont="1" applyFill="1" applyBorder="1" applyAlignment="1">
      <alignment horizontal="left" vertical="center" shrinkToFit="1"/>
    </xf>
    <xf numFmtId="0" fontId="36" fillId="5" borderId="118" xfId="0" applyFont="1" applyFill="1" applyBorder="1" applyAlignment="1">
      <alignment horizontal="left" vertical="center" shrinkToFit="1"/>
    </xf>
    <xf numFmtId="0" fontId="36" fillId="5" borderId="119" xfId="0" applyFont="1" applyFill="1" applyBorder="1" applyAlignment="1">
      <alignment horizontal="left" vertical="center" shrinkToFit="1"/>
    </xf>
    <xf numFmtId="0" fontId="36" fillId="5" borderId="8" xfId="0" applyFont="1" applyFill="1" applyBorder="1" applyAlignment="1">
      <alignment horizontal="left" vertical="center" shrinkToFit="1"/>
    </xf>
    <xf numFmtId="0" fontId="36" fillId="5" borderId="106" xfId="0" applyFont="1" applyFill="1" applyBorder="1" applyAlignment="1">
      <alignment horizontal="left" vertical="center" shrinkToFit="1"/>
    </xf>
    <xf numFmtId="0" fontId="36" fillId="5" borderId="107" xfId="0" applyFont="1" applyFill="1" applyBorder="1" applyAlignment="1">
      <alignment horizontal="left" vertical="center" shrinkToFit="1"/>
    </xf>
    <xf numFmtId="0" fontId="36" fillId="5" borderId="12" xfId="0" applyFont="1" applyFill="1" applyBorder="1" applyAlignment="1">
      <alignment horizontal="left" vertical="center" shrinkToFit="1"/>
    </xf>
    <xf numFmtId="0" fontId="36" fillId="5" borderId="108" xfId="0" applyFont="1" applyFill="1" applyBorder="1" applyAlignment="1">
      <alignment horizontal="left" vertical="center" shrinkToFit="1"/>
    </xf>
    <xf numFmtId="0" fontId="36" fillId="5" borderId="109" xfId="0" applyFont="1" applyFill="1" applyBorder="1" applyAlignment="1">
      <alignment horizontal="left" vertical="center" shrinkToFit="1"/>
    </xf>
    <xf numFmtId="0" fontId="161" fillId="46" borderId="0" xfId="8" applyFont="1" applyFill="1" applyAlignment="1">
      <alignment horizontal="center" vertical="center"/>
    </xf>
    <xf numFmtId="0" fontId="22" fillId="0" borderId="0" xfId="0" applyFont="1" applyAlignment="1">
      <alignment horizontal="center" vertical="center" shrinkToFit="1"/>
    </xf>
    <xf numFmtId="0" fontId="42" fillId="0" borderId="0" xfId="0" applyFont="1" applyAlignment="1">
      <alignment horizontal="left" vertical="center" shrinkToFit="1"/>
    </xf>
    <xf numFmtId="0" fontId="1" fillId="0" borderId="0" xfId="0" applyFont="1" applyAlignment="1">
      <alignment horizontal="left" vertical="center" shrinkToFit="1"/>
    </xf>
    <xf numFmtId="0" fontId="154" fillId="2" borderId="0" xfId="0" applyFont="1" applyFill="1" applyAlignment="1">
      <alignment horizontal="left" vertical="center"/>
    </xf>
    <xf numFmtId="0" fontId="97" fillId="2" borderId="0" xfId="0" applyFont="1" applyFill="1" applyAlignment="1">
      <alignment horizontal="center" vertical="center"/>
    </xf>
    <xf numFmtId="0" fontId="100" fillId="2" borderId="0" xfId="0" applyFont="1" applyFill="1" applyAlignment="1">
      <alignment horizontal="center" vertical="center"/>
    </xf>
    <xf numFmtId="0" fontId="101" fillId="2" borderId="0" xfId="0" applyFont="1" applyFill="1" applyAlignment="1">
      <alignment horizontal="center" vertical="center"/>
    </xf>
    <xf numFmtId="179" fontId="18" fillId="2" borderId="0" xfId="0" applyNumberFormat="1" applyFont="1" applyFill="1" applyAlignment="1">
      <alignment horizontal="center" vertical="center"/>
    </xf>
    <xf numFmtId="0" fontId="155" fillId="0" borderId="0" xfId="0" applyFont="1" applyAlignment="1">
      <alignment horizontal="center" vertical="center"/>
    </xf>
    <xf numFmtId="0" fontId="5" fillId="2" borderId="4" xfId="0" applyFont="1" applyFill="1" applyBorder="1" applyAlignment="1">
      <alignment horizontal="center" vertical="center" shrinkToFit="1" readingOrder="1"/>
    </xf>
    <xf numFmtId="0" fontId="6" fillId="2" borderId="12" xfId="0" applyFont="1" applyFill="1" applyBorder="1" applyAlignment="1">
      <alignment horizontal="center" vertical="center" shrinkToFit="1" readingOrder="1"/>
    </xf>
    <xf numFmtId="0" fontId="6" fillId="2" borderId="108" xfId="0" applyFont="1" applyFill="1" applyBorder="1" applyAlignment="1">
      <alignment horizontal="center" vertical="center" shrinkToFit="1" readingOrder="1"/>
    </xf>
    <xf numFmtId="0" fontId="6" fillId="2" borderId="109" xfId="0" applyFont="1" applyFill="1" applyBorder="1" applyAlignment="1">
      <alignment horizontal="center" vertical="center" shrinkToFit="1" readingOrder="1"/>
    </xf>
    <xf numFmtId="0" fontId="6" fillId="2" borderId="4" xfId="0" applyFont="1" applyFill="1" applyBorder="1" applyAlignment="1">
      <alignment horizontal="center" vertical="center" shrinkToFit="1" readingOrder="1"/>
    </xf>
    <xf numFmtId="187" fontId="5" fillId="2" borderId="4" xfId="0" applyNumberFormat="1" applyFont="1" applyFill="1" applyBorder="1" applyAlignment="1">
      <alignment horizontal="center" vertical="center" shrinkToFit="1" readingOrder="1"/>
    </xf>
    <xf numFmtId="189" fontId="5" fillId="2" borderId="4" xfId="0" applyNumberFormat="1" applyFont="1" applyFill="1" applyBorder="1" applyAlignment="1">
      <alignment horizontal="center" vertical="center" shrinkToFit="1" readingOrder="1"/>
    </xf>
    <xf numFmtId="189" fontId="5" fillId="2" borderId="12" xfId="0" applyNumberFormat="1" applyFont="1" applyFill="1" applyBorder="1" applyAlignment="1">
      <alignment horizontal="center" vertical="center" shrinkToFit="1" readingOrder="1"/>
    </xf>
    <xf numFmtId="185" fontId="5" fillId="4" borderId="4" xfId="0" applyNumberFormat="1" applyFont="1" applyFill="1" applyBorder="1" applyAlignment="1">
      <alignment horizontal="center" vertical="center" shrinkToFit="1" readingOrder="1"/>
    </xf>
    <xf numFmtId="188" fontId="5" fillId="2" borderId="4" xfId="0" applyNumberFormat="1" applyFont="1" applyFill="1" applyBorder="1" applyAlignment="1">
      <alignment horizontal="center" vertical="center" shrinkToFit="1" readingOrder="1"/>
    </xf>
    <xf numFmtId="179" fontId="5" fillId="3" borderId="4" xfId="0" applyNumberFormat="1" applyFont="1" applyFill="1" applyBorder="1" applyAlignment="1">
      <alignment horizontal="center" vertical="center" shrinkToFit="1" readingOrder="1"/>
    </xf>
    <xf numFmtId="0" fontId="5" fillId="2" borderId="2" xfId="0" applyFont="1" applyFill="1" applyBorder="1" applyAlignment="1">
      <alignment horizontal="center" vertical="center" shrinkToFit="1" readingOrder="1"/>
    </xf>
    <xf numFmtId="0" fontId="6" fillId="2" borderId="8" xfId="0" applyFont="1" applyFill="1" applyBorder="1" applyAlignment="1">
      <alignment horizontal="center" vertical="center" shrinkToFit="1" readingOrder="1"/>
    </xf>
    <xf numFmtId="0" fontId="6" fillId="2" borderId="106" xfId="0" applyFont="1" applyFill="1" applyBorder="1" applyAlignment="1">
      <alignment horizontal="center" vertical="center" shrinkToFit="1" readingOrder="1"/>
    </xf>
    <xf numFmtId="0" fontId="6" fillId="2" borderId="107" xfId="0" applyFont="1" applyFill="1" applyBorder="1" applyAlignment="1">
      <alignment horizontal="center" vertical="center" shrinkToFit="1" readingOrder="1"/>
    </xf>
    <xf numFmtId="0" fontId="6" fillId="2" borderId="2" xfId="0" applyFont="1" applyFill="1" applyBorder="1" applyAlignment="1">
      <alignment horizontal="center" vertical="center" shrinkToFit="1" readingOrder="1"/>
    </xf>
    <xf numFmtId="187" fontId="5" fillId="2" borderId="2" xfId="0" applyNumberFormat="1" applyFont="1" applyFill="1" applyBorder="1" applyAlignment="1">
      <alignment horizontal="center" vertical="center" shrinkToFit="1" readingOrder="1"/>
    </xf>
    <xf numFmtId="189" fontId="5" fillId="2" borderId="2" xfId="0" applyNumberFormat="1" applyFont="1" applyFill="1" applyBorder="1" applyAlignment="1">
      <alignment horizontal="center" vertical="center" shrinkToFit="1" readingOrder="1"/>
    </xf>
    <xf numFmtId="189" fontId="5" fillId="2" borderId="8" xfId="0" applyNumberFormat="1" applyFont="1" applyFill="1" applyBorder="1" applyAlignment="1">
      <alignment horizontal="center" vertical="center" shrinkToFit="1" readingOrder="1"/>
    </xf>
    <xf numFmtId="185" fontId="5" fillId="4" borderId="2" xfId="0" applyNumberFormat="1" applyFont="1" applyFill="1" applyBorder="1" applyAlignment="1">
      <alignment horizontal="center" vertical="center" shrinkToFit="1" readingOrder="1"/>
    </xf>
    <xf numFmtId="188" fontId="5" fillId="2" borderId="2" xfId="0" applyNumberFormat="1" applyFont="1" applyFill="1" applyBorder="1" applyAlignment="1">
      <alignment horizontal="center" vertical="center" shrinkToFit="1" readingOrder="1"/>
    </xf>
    <xf numFmtId="179" fontId="5" fillId="3" borderId="2" xfId="0" applyNumberFormat="1" applyFont="1" applyFill="1" applyBorder="1" applyAlignment="1">
      <alignment horizontal="center" vertical="center" shrinkToFit="1" readingOrder="1"/>
    </xf>
    <xf numFmtId="0" fontId="20" fillId="2" borderId="3" xfId="0" applyFont="1" applyFill="1" applyBorder="1" applyAlignment="1">
      <alignment horizontal="center" vertical="center" shrinkToFit="1" readingOrder="1"/>
    </xf>
    <xf numFmtId="0" fontId="6" fillId="2" borderId="1" xfId="0" applyFont="1" applyFill="1" applyBorder="1" applyAlignment="1">
      <alignment horizontal="center" vertical="center" shrinkToFit="1" readingOrder="1"/>
    </xf>
    <xf numFmtId="0" fontId="12" fillId="2" borderId="3" xfId="0" applyFont="1" applyFill="1" applyBorder="1" applyAlignment="1">
      <alignment horizontal="center" vertical="center" wrapText="1" shrinkToFit="1" readingOrder="1"/>
    </xf>
    <xf numFmtId="179" fontId="19" fillId="2" borderId="0" xfId="0" applyNumberFormat="1" applyFont="1" applyFill="1" applyAlignment="1">
      <alignment horizontal="center" vertical="center"/>
    </xf>
    <xf numFmtId="189" fontId="19" fillId="2" borderId="0" xfId="0" applyNumberFormat="1" applyFont="1" applyFill="1" applyAlignment="1">
      <alignment horizontal="center" vertical="center"/>
    </xf>
    <xf numFmtId="187" fontId="5" fillId="2" borderId="1" xfId="0" applyNumberFormat="1" applyFont="1" applyFill="1" applyBorder="1" applyAlignment="1">
      <alignment horizontal="center" vertical="center" shrinkToFit="1" readingOrder="1"/>
    </xf>
    <xf numFmtId="0" fontId="50" fillId="2" borderId="0" xfId="0" applyFont="1" applyFill="1" applyAlignment="1">
      <alignment horizontal="center" vertical="center"/>
    </xf>
    <xf numFmtId="0" fontId="13" fillId="2" borderId="0" xfId="0" applyFont="1" applyFill="1" applyAlignment="1">
      <alignment horizontal="left" vertical="center"/>
    </xf>
    <xf numFmtId="179" fontId="38" fillId="2" borderId="45" xfId="0" applyNumberFormat="1" applyFont="1" applyFill="1" applyBorder="1" applyAlignment="1">
      <alignment horizontal="center" vertical="center"/>
    </xf>
    <xf numFmtId="179" fontId="38" fillId="2" borderId="46" xfId="0" applyNumberFormat="1" applyFont="1" applyFill="1" applyBorder="1" applyAlignment="1">
      <alignment horizontal="center" vertical="center"/>
    </xf>
    <xf numFmtId="179" fontId="38" fillId="2" borderId="47" xfId="0" applyNumberFormat="1" applyFont="1" applyFill="1" applyBorder="1" applyAlignment="1">
      <alignment horizontal="center" vertical="center"/>
    </xf>
    <xf numFmtId="179" fontId="38" fillId="2" borderId="48" xfId="0" applyNumberFormat="1" applyFont="1" applyFill="1" applyBorder="1" applyAlignment="1">
      <alignment horizontal="center" vertical="center"/>
    </xf>
    <xf numFmtId="179" fontId="38" fillId="2" borderId="49" xfId="0" applyNumberFormat="1" applyFont="1" applyFill="1" applyBorder="1" applyAlignment="1">
      <alignment horizontal="center" vertical="center"/>
    </xf>
    <xf numFmtId="179" fontId="38" fillId="2" borderId="50" xfId="0" applyNumberFormat="1" applyFont="1" applyFill="1" applyBorder="1" applyAlignment="1">
      <alignment horizontal="center" vertical="center"/>
    </xf>
    <xf numFmtId="0" fontId="19" fillId="2" borderId="1" xfId="0" applyFont="1" applyFill="1" applyBorder="1" applyAlignment="1">
      <alignment horizontal="center" vertical="center" shrinkToFit="1"/>
    </xf>
    <xf numFmtId="0" fontId="19" fillId="2" borderId="4" xfId="0" applyFont="1" applyFill="1" applyBorder="1" applyAlignment="1">
      <alignment horizontal="center" vertical="center" shrinkToFit="1"/>
    </xf>
    <xf numFmtId="189" fontId="19" fillId="2" borderId="1" xfId="0" applyNumberFormat="1" applyFont="1" applyFill="1" applyBorder="1" applyAlignment="1">
      <alignment horizontal="center" vertical="center" shrinkToFit="1"/>
    </xf>
    <xf numFmtId="189" fontId="19" fillId="2" borderId="4" xfId="0" applyNumberFormat="1" applyFont="1" applyFill="1" applyBorder="1" applyAlignment="1">
      <alignment horizontal="center" vertical="center" shrinkToFit="1"/>
    </xf>
    <xf numFmtId="0" fontId="19" fillId="4" borderId="1" xfId="0" applyFont="1" applyFill="1" applyBorder="1" applyAlignment="1">
      <alignment horizontal="center" vertical="center" shrinkToFit="1"/>
    </xf>
    <xf numFmtId="0" fontId="19" fillId="4" borderId="4" xfId="0" applyFont="1" applyFill="1" applyBorder="1" applyAlignment="1">
      <alignment horizontal="center" vertical="center" shrinkToFit="1"/>
    </xf>
    <xf numFmtId="188" fontId="19" fillId="2" borderId="1" xfId="0" applyNumberFormat="1" applyFont="1" applyFill="1" applyBorder="1" applyAlignment="1">
      <alignment horizontal="center" vertical="center" shrinkToFit="1"/>
    </xf>
    <xf numFmtId="188" fontId="19" fillId="2" borderId="4" xfId="0" applyNumberFormat="1" applyFont="1" applyFill="1" applyBorder="1" applyAlignment="1">
      <alignment horizontal="center" vertical="center" shrinkToFit="1"/>
    </xf>
    <xf numFmtId="179" fontId="19" fillId="3" borderId="1" xfId="0" applyNumberFormat="1" applyFont="1" applyFill="1" applyBorder="1" applyAlignment="1">
      <alignment horizontal="center" vertical="center" shrinkToFit="1"/>
    </xf>
    <xf numFmtId="179" fontId="19" fillId="3" borderId="4" xfId="0" applyNumberFormat="1" applyFont="1" applyFill="1" applyBorder="1" applyAlignment="1">
      <alignment horizontal="center" vertical="center" shrinkToFit="1"/>
    </xf>
    <xf numFmtId="179" fontId="10" fillId="2" borderId="45" xfId="0" applyNumberFormat="1" applyFont="1" applyFill="1" applyBorder="1" applyAlignment="1">
      <alignment horizontal="center" vertical="center"/>
    </xf>
    <xf numFmtId="179" fontId="10" fillId="2" borderId="46" xfId="0" applyNumberFormat="1" applyFont="1" applyFill="1" applyBorder="1" applyAlignment="1">
      <alignment horizontal="center" vertical="center"/>
    </xf>
    <xf numFmtId="179" fontId="10" fillId="2" borderId="47" xfId="0" applyNumberFormat="1" applyFont="1" applyFill="1" applyBorder="1" applyAlignment="1">
      <alignment horizontal="center" vertical="center"/>
    </xf>
    <xf numFmtId="179" fontId="10" fillId="2" borderId="48" xfId="0" applyNumberFormat="1" applyFont="1" applyFill="1" applyBorder="1" applyAlignment="1">
      <alignment horizontal="center" vertical="center"/>
    </xf>
    <xf numFmtId="179" fontId="10" fillId="2" borderId="49" xfId="0" applyNumberFormat="1" applyFont="1" applyFill="1" applyBorder="1" applyAlignment="1">
      <alignment horizontal="center" vertical="center"/>
    </xf>
    <xf numFmtId="179" fontId="10" fillId="2" borderId="50" xfId="0" applyNumberFormat="1" applyFont="1" applyFill="1" applyBorder="1" applyAlignment="1">
      <alignment horizontal="center" vertical="center"/>
    </xf>
    <xf numFmtId="0" fontId="44" fillId="2" borderId="0" xfId="0" applyFont="1" applyFill="1" applyAlignment="1">
      <alignment horizontal="center" vertical="top"/>
    </xf>
    <xf numFmtId="0" fontId="12" fillId="2" borderId="3" xfId="0" applyFont="1" applyFill="1" applyBorder="1" applyAlignment="1">
      <alignment horizontal="center" vertical="center"/>
    </xf>
    <xf numFmtId="0" fontId="12" fillId="2" borderId="5" xfId="0" applyFont="1" applyFill="1" applyBorder="1" applyAlignment="1">
      <alignment horizontal="center" vertical="center"/>
    </xf>
    <xf numFmtId="0" fontId="12" fillId="4" borderId="3" xfId="0" applyFont="1" applyFill="1" applyBorder="1" applyAlignment="1">
      <alignment horizontal="center" shrinkToFit="1" readingOrder="1"/>
    </xf>
    <xf numFmtId="0" fontId="12" fillId="2" borderId="3" xfId="0" applyFont="1" applyFill="1" applyBorder="1" applyAlignment="1">
      <alignment horizontal="center" shrinkToFit="1" readingOrder="1"/>
    </xf>
    <xf numFmtId="0" fontId="12" fillId="3" borderId="3" xfId="0" applyFont="1" applyFill="1" applyBorder="1" applyAlignment="1">
      <alignment horizontal="center" shrinkToFit="1" readingOrder="1"/>
    </xf>
    <xf numFmtId="0" fontId="12" fillId="2" borderId="15" xfId="0" applyFont="1" applyFill="1" applyBorder="1" applyAlignment="1">
      <alignment horizontal="center" vertical="center"/>
    </xf>
    <xf numFmtId="0" fontId="20" fillId="2" borderId="5" xfId="0" applyFont="1" applyFill="1" applyBorder="1" applyAlignment="1">
      <alignment horizontal="center" vertical="center" shrinkToFit="1" readingOrder="1"/>
    </xf>
    <xf numFmtId="0" fontId="20" fillId="2" borderId="30" xfId="0" applyFont="1" applyFill="1" applyBorder="1" applyAlignment="1">
      <alignment horizontal="center" vertical="center" shrinkToFit="1" readingOrder="1"/>
    </xf>
    <xf numFmtId="0" fontId="20" fillId="2" borderId="15" xfId="0" applyFont="1" applyFill="1" applyBorder="1" applyAlignment="1">
      <alignment horizontal="center" vertical="center" shrinkToFit="1" readingOrder="1"/>
    </xf>
    <xf numFmtId="0" fontId="5" fillId="2" borderId="1" xfId="0" applyFont="1" applyFill="1" applyBorder="1" applyAlignment="1">
      <alignment horizontal="center" vertical="center" shrinkToFit="1" readingOrder="1"/>
    </xf>
    <xf numFmtId="0" fontId="111" fillId="16" borderId="45" xfId="0" applyFont="1" applyFill="1" applyBorder="1" applyAlignment="1">
      <alignment horizontal="center" vertical="center"/>
    </xf>
    <xf numFmtId="0" fontId="111" fillId="16" borderId="46" xfId="0" applyFont="1" applyFill="1" applyBorder="1" applyAlignment="1">
      <alignment horizontal="center" vertical="center"/>
    </xf>
    <xf numFmtId="0" fontId="111" fillId="16" borderId="47" xfId="0" applyFont="1" applyFill="1" applyBorder="1" applyAlignment="1">
      <alignment horizontal="center" vertical="center"/>
    </xf>
    <xf numFmtId="0" fontId="111" fillId="16" borderId="48" xfId="0" applyFont="1" applyFill="1" applyBorder="1" applyAlignment="1">
      <alignment horizontal="center" vertical="center"/>
    </xf>
    <xf numFmtId="0" fontId="111" fillId="16" borderId="49" xfId="0" applyFont="1" applyFill="1" applyBorder="1" applyAlignment="1">
      <alignment horizontal="center" vertical="center"/>
    </xf>
    <xf numFmtId="0" fontId="111" fillId="16" borderId="50" xfId="0" applyFont="1" applyFill="1" applyBorder="1" applyAlignment="1">
      <alignment horizontal="center" vertical="center"/>
    </xf>
    <xf numFmtId="0" fontId="111" fillId="16" borderId="45" xfId="0" applyFont="1" applyFill="1" applyBorder="1" applyAlignment="1">
      <alignment horizontal="center" vertical="center" shrinkToFit="1"/>
    </xf>
    <xf numFmtId="0" fontId="111" fillId="16" borderId="46" xfId="0" applyFont="1" applyFill="1" applyBorder="1" applyAlignment="1">
      <alignment horizontal="center" vertical="center" shrinkToFit="1"/>
    </xf>
    <xf numFmtId="0" fontId="111" fillId="16" borderId="47" xfId="0" applyFont="1" applyFill="1" applyBorder="1" applyAlignment="1">
      <alignment horizontal="center" vertical="center" shrinkToFit="1"/>
    </xf>
    <xf numFmtId="0" fontId="111" fillId="16" borderId="48" xfId="0" applyFont="1" applyFill="1" applyBorder="1" applyAlignment="1">
      <alignment horizontal="center" vertical="center" shrinkToFit="1"/>
    </xf>
    <xf numFmtId="0" fontId="111" fillId="16" borderId="49" xfId="0" applyFont="1" applyFill="1" applyBorder="1" applyAlignment="1">
      <alignment horizontal="center" vertical="center" shrinkToFit="1"/>
    </xf>
    <xf numFmtId="0" fontId="111" fillId="16" borderId="50" xfId="0" applyFont="1" applyFill="1" applyBorder="1" applyAlignment="1">
      <alignment horizontal="center" vertical="center" shrinkToFit="1"/>
    </xf>
    <xf numFmtId="0" fontId="44" fillId="2" borderId="0" xfId="0" applyFont="1" applyFill="1" applyAlignment="1">
      <alignment horizontal="center" vertical="center"/>
    </xf>
    <xf numFmtId="189" fontId="5" fillId="2" borderId="1" xfId="0" applyNumberFormat="1" applyFont="1" applyFill="1" applyBorder="1" applyAlignment="1">
      <alignment horizontal="center" vertical="center" shrinkToFit="1" readingOrder="1"/>
    </xf>
    <xf numFmtId="189" fontId="5" fillId="2" borderId="7" xfId="0" applyNumberFormat="1" applyFont="1" applyFill="1" applyBorder="1" applyAlignment="1">
      <alignment horizontal="center" vertical="center" shrinkToFit="1" readingOrder="1"/>
    </xf>
    <xf numFmtId="185" fontId="5" fillId="4" borderId="1" xfId="0" applyNumberFormat="1" applyFont="1" applyFill="1" applyBorder="1" applyAlignment="1">
      <alignment horizontal="center" vertical="center" shrinkToFit="1" readingOrder="1"/>
    </xf>
    <xf numFmtId="188" fontId="5" fillId="2" borderId="1" xfId="0" applyNumberFormat="1" applyFont="1" applyFill="1" applyBorder="1" applyAlignment="1">
      <alignment horizontal="center" vertical="center" shrinkToFit="1" readingOrder="1"/>
    </xf>
    <xf numFmtId="179" fontId="5" fillId="3" borderId="1" xfId="0" applyNumberFormat="1" applyFont="1" applyFill="1" applyBorder="1" applyAlignment="1">
      <alignment horizontal="center" vertical="center" shrinkToFit="1" readingOrder="1"/>
    </xf>
    <xf numFmtId="0" fontId="9" fillId="2" borderId="0" xfId="0" applyFont="1" applyFill="1" applyAlignment="1">
      <alignment horizontal="center" vertical="center"/>
    </xf>
    <xf numFmtId="179" fontId="46" fillId="2" borderId="51" xfId="0" applyNumberFormat="1" applyFont="1" applyFill="1" applyBorder="1" applyAlignment="1">
      <alignment horizontal="center" vertical="center"/>
    </xf>
    <xf numFmtId="179" fontId="46" fillId="2" borderId="52" xfId="0" applyNumberFormat="1" applyFont="1" applyFill="1" applyBorder="1" applyAlignment="1">
      <alignment horizontal="center" vertical="center"/>
    </xf>
    <xf numFmtId="179" fontId="46" fillId="2" borderId="53" xfId="0" applyNumberFormat="1" applyFont="1" applyFill="1" applyBorder="1" applyAlignment="1">
      <alignment horizontal="center" vertical="center"/>
    </xf>
    <xf numFmtId="179" fontId="46" fillId="2" borderId="54" xfId="0" applyNumberFormat="1" applyFont="1" applyFill="1" applyBorder="1" applyAlignment="1">
      <alignment horizontal="center" vertical="center"/>
    </xf>
    <xf numFmtId="179" fontId="46" fillId="2" borderId="55" xfId="0" applyNumberFormat="1" applyFont="1" applyFill="1" applyBorder="1" applyAlignment="1">
      <alignment horizontal="center" vertical="center"/>
    </xf>
    <xf numFmtId="179" fontId="46" fillId="2" borderId="56" xfId="0" applyNumberFormat="1" applyFont="1" applyFill="1" applyBorder="1" applyAlignment="1">
      <alignment horizontal="center" vertical="center"/>
    </xf>
    <xf numFmtId="0" fontId="47" fillId="2" borderId="0" xfId="0" applyFont="1" applyFill="1" applyAlignment="1">
      <alignment horizontal="center" vertical="top"/>
    </xf>
    <xf numFmtId="189" fontId="102" fillId="2" borderId="0" xfId="0" applyNumberFormat="1" applyFont="1" applyFill="1" applyAlignment="1">
      <alignment horizontal="center" vertical="center"/>
    </xf>
    <xf numFmtId="179" fontId="48" fillId="2" borderId="51" xfId="0" applyNumberFormat="1" applyFont="1" applyFill="1" applyBorder="1" applyAlignment="1">
      <alignment horizontal="center" vertical="center"/>
    </xf>
    <xf numFmtId="179" fontId="48" fillId="2" borderId="52" xfId="0" applyNumberFormat="1" applyFont="1" applyFill="1" applyBorder="1" applyAlignment="1">
      <alignment horizontal="center" vertical="center"/>
    </xf>
    <xf numFmtId="179" fontId="48" fillId="2" borderId="53" xfId="0" applyNumberFormat="1" applyFont="1" applyFill="1" applyBorder="1" applyAlignment="1">
      <alignment horizontal="center" vertical="center"/>
    </xf>
    <xf numFmtId="179" fontId="48" fillId="2" borderId="54" xfId="0" applyNumberFormat="1" applyFont="1" applyFill="1" applyBorder="1" applyAlignment="1">
      <alignment horizontal="center" vertical="center"/>
    </xf>
    <xf numFmtId="179" fontId="48" fillId="2" borderId="55" xfId="0" applyNumberFormat="1" applyFont="1" applyFill="1" applyBorder="1" applyAlignment="1">
      <alignment horizontal="center" vertical="center"/>
    </xf>
    <xf numFmtId="179" fontId="48" fillId="2" borderId="56" xfId="0" applyNumberFormat="1" applyFont="1" applyFill="1" applyBorder="1" applyAlignment="1">
      <alignment horizontal="center" vertical="center"/>
    </xf>
    <xf numFmtId="0" fontId="9" fillId="15" borderId="51" xfId="0" applyFont="1" applyFill="1" applyBorder="1" applyAlignment="1">
      <alignment horizontal="center" vertical="center"/>
    </xf>
    <xf numFmtId="0" fontId="9" fillId="15" borderId="52" xfId="0" applyFont="1" applyFill="1" applyBorder="1" applyAlignment="1">
      <alignment horizontal="center" vertical="center"/>
    </xf>
    <xf numFmtId="0" fontId="9" fillId="15" borderId="53" xfId="0" applyFont="1" applyFill="1" applyBorder="1" applyAlignment="1">
      <alignment horizontal="center" vertical="center"/>
    </xf>
    <xf numFmtId="0" fontId="9" fillId="15" borderId="54" xfId="0" applyFont="1" applyFill="1" applyBorder="1" applyAlignment="1">
      <alignment horizontal="center" vertical="center"/>
    </xf>
    <xf numFmtId="0" fontId="9" fillId="15" borderId="55" xfId="0" applyFont="1" applyFill="1" applyBorder="1" applyAlignment="1">
      <alignment horizontal="center" vertical="center"/>
    </xf>
    <xf numFmtId="0" fontId="9" fillId="15" borderId="56" xfId="0" applyFont="1" applyFill="1" applyBorder="1" applyAlignment="1">
      <alignment horizontal="center" vertical="center"/>
    </xf>
    <xf numFmtId="0" fontId="9" fillId="15" borderId="51" xfId="0" applyFont="1" applyFill="1" applyBorder="1" applyAlignment="1">
      <alignment horizontal="center" vertical="center" shrinkToFit="1"/>
    </xf>
    <xf numFmtId="0" fontId="9" fillId="15" borderId="52" xfId="0" applyFont="1" applyFill="1" applyBorder="1" applyAlignment="1">
      <alignment horizontal="center" vertical="center" shrinkToFit="1"/>
    </xf>
    <xf numFmtId="0" fontId="9" fillId="15" borderId="53" xfId="0" applyFont="1" applyFill="1" applyBorder="1" applyAlignment="1">
      <alignment horizontal="center" vertical="center" shrinkToFit="1"/>
    </xf>
    <xf numFmtId="0" fontId="9" fillId="15" borderId="54" xfId="0" applyFont="1" applyFill="1" applyBorder="1" applyAlignment="1">
      <alignment horizontal="center" vertical="center" shrinkToFit="1"/>
    </xf>
    <xf numFmtId="0" fontId="9" fillId="15" borderId="55" xfId="0" applyFont="1" applyFill="1" applyBorder="1" applyAlignment="1">
      <alignment horizontal="center" vertical="center" shrinkToFit="1"/>
    </xf>
    <xf numFmtId="0" fontId="9" fillId="15" borderId="56" xfId="0" applyFont="1" applyFill="1" applyBorder="1" applyAlignment="1">
      <alignment horizontal="center" vertical="center" shrinkToFit="1"/>
    </xf>
    <xf numFmtId="0" fontId="47" fillId="2" borderId="0" xfId="0" applyFont="1" applyFill="1" applyAlignment="1">
      <alignment horizontal="center" vertical="center"/>
    </xf>
    <xf numFmtId="0" fontId="12" fillId="2" borderId="8" xfId="0" applyFont="1" applyFill="1" applyBorder="1" applyAlignment="1">
      <alignment horizontal="left" vertical="center"/>
    </xf>
    <xf numFmtId="0" fontId="12" fillId="2" borderId="106" xfId="0" applyFont="1" applyFill="1" applyBorder="1" applyAlignment="1">
      <alignment horizontal="left" vertical="center"/>
    </xf>
    <xf numFmtId="0" fontId="12" fillId="2" borderId="107" xfId="0" applyFont="1" applyFill="1" applyBorder="1" applyAlignment="1">
      <alignment horizontal="left" vertical="center"/>
    </xf>
    <xf numFmtId="0" fontId="12" fillId="2" borderId="12" xfId="0" applyFont="1" applyFill="1" applyBorder="1" applyAlignment="1">
      <alignment horizontal="left" vertical="center"/>
    </xf>
    <xf numFmtId="0" fontId="12" fillId="2" borderId="108" xfId="0" applyFont="1" applyFill="1" applyBorder="1" applyAlignment="1">
      <alignment horizontal="left" vertical="center"/>
    </xf>
    <xf numFmtId="0" fontId="12" fillId="2" borderId="109" xfId="0" applyFont="1" applyFill="1" applyBorder="1" applyAlignment="1">
      <alignment horizontal="left" vertical="center"/>
    </xf>
    <xf numFmtId="0" fontId="12" fillId="2" borderId="7" xfId="0" applyFont="1" applyFill="1" applyBorder="1" applyAlignment="1">
      <alignment horizontal="left" vertical="center"/>
    </xf>
    <xf numFmtId="0" fontId="12" fillId="2" borderId="118" xfId="0" applyFont="1" applyFill="1" applyBorder="1" applyAlignment="1">
      <alignment horizontal="left" vertical="center"/>
    </xf>
    <xf numFmtId="0" fontId="12" fillId="2" borderId="119" xfId="0" applyFont="1" applyFill="1" applyBorder="1" applyAlignment="1">
      <alignment horizontal="left" vertical="center"/>
    </xf>
    <xf numFmtId="179" fontId="5" fillId="2" borderId="0" xfId="0" applyNumberFormat="1" applyFont="1" applyFill="1" applyAlignment="1">
      <alignment horizontal="center" vertical="center" shrinkToFit="1" readingOrder="1"/>
    </xf>
    <xf numFmtId="179" fontId="5" fillId="2" borderId="13" xfId="0" applyNumberFormat="1" applyFont="1" applyFill="1" applyBorder="1" applyAlignment="1">
      <alignment horizontal="center" vertical="center" shrinkToFit="1" readingOrder="1"/>
    </xf>
    <xf numFmtId="176" fontId="7" fillId="2" borderId="4" xfId="2" applyNumberFormat="1" applyFont="1" applyFill="1" applyBorder="1" applyAlignment="1">
      <alignment horizontal="center" vertical="center"/>
    </xf>
    <xf numFmtId="176" fontId="7" fillId="2" borderId="2" xfId="2" applyNumberFormat="1" applyFont="1" applyFill="1" applyBorder="1" applyAlignment="1">
      <alignment horizontal="center" vertical="center"/>
    </xf>
    <xf numFmtId="179" fontId="51" fillId="5" borderId="66" xfId="0" applyNumberFormat="1" applyFont="1" applyFill="1" applyBorder="1" applyAlignment="1">
      <alignment horizontal="center" vertical="center"/>
    </xf>
    <xf numFmtId="0" fontId="51" fillId="5" borderId="67" xfId="0" applyFont="1" applyFill="1" applyBorder="1" applyAlignment="1">
      <alignment horizontal="center" vertical="center"/>
    </xf>
    <xf numFmtId="0" fontId="51" fillId="5" borderId="68" xfId="0" applyFont="1" applyFill="1" applyBorder="1" applyAlignment="1">
      <alignment horizontal="center" vertical="center"/>
    </xf>
    <xf numFmtId="0" fontId="51" fillId="5" borderId="69" xfId="0" applyFont="1" applyFill="1" applyBorder="1" applyAlignment="1">
      <alignment horizontal="center" vertical="center"/>
    </xf>
    <xf numFmtId="0" fontId="51" fillId="5" borderId="70" xfId="0" applyFont="1" applyFill="1" applyBorder="1" applyAlignment="1">
      <alignment horizontal="center" vertical="center"/>
    </xf>
    <xf numFmtId="0" fontId="51" fillId="5" borderId="71" xfId="0" applyFont="1" applyFill="1" applyBorder="1" applyAlignment="1">
      <alignment horizontal="center" vertical="center"/>
    </xf>
    <xf numFmtId="0" fontId="14" fillId="16" borderId="62" xfId="0" applyFont="1" applyFill="1" applyBorder="1" applyAlignment="1">
      <alignment horizontal="center" vertical="center"/>
    </xf>
    <xf numFmtId="0" fontId="14" fillId="16" borderId="63" xfId="0" applyFont="1" applyFill="1" applyBorder="1" applyAlignment="1">
      <alignment horizontal="center" vertical="center"/>
    </xf>
    <xf numFmtId="0" fontId="14" fillId="16" borderId="64" xfId="0" applyFont="1" applyFill="1" applyBorder="1" applyAlignment="1">
      <alignment horizontal="center" vertical="center"/>
    </xf>
    <xf numFmtId="0" fontId="42" fillId="2" borderId="0" xfId="0" applyFont="1" applyFill="1" applyAlignment="1">
      <alignment horizontal="center" vertical="center" shrinkToFit="1"/>
    </xf>
    <xf numFmtId="0" fontId="42" fillId="2" borderId="72" xfId="0" applyFont="1" applyFill="1" applyBorder="1" applyAlignment="1">
      <alignment horizontal="center" vertical="center" shrinkToFit="1"/>
    </xf>
    <xf numFmtId="0" fontId="5" fillId="2" borderId="6" xfId="0" applyFont="1" applyFill="1" applyBorder="1" applyAlignment="1">
      <alignment horizontal="center" vertical="center" shrinkToFit="1" readingOrder="1"/>
    </xf>
    <xf numFmtId="0" fontId="6" fillId="2" borderId="120" xfId="0" applyFont="1" applyFill="1" applyBorder="1" applyAlignment="1">
      <alignment horizontal="center" vertical="center" shrinkToFit="1" readingOrder="1"/>
    </xf>
    <xf numFmtId="0" fontId="6" fillId="2" borderId="121" xfId="0" applyFont="1" applyFill="1" applyBorder="1" applyAlignment="1">
      <alignment horizontal="center" vertical="center" shrinkToFit="1" readingOrder="1"/>
    </xf>
    <xf numFmtId="0" fontId="6" fillId="2" borderId="122" xfId="0" applyFont="1" applyFill="1" applyBorder="1" applyAlignment="1">
      <alignment horizontal="center" vertical="center" shrinkToFit="1" readingOrder="1"/>
    </xf>
    <xf numFmtId="0" fontId="6" fillId="2" borderId="6" xfId="0" applyFont="1" applyFill="1" applyBorder="1" applyAlignment="1">
      <alignment horizontal="center" vertical="center" shrinkToFit="1" readingOrder="1"/>
    </xf>
    <xf numFmtId="179" fontId="5" fillId="3" borderId="6" xfId="0" applyNumberFormat="1" applyFont="1" applyFill="1" applyBorder="1" applyAlignment="1">
      <alignment horizontal="center" vertical="center" shrinkToFit="1" readingOrder="1"/>
    </xf>
    <xf numFmtId="0" fontId="9" fillId="16" borderId="46" xfId="0" applyFont="1" applyFill="1" applyBorder="1" applyAlignment="1">
      <alignment horizontal="center" vertical="center"/>
    </xf>
    <xf numFmtId="0" fontId="9" fillId="16" borderId="0" xfId="0" applyFont="1" applyFill="1" applyAlignment="1">
      <alignment horizontal="center" vertical="center"/>
    </xf>
    <xf numFmtId="179" fontId="19" fillId="3" borderId="11" xfId="0" applyNumberFormat="1" applyFont="1" applyFill="1" applyBorder="1" applyAlignment="1">
      <alignment horizontal="center" vertical="center" shrinkToFit="1"/>
    </xf>
    <xf numFmtId="179" fontId="19" fillId="3" borderId="10" xfId="0" applyNumberFormat="1" applyFont="1" applyFill="1" applyBorder="1" applyAlignment="1">
      <alignment horizontal="center" vertical="center" shrinkToFit="1"/>
    </xf>
    <xf numFmtId="179" fontId="49" fillId="2" borderId="0" xfId="0" applyNumberFormat="1" applyFont="1" applyFill="1" applyAlignment="1">
      <alignment horizontal="center" vertical="center" shrinkToFit="1"/>
    </xf>
    <xf numFmtId="179" fontId="49" fillId="2" borderId="13" xfId="0" applyNumberFormat="1" applyFont="1" applyFill="1" applyBorder="1" applyAlignment="1">
      <alignment horizontal="center" vertical="center" shrinkToFit="1"/>
    </xf>
    <xf numFmtId="179" fontId="39" fillId="2" borderId="45" xfId="0" applyNumberFormat="1" applyFont="1" applyFill="1" applyBorder="1" applyAlignment="1">
      <alignment horizontal="center" vertical="center"/>
    </xf>
    <xf numFmtId="179" fontId="39" fillId="2" borderId="46" xfId="0" applyNumberFormat="1" applyFont="1" applyFill="1" applyBorder="1" applyAlignment="1">
      <alignment horizontal="center" vertical="center"/>
    </xf>
    <xf numFmtId="179" fontId="39" fillId="2" borderId="47" xfId="0" applyNumberFormat="1" applyFont="1" applyFill="1" applyBorder="1" applyAlignment="1">
      <alignment horizontal="center" vertical="center"/>
    </xf>
    <xf numFmtId="179" fontId="39" fillId="2" borderId="48" xfId="0" applyNumberFormat="1" applyFont="1" applyFill="1" applyBorder="1" applyAlignment="1">
      <alignment horizontal="center" vertical="center"/>
    </xf>
    <xf numFmtId="179" fontId="39" fillId="2" borderId="49" xfId="0" applyNumberFormat="1" applyFont="1" applyFill="1" applyBorder="1" applyAlignment="1">
      <alignment horizontal="center" vertical="center"/>
    </xf>
    <xf numFmtId="179" fontId="39" fillId="2" borderId="50" xfId="0" applyNumberFormat="1" applyFont="1" applyFill="1" applyBorder="1" applyAlignment="1">
      <alignment horizontal="center" vertical="center"/>
    </xf>
    <xf numFmtId="176" fontId="7" fillId="2" borderId="1" xfId="2" applyNumberFormat="1" applyFont="1" applyFill="1" applyBorder="1" applyAlignment="1">
      <alignment horizontal="center" vertical="center"/>
    </xf>
    <xf numFmtId="176" fontId="7" fillId="2" borderId="6" xfId="2" applyNumberFormat="1" applyFont="1" applyFill="1" applyBorder="1" applyAlignment="1">
      <alignment horizontal="center" vertical="center"/>
    </xf>
    <xf numFmtId="179" fontId="114" fillId="2" borderId="66" xfId="0" applyNumberFormat="1" applyFont="1" applyFill="1" applyBorder="1" applyAlignment="1">
      <alignment horizontal="center" vertical="center"/>
    </xf>
    <xf numFmtId="179" fontId="114" fillId="2" borderId="67" xfId="0" applyNumberFormat="1" applyFont="1" applyFill="1" applyBorder="1" applyAlignment="1">
      <alignment horizontal="center" vertical="center"/>
    </xf>
    <xf numFmtId="179" fontId="114" fillId="2" borderId="68" xfId="0" applyNumberFormat="1" applyFont="1" applyFill="1" applyBorder="1" applyAlignment="1">
      <alignment horizontal="center" vertical="center"/>
    </xf>
    <xf numFmtId="179" fontId="114" fillId="2" borderId="69" xfId="0" applyNumberFormat="1" applyFont="1" applyFill="1" applyBorder="1" applyAlignment="1">
      <alignment horizontal="center" vertical="center"/>
    </xf>
    <xf numFmtId="179" fontId="114" fillId="2" borderId="70" xfId="0" applyNumberFormat="1" applyFont="1" applyFill="1" applyBorder="1" applyAlignment="1">
      <alignment horizontal="center" vertical="center"/>
    </xf>
    <xf numFmtId="179" fontId="114" fillId="2" borderId="71" xfId="0" applyNumberFormat="1" applyFont="1" applyFill="1" applyBorder="1" applyAlignment="1">
      <alignment horizontal="center" vertical="center"/>
    </xf>
    <xf numFmtId="0" fontId="49" fillId="2" borderId="73" xfId="0" applyFont="1" applyFill="1" applyBorder="1" applyAlignment="1">
      <alignment horizontal="center" vertical="center"/>
    </xf>
    <xf numFmtId="0" fontId="49" fillId="2" borderId="0" xfId="0" applyFont="1" applyFill="1" applyAlignment="1">
      <alignment horizontal="center" vertical="center"/>
    </xf>
    <xf numFmtId="0" fontId="49" fillId="2" borderId="72" xfId="0" applyFont="1" applyFill="1" applyBorder="1" applyAlignment="1">
      <alignment horizontal="center" vertical="center"/>
    </xf>
    <xf numFmtId="176" fontId="39" fillId="2" borderId="1" xfId="2" applyNumberFormat="1" applyFont="1" applyFill="1" applyBorder="1" applyAlignment="1">
      <alignment horizontal="center" vertical="center"/>
    </xf>
    <xf numFmtId="176" fontId="39" fillId="2" borderId="4" xfId="2" applyNumberFormat="1" applyFont="1" applyFill="1" applyBorder="1" applyAlignment="1">
      <alignment horizontal="center" vertical="center"/>
    </xf>
    <xf numFmtId="0" fontId="49" fillId="2" borderId="57" xfId="0" applyFont="1" applyFill="1" applyBorder="1" applyAlignment="1">
      <alignment horizontal="center" vertical="center"/>
    </xf>
    <xf numFmtId="0" fontId="49" fillId="2" borderId="58" xfId="0" applyFont="1" applyFill="1" applyBorder="1" applyAlignment="1">
      <alignment horizontal="center" vertical="center"/>
    </xf>
    <xf numFmtId="0" fontId="9" fillId="15" borderId="0" xfId="0" applyFont="1" applyFill="1" applyAlignment="1">
      <alignment horizontal="center" vertical="center"/>
    </xf>
    <xf numFmtId="0" fontId="9" fillId="11" borderId="67" xfId="0" applyFont="1" applyFill="1" applyBorder="1" applyAlignment="1">
      <alignment horizontal="center" vertical="center"/>
    </xf>
    <xf numFmtId="0" fontId="9" fillId="11" borderId="0" xfId="0" applyFont="1" applyFill="1" applyAlignment="1">
      <alignment horizontal="center" vertical="center"/>
    </xf>
    <xf numFmtId="0" fontId="14" fillId="15" borderId="59" xfId="0" applyFont="1" applyFill="1" applyBorder="1" applyAlignment="1">
      <alignment horizontal="center" vertical="center"/>
    </xf>
    <xf numFmtId="0" fontId="14" fillId="15" borderId="60" xfId="0" applyFont="1" applyFill="1" applyBorder="1" applyAlignment="1">
      <alignment horizontal="center" vertical="center"/>
    </xf>
    <xf numFmtId="0" fontId="14" fillId="15" borderId="61" xfId="0" applyFont="1" applyFill="1" applyBorder="1" applyAlignment="1">
      <alignment horizontal="center" vertical="center"/>
    </xf>
    <xf numFmtId="179" fontId="113" fillId="2" borderId="51" xfId="0" applyNumberFormat="1" applyFont="1" applyFill="1" applyBorder="1" applyAlignment="1">
      <alignment horizontal="center" vertical="center"/>
    </xf>
    <xf numFmtId="179" fontId="113" fillId="2" borderId="52" xfId="0" applyNumberFormat="1" applyFont="1" applyFill="1" applyBorder="1" applyAlignment="1">
      <alignment horizontal="center" vertical="center"/>
    </xf>
    <xf numFmtId="179" fontId="113" fillId="2" borderId="53" xfId="0" applyNumberFormat="1" applyFont="1" applyFill="1" applyBorder="1" applyAlignment="1">
      <alignment horizontal="center" vertical="center"/>
    </xf>
    <xf numFmtId="179" fontId="113" fillId="2" borderId="54" xfId="0" applyNumberFormat="1" applyFont="1" applyFill="1" applyBorder="1" applyAlignment="1">
      <alignment horizontal="center" vertical="center"/>
    </xf>
    <xf numFmtId="179" fontId="113" fillId="2" borderId="55" xfId="0" applyNumberFormat="1" applyFont="1" applyFill="1" applyBorder="1" applyAlignment="1">
      <alignment horizontal="center" vertical="center"/>
    </xf>
    <xf numFmtId="179" fontId="113" fillId="2" borderId="56" xfId="0" applyNumberFormat="1" applyFont="1" applyFill="1" applyBorder="1" applyAlignment="1">
      <alignment horizontal="center" vertical="center"/>
    </xf>
    <xf numFmtId="0" fontId="24" fillId="2" borderId="3" xfId="0" applyFont="1" applyFill="1" applyBorder="1" applyAlignment="1">
      <alignment horizontal="center" vertical="center"/>
    </xf>
    <xf numFmtId="179" fontId="112" fillId="2" borderId="66" xfId="0" applyNumberFormat="1" applyFont="1" applyFill="1" applyBorder="1" applyAlignment="1">
      <alignment horizontal="center" vertical="center"/>
    </xf>
    <xf numFmtId="179" fontId="112" fillId="2" borderId="67" xfId="0" applyNumberFormat="1" applyFont="1" applyFill="1" applyBorder="1" applyAlignment="1">
      <alignment horizontal="center" vertical="center"/>
    </xf>
    <xf numFmtId="179" fontId="112" fillId="2" borderId="68" xfId="0" applyNumberFormat="1" applyFont="1" applyFill="1" applyBorder="1" applyAlignment="1">
      <alignment horizontal="center" vertical="center"/>
    </xf>
    <xf numFmtId="179" fontId="112" fillId="2" borderId="69" xfId="0" applyNumberFormat="1" applyFont="1" applyFill="1" applyBorder="1" applyAlignment="1">
      <alignment horizontal="center" vertical="center"/>
    </xf>
    <xf numFmtId="179" fontId="112" fillId="2" borderId="70" xfId="0" applyNumberFormat="1" applyFont="1" applyFill="1" applyBorder="1" applyAlignment="1">
      <alignment horizontal="center" vertical="center"/>
    </xf>
    <xf numFmtId="179" fontId="112" fillId="2" borderId="71" xfId="0" applyNumberFormat="1" applyFont="1" applyFill="1" applyBorder="1" applyAlignment="1">
      <alignment horizontal="center" vertical="center"/>
    </xf>
    <xf numFmtId="0" fontId="64" fillId="2" borderId="0" xfId="0" applyFont="1" applyFill="1" applyAlignment="1">
      <alignment horizontal="center" vertical="center"/>
    </xf>
    <xf numFmtId="179" fontId="51" fillId="2" borderId="66" xfId="0" applyNumberFormat="1" applyFont="1" applyFill="1" applyBorder="1" applyAlignment="1">
      <alignment horizontal="center" vertical="center"/>
    </xf>
    <xf numFmtId="179" fontId="51" fillId="2" borderId="67" xfId="0" applyNumberFormat="1" applyFont="1" applyFill="1" applyBorder="1" applyAlignment="1">
      <alignment horizontal="center" vertical="center"/>
    </xf>
    <xf numFmtId="179" fontId="51" fillId="2" borderId="68" xfId="0" applyNumberFormat="1" applyFont="1" applyFill="1" applyBorder="1" applyAlignment="1">
      <alignment horizontal="center" vertical="center"/>
    </xf>
    <xf numFmtId="179" fontId="51" fillId="2" borderId="69" xfId="0" applyNumberFormat="1" applyFont="1" applyFill="1" applyBorder="1" applyAlignment="1">
      <alignment horizontal="center" vertical="center"/>
    </xf>
    <xf numFmtId="179" fontId="51" fillId="2" borderId="70" xfId="0" applyNumberFormat="1" applyFont="1" applyFill="1" applyBorder="1" applyAlignment="1">
      <alignment horizontal="center" vertical="center"/>
    </xf>
    <xf numFmtId="179" fontId="51" fillId="2" borderId="71" xfId="0" applyNumberFormat="1" applyFont="1" applyFill="1" applyBorder="1" applyAlignment="1">
      <alignment horizontal="center" vertical="center"/>
    </xf>
    <xf numFmtId="183" fontId="31" fillId="2" borderId="38" xfId="1" applyNumberFormat="1" applyFont="1" applyFill="1" applyBorder="1" applyAlignment="1">
      <alignment horizontal="right" vertical="center" shrinkToFit="1"/>
    </xf>
    <xf numFmtId="183" fontId="31" fillId="2" borderId="39" xfId="1" applyNumberFormat="1" applyFont="1" applyFill="1" applyBorder="1" applyAlignment="1">
      <alignment horizontal="right" vertical="center" shrinkToFit="1"/>
    </xf>
    <xf numFmtId="38" fontId="31" fillId="14" borderId="27" xfId="1" applyFont="1" applyFill="1" applyBorder="1" applyAlignment="1">
      <alignment horizontal="right" vertical="center"/>
    </xf>
    <xf numFmtId="0" fontId="31" fillId="10" borderId="25" xfId="0" applyFont="1" applyFill="1" applyBorder="1" applyAlignment="1">
      <alignment horizontal="center" vertical="center" shrinkToFit="1"/>
    </xf>
    <xf numFmtId="0" fontId="31" fillId="10" borderId="26" xfId="0" applyFont="1" applyFill="1" applyBorder="1" applyAlignment="1">
      <alignment horizontal="center" vertical="center" shrinkToFit="1"/>
    </xf>
    <xf numFmtId="0" fontId="31" fillId="10" borderId="24" xfId="0" applyFont="1" applyFill="1" applyBorder="1" applyAlignment="1">
      <alignment horizontal="center" vertical="center" shrinkToFit="1"/>
    </xf>
    <xf numFmtId="0" fontId="30" fillId="11" borderId="0" xfId="0" applyFont="1" applyFill="1" applyAlignment="1">
      <alignment horizontal="center" vertical="center"/>
    </xf>
    <xf numFmtId="0" fontId="32" fillId="2" borderId="0" xfId="0" applyFont="1" applyFill="1" applyAlignment="1">
      <alignment horizontal="center" vertical="center"/>
    </xf>
    <xf numFmtId="0" fontId="32" fillId="2" borderId="16" xfId="0" applyFont="1" applyFill="1" applyBorder="1" applyAlignment="1">
      <alignment horizontal="center" vertical="center"/>
    </xf>
    <xf numFmtId="183" fontId="31" fillId="2" borderId="41" xfId="0" applyNumberFormat="1" applyFont="1" applyFill="1" applyBorder="1" applyAlignment="1">
      <alignment horizontal="center" vertical="center" shrinkToFit="1"/>
    </xf>
    <xf numFmtId="183" fontId="31" fillId="2" borderId="42" xfId="0" applyNumberFormat="1" applyFont="1" applyFill="1" applyBorder="1" applyAlignment="1">
      <alignment horizontal="center" vertical="center" shrinkToFit="1"/>
    </xf>
    <xf numFmtId="183" fontId="31" fillId="2" borderId="40" xfId="1" applyNumberFormat="1" applyFont="1" applyFill="1" applyBorder="1" applyAlignment="1">
      <alignment horizontal="right" vertical="center" shrinkToFit="1"/>
    </xf>
    <xf numFmtId="0" fontId="65" fillId="14" borderId="86" xfId="0" applyFont="1" applyFill="1" applyBorder="1" applyAlignment="1">
      <alignment horizontal="right" vertical="center"/>
    </xf>
    <xf numFmtId="0" fontId="65" fillId="14" borderId="92" xfId="0" applyFont="1" applyFill="1" applyBorder="1" applyAlignment="1">
      <alignment horizontal="right" vertical="center"/>
    </xf>
    <xf numFmtId="179" fontId="60" fillId="14" borderId="93" xfId="0" applyNumberFormat="1" applyFont="1" applyFill="1" applyBorder="1" applyAlignment="1">
      <alignment horizontal="right" vertical="center"/>
    </xf>
    <xf numFmtId="179" fontId="60" fillId="14" borderId="95" xfId="0" applyNumberFormat="1" applyFont="1" applyFill="1" applyBorder="1" applyAlignment="1">
      <alignment horizontal="right" vertical="center"/>
    </xf>
    <xf numFmtId="0" fontId="60" fillId="14" borderId="94" xfId="0" applyFont="1" applyFill="1" applyBorder="1" applyAlignment="1">
      <alignment horizontal="center" vertical="center"/>
    </xf>
    <xf numFmtId="0" fontId="60" fillId="14" borderId="96" xfId="0" applyFont="1" applyFill="1" applyBorder="1" applyAlignment="1">
      <alignment horizontal="center" vertical="center"/>
    </xf>
    <xf numFmtId="0" fontId="65" fillId="14" borderId="86" xfId="0" applyFont="1" applyFill="1" applyBorder="1" applyAlignment="1">
      <alignment horizontal="right" vertical="center" shrinkToFit="1"/>
    </xf>
    <xf numFmtId="0" fontId="65" fillId="14" borderId="89" xfId="0" applyFont="1" applyFill="1" applyBorder="1" applyAlignment="1">
      <alignment horizontal="right" vertical="center" shrinkToFit="1"/>
    </xf>
    <xf numFmtId="179" fontId="60" fillId="14" borderId="87" xfId="1" applyNumberFormat="1" applyFont="1" applyFill="1" applyBorder="1" applyAlignment="1">
      <alignment horizontal="center" vertical="center" shrinkToFit="1"/>
    </xf>
    <xf numFmtId="179" fontId="60" fillId="14" borderId="88" xfId="1" applyNumberFormat="1" applyFont="1" applyFill="1" applyBorder="1" applyAlignment="1">
      <alignment horizontal="center" vertical="center" shrinkToFit="1"/>
    </xf>
    <xf numFmtId="179" fontId="60" fillId="14" borderId="90" xfId="1" applyNumberFormat="1" applyFont="1" applyFill="1" applyBorder="1" applyAlignment="1">
      <alignment horizontal="center" vertical="center" shrinkToFit="1"/>
    </xf>
    <xf numFmtId="179" fontId="60" fillId="14" borderId="91" xfId="1" applyNumberFormat="1" applyFont="1" applyFill="1" applyBorder="1" applyAlignment="1">
      <alignment horizontal="center" vertical="center" shrinkToFit="1"/>
    </xf>
    <xf numFmtId="0" fontId="41" fillId="2" borderId="0" xfId="0" applyFont="1" applyFill="1" applyAlignment="1">
      <alignment horizontal="left" vertical="center" shrinkToFit="1"/>
    </xf>
    <xf numFmtId="0" fontId="83" fillId="2" borderId="0" xfId="0" applyFont="1" applyFill="1" applyAlignment="1">
      <alignment horizontal="left" vertical="center" shrinkToFit="1"/>
    </xf>
    <xf numFmtId="183" fontId="32" fillId="2" borderId="35" xfId="1" applyNumberFormat="1" applyFont="1" applyFill="1" applyBorder="1" applyAlignment="1">
      <alignment horizontal="center" vertical="center"/>
    </xf>
    <xf numFmtId="183" fontId="32" fillId="2" borderId="28" xfId="1" applyNumberFormat="1" applyFont="1" applyFill="1" applyBorder="1" applyAlignment="1">
      <alignment horizontal="center" vertical="center"/>
    </xf>
    <xf numFmtId="183" fontId="32" fillId="2" borderId="36" xfId="1" applyNumberFormat="1" applyFont="1" applyFill="1" applyBorder="1" applyAlignment="1">
      <alignment horizontal="center" vertical="center"/>
    </xf>
    <xf numFmtId="0" fontId="32" fillId="10" borderId="25" xfId="0" applyFont="1" applyFill="1" applyBorder="1" applyAlignment="1">
      <alignment horizontal="center" vertical="center"/>
    </xf>
    <xf numFmtId="0" fontId="32" fillId="10" borderId="32" xfId="0" applyFont="1" applyFill="1" applyBorder="1" applyAlignment="1">
      <alignment horizontal="center" vertical="center"/>
    </xf>
    <xf numFmtId="0" fontId="32" fillId="10" borderId="26" xfId="0" applyFont="1" applyFill="1" applyBorder="1" applyAlignment="1">
      <alignment horizontal="center" vertical="center"/>
    </xf>
    <xf numFmtId="183" fontId="31" fillId="2" borderId="35" xfId="0" applyNumberFormat="1" applyFont="1" applyFill="1" applyBorder="1" applyAlignment="1">
      <alignment horizontal="center" vertical="center" shrinkToFit="1"/>
    </xf>
    <xf numFmtId="183" fontId="31" fillId="2" borderId="36" xfId="0" applyNumberFormat="1" applyFont="1" applyFill="1" applyBorder="1" applyAlignment="1">
      <alignment horizontal="center" vertical="center" shrinkToFit="1"/>
    </xf>
    <xf numFmtId="183" fontId="31" fillId="2" borderId="35" xfId="1" applyNumberFormat="1" applyFont="1" applyFill="1" applyBorder="1" applyAlignment="1">
      <alignment horizontal="right" vertical="center" shrinkToFit="1"/>
    </xf>
    <xf numFmtId="183" fontId="31" fillId="2" borderId="36" xfId="1" applyNumberFormat="1" applyFont="1" applyFill="1" applyBorder="1" applyAlignment="1">
      <alignment horizontal="right" vertical="center" shrinkToFit="1"/>
    </xf>
    <xf numFmtId="183" fontId="33" fillId="2" borderId="35" xfId="1" applyNumberFormat="1" applyFont="1" applyFill="1" applyBorder="1" applyAlignment="1">
      <alignment horizontal="right" vertical="center" shrinkToFit="1"/>
    </xf>
    <xf numFmtId="183" fontId="33" fillId="2" borderId="36" xfId="1" applyNumberFormat="1" applyFont="1" applyFill="1" applyBorder="1" applyAlignment="1">
      <alignment horizontal="right" vertical="center" shrinkToFit="1"/>
    </xf>
    <xf numFmtId="0" fontId="30" fillId="9" borderId="0" xfId="0" applyFont="1" applyFill="1" applyAlignment="1">
      <alignment horizontal="center" vertical="center"/>
    </xf>
    <xf numFmtId="183" fontId="31" fillId="2" borderId="38" xfId="0" applyNumberFormat="1" applyFont="1" applyFill="1" applyBorder="1" applyAlignment="1">
      <alignment horizontal="center" vertical="center" shrinkToFit="1"/>
    </xf>
    <xf numFmtId="183" fontId="31" fillId="2" borderId="39" xfId="0" applyNumberFormat="1" applyFont="1" applyFill="1" applyBorder="1" applyAlignment="1">
      <alignment horizontal="center" vertical="center" shrinkToFit="1"/>
    </xf>
    <xf numFmtId="183" fontId="32" fillId="2" borderId="38" xfId="1" applyNumberFormat="1" applyFont="1" applyFill="1" applyBorder="1" applyAlignment="1">
      <alignment horizontal="center" vertical="center"/>
    </xf>
    <xf numFmtId="183" fontId="32" fillId="2" borderId="31" xfId="1" applyNumberFormat="1" applyFont="1" applyFill="1" applyBorder="1" applyAlignment="1">
      <alignment horizontal="center" vertical="center"/>
    </xf>
    <xf numFmtId="183" fontId="32" fillId="2" borderId="39" xfId="1" applyNumberFormat="1" applyFont="1" applyFill="1" applyBorder="1" applyAlignment="1">
      <alignment horizontal="center" vertical="center"/>
    </xf>
    <xf numFmtId="183" fontId="32" fillId="2" borderId="43" xfId="1" applyNumberFormat="1" applyFont="1" applyFill="1" applyBorder="1" applyAlignment="1">
      <alignment horizontal="center" vertical="center"/>
    </xf>
    <xf numFmtId="183" fontId="32" fillId="2" borderId="29" xfId="1" applyNumberFormat="1" applyFont="1" applyFill="1" applyBorder="1" applyAlignment="1">
      <alignment horizontal="center" vertical="center"/>
    </xf>
    <xf numFmtId="183" fontId="32" fillId="2" borderId="44" xfId="1" applyNumberFormat="1" applyFont="1" applyFill="1" applyBorder="1" applyAlignment="1">
      <alignment horizontal="center" vertical="center"/>
    </xf>
    <xf numFmtId="0" fontId="31" fillId="2" borderId="35" xfId="0" applyFont="1" applyFill="1" applyBorder="1" applyAlignment="1">
      <alignment horizontal="left" vertical="center"/>
    </xf>
    <xf numFmtId="0" fontId="31" fillId="2" borderId="28" xfId="0" applyFont="1" applyFill="1" applyBorder="1" applyAlignment="1">
      <alignment horizontal="left" vertical="center"/>
    </xf>
    <xf numFmtId="0" fontId="31" fillId="2" borderId="36" xfId="0" applyFont="1" applyFill="1" applyBorder="1" applyAlignment="1">
      <alignment horizontal="left" vertical="center"/>
    </xf>
    <xf numFmtId="0" fontId="31" fillId="2" borderId="38" xfId="0" applyFont="1" applyFill="1" applyBorder="1" applyAlignment="1">
      <alignment horizontal="left" vertical="center"/>
    </xf>
    <xf numFmtId="0" fontId="31" fillId="2" borderId="31" xfId="0" applyFont="1" applyFill="1" applyBorder="1" applyAlignment="1">
      <alignment horizontal="left" vertical="center"/>
    </xf>
    <xf numFmtId="0" fontId="31" fillId="2" borderId="39" xfId="0" applyFont="1" applyFill="1" applyBorder="1" applyAlignment="1">
      <alignment horizontal="left" vertical="center"/>
    </xf>
    <xf numFmtId="0" fontId="67" fillId="2" borderId="0" xfId="0" applyFont="1" applyFill="1" applyAlignment="1">
      <alignment horizontal="center" vertical="top"/>
    </xf>
    <xf numFmtId="0" fontId="70" fillId="2" borderId="12" xfId="2" applyNumberFormat="1" applyFont="1" applyFill="1" applyBorder="1" applyAlignment="1">
      <alignment horizontal="center" vertical="center" shrinkToFit="1"/>
    </xf>
    <xf numFmtId="0" fontId="70" fillId="2" borderId="108" xfId="2" applyNumberFormat="1" applyFont="1" applyFill="1" applyBorder="1" applyAlignment="1">
      <alignment horizontal="center" vertical="center" shrinkToFit="1"/>
    </xf>
    <xf numFmtId="0" fontId="70" fillId="2" borderId="109" xfId="2" applyNumberFormat="1" applyFont="1" applyFill="1" applyBorder="1" applyAlignment="1">
      <alignment horizontal="center" vertical="center" shrinkToFit="1"/>
    </xf>
    <xf numFmtId="0" fontId="69" fillId="2" borderId="8" xfId="0" applyFont="1" applyFill="1" applyBorder="1" applyAlignment="1">
      <alignment horizontal="center" vertical="center" shrinkToFit="1"/>
    </xf>
    <xf numFmtId="0" fontId="69" fillId="2" borderId="106" xfId="0" applyFont="1" applyFill="1" applyBorder="1" applyAlignment="1">
      <alignment horizontal="center" vertical="center" shrinkToFit="1"/>
    </xf>
    <xf numFmtId="0" fontId="69" fillId="2" borderId="107" xfId="0" applyFont="1" applyFill="1" applyBorder="1" applyAlignment="1">
      <alignment horizontal="center" vertical="center" shrinkToFit="1"/>
    </xf>
    <xf numFmtId="0" fontId="69" fillId="2" borderId="2" xfId="0" applyFont="1" applyFill="1" applyBorder="1" applyAlignment="1">
      <alignment horizontal="center" vertical="center" shrinkToFit="1"/>
    </xf>
    <xf numFmtId="0" fontId="74" fillId="2" borderId="0" xfId="0" applyFont="1" applyFill="1" applyAlignment="1">
      <alignment horizontal="left" vertical="center" shrinkToFit="1"/>
    </xf>
    <xf numFmtId="0" fontId="62" fillId="2" borderId="0" xfId="0" applyFont="1" applyFill="1" applyAlignment="1">
      <alignment horizontal="center" vertical="center" shrinkToFit="1"/>
    </xf>
    <xf numFmtId="0" fontId="62" fillId="2" borderId="16" xfId="0" applyFont="1" applyFill="1" applyBorder="1" applyAlignment="1">
      <alignment horizontal="center" vertical="center" shrinkToFit="1"/>
    </xf>
    <xf numFmtId="0" fontId="61" fillId="10" borderId="5" xfId="0" applyFont="1" applyFill="1" applyBorder="1" applyAlignment="1">
      <alignment horizontal="center" vertical="center" shrinkToFit="1"/>
    </xf>
    <xf numFmtId="0" fontId="61" fillId="10" borderId="15" xfId="0" applyFont="1" applyFill="1" applyBorder="1" applyAlignment="1">
      <alignment horizontal="center" vertical="center" shrinkToFit="1"/>
    </xf>
    <xf numFmtId="0" fontId="69" fillId="2" borderId="7" xfId="0" applyFont="1" applyFill="1" applyBorder="1" applyAlignment="1">
      <alignment horizontal="center" vertical="center" shrinkToFit="1"/>
    </xf>
    <xf numFmtId="0" fontId="69" fillId="2" borderId="119" xfId="0" applyFont="1" applyFill="1" applyBorder="1" applyAlignment="1">
      <alignment horizontal="center" vertical="center" shrinkToFit="1"/>
    </xf>
    <xf numFmtId="179" fontId="68" fillId="18" borderId="99" xfId="1" applyNumberFormat="1" applyFont="1" applyFill="1" applyBorder="1" applyAlignment="1">
      <alignment horizontal="center" vertical="center" shrinkToFit="1"/>
    </xf>
    <xf numFmtId="179" fontId="68" fillId="18" borderId="98" xfId="1" applyNumberFormat="1" applyFont="1" applyFill="1" applyBorder="1" applyAlignment="1">
      <alignment horizontal="center" vertical="center" shrinkToFit="1"/>
    </xf>
    <xf numFmtId="179" fontId="68" fillId="18" borderId="99" xfId="0" applyNumberFormat="1" applyFont="1" applyFill="1" applyBorder="1" applyAlignment="1">
      <alignment horizontal="center" vertical="center" shrinkToFit="1"/>
    </xf>
    <xf numFmtId="179" fontId="68" fillId="18" borderId="98" xfId="0" applyNumberFormat="1" applyFont="1" applyFill="1" applyBorder="1" applyAlignment="1">
      <alignment horizontal="center" vertical="center" shrinkToFit="1"/>
    </xf>
    <xf numFmtId="183" fontId="66" fillId="2" borderId="85" xfId="1" applyNumberFormat="1" applyFont="1" applyFill="1" applyBorder="1" applyAlignment="1">
      <alignment horizontal="right" vertical="center" shrinkToFit="1"/>
    </xf>
    <xf numFmtId="0" fontId="66" fillId="10" borderId="3" xfId="0" applyFont="1" applyFill="1" applyBorder="1" applyAlignment="1">
      <alignment horizontal="center" vertical="center" shrinkToFit="1"/>
    </xf>
    <xf numFmtId="0" fontId="65" fillId="2" borderId="5" xfId="0" applyFont="1" applyFill="1" applyBorder="1" applyAlignment="1">
      <alignment horizontal="center" vertical="center" shrinkToFit="1"/>
    </xf>
    <xf numFmtId="0" fontId="65" fillId="2" borderId="30" xfId="0" applyFont="1" applyFill="1" applyBorder="1" applyAlignment="1">
      <alignment horizontal="center" vertical="center" shrinkToFit="1"/>
    </xf>
    <xf numFmtId="0" fontId="65" fillId="2" borderId="15" xfId="0" applyFont="1" applyFill="1" applyBorder="1" applyAlignment="1">
      <alignment horizontal="center" vertical="center" shrinkToFit="1"/>
    </xf>
    <xf numFmtId="183" fontId="65" fillId="2" borderId="30" xfId="1" applyNumberFormat="1" applyFont="1" applyFill="1" applyBorder="1" applyAlignment="1">
      <alignment horizontal="right" vertical="center" shrinkToFit="1"/>
    </xf>
    <xf numFmtId="183" fontId="65" fillId="2" borderId="15" xfId="1" applyNumberFormat="1" applyFont="1" applyFill="1" applyBorder="1" applyAlignment="1">
      <alignment horizontal="right" vertical="center" shrinkToFit="1"/>
    </xf>
    <xf numFmtId="183" fontId="80" fillId="2" borderId="5" xfId="0" applyNumberFormat="1" applyFont="1" applyFill="1" applyBorder="1" applyAlignment="1">
      <alignment horizontal="center" vertical="center" shrinkToFit="1"/>
    </xf>
    <xf numFmtId="183" fontId="80" fillId="2" borderId="30" xfId="0" applyNumberFormat="1" applyFont="1" applyFill="1" applyBorder="1" applyAlignment="1">
      <alignment horizontal="center" vertical="center" shrinkToFit="1"/>
    </xf>
    <xf numFmtId="183" fontId="80" fillId="2" borderId="15" xfId="0" applyNumberFormat="1" applyFont="1" applyFill="1" applyBorder="1" applyAlignment="1">
      <alignment horizontal="center" vertical="center" shrinkToFit="1"/>
    </xf>
    <xf numFmtId="183" fontId="80" fillId="2" borderId="30" xfId="1" applyNumberFormat="1" applyFont="1" applyFill="1" applyBorder="1" applyAlignment="1">
      <alignment horizontal="right" vertical="center" shrinkToFit="1"/>
    </xf>
    <xf numFmtId="183" fontId="80" fillId="2" borderId="15" xfId="1" applyNumberFormat="1" applyFont="1" applyFill="1" applyBorder="1" applyAlignment="1">
      <alignment horizontal="right" vertical="center" shrinkToFit="1"/>
    </xf>
    <xf numFmtId="38" fontId="65" fillId="2" borderId="84" xfId="1" applyFont="1" applyFill="1" applyBorder="1" applyAlignment="1">
      <alignment horizontal="right" vertical="center"/>
    </xf>
    <xf numFmtId="0" fontId="66" fillId="10" borderId="5" xfId="0" applyFont="1" applyFill="1" applyBorder="1" applyAlignment="1">
      <alignment horizontal="center" vertical="center" shrinkToFit="1"/>
    </xf>
    <xf numFmtId="0" fontId="66" fillId="10" borderId="30" xfId="0" applyFont="1" applyFill="1" applyBorder="1" applyAlignment="1">
      <alignment horizontal="center" vertical="center" shrinkToFit="1"/>
    </xf>
    <xf numFmtId="0" fontId="66" fillId="10" borderId="15" xfId="0" applyFont="1" applyFill="1" applyBorder="1" applyAlignment="1">
      <alignment horizontal="center" vertical="center" shrinkToFit="1"/>
    </xf>
    <xf numFmtId="183" fontId="66" fillId="2" borderId="7" xfId="0" applyNumberFormat="1" applyFont="1" applyFill="1" applyBorder="1" applyAlignment="1">
      <alignment horizontal="center" vertical="center" shrinkToFit="1"/>
    </xf>
    <xf numFmtId="183" fontId="66" fillId="2" borderId="118" xfId="0" applyNumberFormat="1" applyFont="1" applyFill="1" applyBorder="1" applyAlignment="1">
      <alignment horizontal="center" vertical="center" shrinkToFit="1"/>
    </xf>
    <xf numFmtId="183" fontId="66" fillId="2" borderId="119" xfId="0" applyNumberFormat="1" applyFont="1" applyFill="1" applyBorder="1" applyAlignment="1">
      <alignment horizontal="center" vertical="center" shrinkToFit="1"/>
    </xf>
    <xf numFmtId="0" fontId="61" fillId="2" borderId="14" xfId="0" applyFont="1" applyFill="1" applyBorder="1" applyAlignment="1">
      <alignment horizontal="left" vertical="center"/>
    </xf>
    <xf numFmtId="183" fontId="66" fillId="2" borderId="8" xfId="0" applyNumberFormat="1" applyFont="1" applyFill="1" applyBorder="1" applyAlignment="1">
      <alignment horizontal="center" vertical="center" shrinkToFit="1"/>
    </xf>
    <xf numFmtId="183" fontId="66" fillId="2" borderId="106" xfId="0" applyNumberFormat="1" applyFont="1" applyFill="1" applyBorder="1" applyAlignment="1">
      <alignment horizontal="center" vertical="center" shrinkToFit="1"/>
    </xf>
    <xf numFmtId="183" fontId="66" fillId="2" borderId="107" xfId="0" applyNumberFormat="1" applyFont="1" applyFill="1" applyBorder="1" applyAlignment="1">
      <alignment horizontal="center" vertical="center" shrinkToFit="1"/>
    </xf>
    <xf numFmtId="183" fontId="66" fillId="2" borderId="12" xfId="0" applyNumberFormat="1" applyFont="1" applyFill="1" applyBorder="1" applyAlignment="1">
      <alignment horizontal="center" vertical="center" shrinkToFit="1"/>
    </xf>
    <xf numFmtId="183" fontId="66" fillId="2" borderId="108" xfId="0" applyNumberFormat="1" applyFont="1" applyFill="1" applyBorder="1" applyAlignment="1">
      <alignment horizontal="center" vertical="center" shrinkToFit="1"/>
    </xf>
    <xf numFmtId="183" fontId="66" fillId="2" borderId="109" xfId="0" applyNumberFormat="1" applyFont="1" applyFill="1" applyBorder="1" applyAlignment="1">
      <alignment horizontal="center" vertical="center" shrinkToFit="1"/>
    </xf>
    <xf numFmtId="0" fontId="60" fillId="18" borderId="115" xfId="0" applyFont="1" applyFill="1" applyBorder="1" applyAlignment="1">
      <alignment horizontal="center" vertical="center"/>
    </xf>
    <xf numFmtId="0" fontId="60" fillId="18" borderId="117" xfId="0" applyFont="1" applyFill="1" applyBorder="1" applyAlignment="1">
      <alignment horizontal="center" vertical="center"/>
    </xf>
    <xf numFmtId="183" fontId="66" fillId="2" borderId="2" xfId="1" applyNumberFormat="1" applyFont="1" applyFill="1" applyBorder="1" applyAlignment="1">
      <alignment horizontal="right" vertical="center" shrinkToFit="1"/>
    </xf>
    <xf numFmtId="38" fontId="65" fillId="14" borderId="84" xfId="1" applyFont="1" applyFill="1" applyBorder="1" applyAlignment="1">
      <alignment horizontal="right" vertical="center"/>
    </xf>
    <xf numFmtId="179" fontId="60" fillId="18" borderId="114" xfId="1" applyNumberFormat="1" applyFont="1" applyFill="1" applyBorder="1" applyAlignment="1">
      <alignment horizontal="center" vertical="center" shrinkToFit="1"/>
    </xf>
    <xf numFmtId="179" fontId="60" fillId="18" borderId="115" xfId="1" applyNumberFormat="1" applyFont="1" applyFill="1" applyBorder="1" applyAlignment="1">
      <alignment horizontal="center" vertical="center" shrinkToFit="1"/>
    </xf>
    <xf numFmtId="179" fontId="60" fillId="18" borderId="116" xfId="1" applyNumberFormat="1" applyFont="1" applyFill="1" applyBorder="1" applyAlignment="1">
      <alignment horizontal="center" vertical="center" shrinkToFit="1"/>
    </xf>
    <xf numFmtId="179" fontId="60" fillId="18" borderId="117" xfId="1" applyNumberFormat="1" applyFont="1" applyFill="1" applyBorder="1" applyAlignment="1">
      <alignment horizontal="center" vertical="center" shrinkToFit="1"/>
    </xf>
    <xf numFmtId="0" fontId="72" fillId="18" borderId="112" xfId="0" applyFont="1" applyFill="1" applyBorder="1" applyAlignment="1">
      <alignment horizontal="right" vertical="center"/>
    </xf>
    <xf numFmtId="0" fontId="72" fillId="18" borderId="113" xfId="0" applyFont="1" applyFill="1" applyBorder="1" applyAlignment="1">
      <alignment horizontal="right" vertical="center"/>
    </xf>
    <xf numFmtId="179" fontId="60" fillId="18" borderId="114" xfId="0" applyNumberFormat="1" applyFont="1" applyFill="1" applyBorder="1" applyAlignment="1">
      <alignment horizontal="right" vertical="center"/>
    </xf>
    <xf numFmtId="179" fontId="60" fillId="18" borderId="116" xfId="0" applyNumberFormat="1" applyFont="1" applyFill="1" applyBorder="1" applyAlignment="1">
      <alignment horizontal="right" vertical="center"/>
    </xf>
    <xf numFmtId="0" fontId="72" fillId="18" borderId="112" xfId="0" applyFont="1" applyFill="1" applyBorder="1" applyAlignment="1">
      <alignment horizontal="right" vertical="center" shrinkToFit="1"/>
    </xf>
    <xf numFmtId="0" fontId="72" fillId="18" borderId="113" xfId="0" applyFont="1" applyFill="1" applyBorder="1" applyAlignment="1">
      <alignment horizontal="right" vertical="center" shrinkToFit="1"/>
    </xf>
    <xf numFmtId="0" fontId="61" fillId="2" borderId="7" xfId="0" applyFont="1" applyFill="1" applyBorder="1" applyAlignment="1">
      <alignment horizontal="left" vertical="center"/>
    </xf>
    <xf numFmtId="0" fontId="61" fillId="2" borderId="118" xfId="0" applyFont="1" applyFill="1" applyBorder="1" applyAlignment="1">
      <alignment horizontal="left" vertical="center"/>
    </xf>
    <xf numFmtId="0" fontId="61" fillId="2" borderId="119" xfId="0" applyFont="1" applyFill="1" applyBorder="1" applyAlignment="1">
      <alignment horizontal="left" vertical="center"/>
    </xf>
    <xf numFmtId="0" fontId="61" fillId="2" borderId="8" xfId="0" applyFont="1" applyFill="1" applyBorder="1" applyAlignment="1">
      <alignment horizontal="left" vertical="center"/>
    </xf>
    <xf numFmtId="0" fontId="61" fillId="2" borderId="106" xfId="0" applyFont="1" applyFill="1" applyBorder="1" applyAlignment="1">
      <alignment horizontal="left" vertical="center"/>
    </xf>
    <xf numFmtId="0" fontId="61" fillId="2" borderId="107" xfId="0" applyFont="1" applyFill="1" applyBorder="1" applyAlignment="1">
      <alignment horizontal="left" vertical="center"/>
    </xf>
    <xf numFmtId="0" fontId="61" fillId="2" borderId="12" xfId="0" applyFont="1" applyFill="1" applyBorder="1" applyAlignment="1">
      <alignment horizontal="left" vertical="center"/>
    </xf>
    <xf numFmtId="0" fontId="61" fillId="2" borderId="108" xfId="0" applyFont="1" applyFill="1" applyBorder="1" applyAlignment="1">
      <alignment horizontal="left" vertical="center"/>
    </xf>
    <xf numFmtId="0" fontId="61" fillId="2" borderId="109" xfId="0" applyFont="1" applyFill="1" applyBorder="1" applyAlignment="1">
      <alignment horizontal="left" vertical="center"/>
    </xf>
    <xf numFmtId="0" fontId="61" fillId="2" borderId="148" xfId="0" applyFont="1" applyFill="1" applyBorder="1" applyAlignment="1">
      <alignment horizontal="left" vertical="center"/>
    </xf>
    <xf numFmtId="0" fontId="61" fillId="2" borderId="149" xfId="0" applyFont="1" applyFill="1" applyBorder="1" applyAlignment="1">
      <alignment horizontal="left" vertical="center"/>
    </xf>
    <xf numFmtId="0" fontId="61" fillId="2" borderId="150" xfId="0" applyFont="1" applyFill="1" applyBorder="1" applyAlignment="1">
      <alignment horizontal="left" vertical="center"/>
    </xf>
    <xf numFmtId="0" fontId="61" fillId="2" borderId="151" xfId="0" applyFont="1" applyFill="1" applyBorder="1" applyAlignment="1">
      <alignment horizontal="left" vertical="center"/>
    </xf>
    <xf numFmtId="0" fontId="61" fillId="2" borderId="152" xfId="0" applyFont="1" applyFill="1" applyBorder="1" applyAlignment="1">
      <alignment horizontal="left" vertical="center"/>
    </xf>
    <xf numFmtId="0" fontId="61" fillId="2" borderId="153" xfId="0" applyFont="1" applyFill="1" applyBorder="1" applyAlignment="1">
      <alignment horizontal="left" vertical="center"/>
    </xf>
    <xf numFmtId="183" fontId="66" fillId="2" borderId="10" xfId="1" applyNumberFormat="1" applyFont="1" applyFill="1" applyBorder="1" applyAlignment="1">
      <alignment horizontal="right" vertical="center" shrinkToFit="1"/>
    </xf>
    <xf numFmtId="0" fontId="61" fillId="2" borderId="145" xfId="0" applyFont="1" applyFill="1" applyBorder="1" applyAlignment="1">
      <alignment horizontal="left" vertical="center"/>
    </xf>
    <xf numFmtId="0" fontId="61" fillId="2" borderId="146" xfId="0" applyFont="1" applyFill="1" applyBorder="1" applyAlignment="1">
      <alignment horizontal="left" vertical="center"/>
    </xf>
    <xf numFmtId="0" fontId="61" fillId="2" borderId="147" xfId="0" applyFont="1" applyFill="1" applyBorder="1" applyAlignment="1">
      <alignment horizontal="left" vertical="center"/>
    </xf>
    <xf numFmtId="183" fontId="66" fillId="2" borderId="8" xfId="0" applyNumberFormat="1" applyFont="1" applyFill="1" applyBorder="1" applyAlignment="1">
      <alignment horizontal="left" vertical="center" shrinkToFit="1"/>
    </xf>
    <xf numFmtId="183" fontId="66" fillId="2" borderId="106" xfId="0" applyNumberFormat="1" applyFont="1" applyFill="1" applyBorder="1" applyAlignment="1">
      <alignment horizontal="left" vertical="center" shrinkToFit="1"/>
    </xf>
    <xf numFmtId="183" fontId="66" fillId="2" borderId="107" xfId="0" applyNumberFormat="1" applyFont="1" applyFill="1" applyBorder="1" applyAlignment="1">
      <alignment horizontal="left" vertical="center" shrinkToFit="1"/>
    </xf>
    <xf numFmtId="183" fontId="65" fillId="2" borderId="3" xfId="1" applyNumberFormat="1" applyFont="1" applyFill="1" applyBorder="1" applyAlignment="1">
      <alignment horizontal="right" vertical="center" shrinkToFit="1"/>
    </xf>
    <xf numFmtId="183" fontId="80" fillId="2" borderId="3" xfId="1" applyNumberFormat="1" applyFont="1" applyFill="1" applyBorder="1" applyAlignment="1">
      <alignment horizontal="right" vertical="center" shrinkToFit="1"/>
    </xf>
    <xf numFmtId="183" fontId="117" fillId="2" borderId="8" xfId="1" applyNumberFormat="1" applyFont="1" applyFill="1" applyBorder="1" applyAlignment="1">
      <alignment horizontal="right" vertical="center" shrinkToFit="1"/>
    </xf>
    <xf numFmtId="183" fontId="117" fillId="2" borderId="107" xfId="1" applyNumberFormat="1" applyFont="1" applyFill="1" applyBorder="1" applyAlignment="1">
      <alignment horizontal="right" vertical="center" shrinkToFit="1"/>
    </xf>
    <xf numFmtId="183" fontId="66" fillId="2" borderId="8" xfId="1" applyNumberFormat="1" applyFont="1" applyFill="1" applyBorder="1" applyAlignment="1">
      <alignment horizontal="right" vertical="center" shrinkToFit="1"/>
    </xf>
    <xf numFmtId="183" fontId="66" fillId="2" borderId="107" xfId="1" applyNumberFormat="1" applyFont="1" applyFill="1" applyBorder="1" applyAlignment="1">
      <alignment horizontal="right" vertical="center" shrinkToFit="1"/>
    </xf>
    <xf numFmtId="183" fontId="66" fillId="2" borderId="12" xfId="1" applyNumberFormat="1" applyFont="1" applyFill="1" applyBorder="1" applyAlignment="1">
      <alignment horizontal="right" vertical="center" shrinkToFit="1"/>
    </xf>
    <xf numFmtId="183" fontId="66" fillId="2" borderId="109" xfId="1" applyNumberFormat="1" applyFont="1" applyFill="1" applyBorder="1" applyAlignment="1">
      <alignment horizontal="right" vertical="center" shrinkToFit="1"/>
    </xf>
    <xf numFmtId="183" fontId="66" fillId="2" borderId="1" xfId="1" applyNumberFormat="1" applyFont="1" applyFill="1" applyBorder="1" applyAlignment="1">
      <alignment horizontal="right" vertical="center" shrinkToFit="1"/>
    </xf>
    <xf numFmtId="0" fontId="65" fillId="2" borderId="154" xfId="0" applyFont="1" applyFill="1" applyBorder="1" applyAlignment="1">
      <alignment horizontal="center" vertical="center" shrinkToFit="1"/>
    </xf>
    <xf numFmtId="183" fontId="66" fillId="2" borderId="30" xfId="1" applyNumberFormat="1" applyFont="1" applyFill="1" applyBorder="1" applyAlignment="1">
      <alignment horizontal="right" vertical="center" shrinkToFit="1"/>
    </xf>
    <xf numFmtId="183" fontId="66" fillId="2" borderId="30" xfId="0" applyNumberFormat="1" applyFont="1" applyFill="1" applyBorder="1" applyAlignment="1">
      <alignment horizontal="center" vertical="center"/>
    </xf>
    <xf numFmtId="0" fontId="66" fillId="2" borderId="8" xfId="0" applyFont="1" applyFill="1" applyBorder="1" applyAlignment="1">
      <alignment horizontal="left" vertical="center"/>
    </xf>
    <xf numFmtId="0" fontId="66" fillId="2" borderId="106" xfId="0" applyFont="1" applyFill="1" applyBorder="1" applyAlignment="1">
      <alignment horizontal="left" vertical="center"/>
    </xf>
    <xf numFmtId="0" fontId="66" fillId="2" borderId="107" xfId="0" applyFont="1" applyFill="1" applyBorder="1" applyAlignment="1">
      <alignment horizontal="left" vertical="center"/>
    </xf>
    <xf numFmtId="0" fontId="66" fillId="2" borderId="12" xfId="0" applyFont="1" applyFill="1" applyBorder="1" applyAlignment="1">
      <alignment horizontal="left" vertical="center"/>
    </xf>
    <xf numFmtId="0" fontId="66" fillId="2" borderId="108" xfId="0" applyFont="1" applyFill="1" applyBorder="1" applyAlignment="1">
      <alignment horizontal="left" vertical="center"/>
    </xf>
    <xf numFmtId="0" fontId="66" fillId="2" borderId="109" xfId="0" applyFont="1" applyFill="1" applyBorder="1" applyAlignment="1">
      <alignment horizontal="left" vertical="center"/>
    </xf>
    <xf numFmtId="179" fontId="71" fillId="18" borderId="114" xfId="0" applyNumberFormat="1" applyFont="1" applyFill="1" applyBorder="1" applyAlignment="1">
      <alignment horizontal="right" vertical="center"/>
    </xf>
    <xf numFmtId="179" fontId="71" fillId="18" borderId="116" xfId="0" applyNumberFormat="1" applyFont="1" applyFill="1" applyBorder="1" applyAlignment="1">
      <alignment horizontal="right" vertical="center"/>
    </xf>
    <xf numFmtId="0" fontId="71" fillId="18" borderId="115" xfId="0" applyFont="1" applyFill="1" applyBorder="1" applyAlignment="1">
      <alignment horizontal="center" vertical="center"/>
    </xf>
    <xf numFmtId="0" fontId="71" fillId="18" borderId="117" xfId="0" applyFont="1" applyFill="1" applyBorder="1" applyAlignment="1">
      <alignment horizontal="center" vertical="center"/>
    </xf>
    <xf numFmtId="0" fontId="65" fillId="18" borderId="232" xfId="0" applyFont="1" applyFill="1" applyBorder="1" applyAlignment="1">
      <alignment horizontal="center" vertical="center" shrinkToFit="1"/>
    </xf>
    <xf numFmtId="0" fontId="65" fillId="18" borderId="233" xfId="0" applyFont="1" applyFill="1" applyBorder="1" applyAlignment="1">
      <alignment horizontal="center" vertical="center" shrinkToFit="1"/>
    </xf>
    <xf numFmtId="38" fontId="66" fillId="14" borderId="30" xfId="1" applyFont="1" applyFill="1" applyBorder="1" applyAlignment="1">
      <alignment vertical="center"/>
    </xf>
    <xf numFmtId="38" fontId="65" fillId="18" borderId="231" xfId="1" applyFont="1" applyFill="1" applyBorder="1" applyAlignment="1">
      <alignment vertical="center"/>
    </xf>
    <xf numFmtId="179" fontId="71" fillId="18" borderId="114" xfId="1" applyNumberFormat="1" applyFont="1" applyFill="1" applyBorder="1" applyAlignment="1">
      <alignment horizontal="center" vertical="center" shrinkToFit="1"/>
    </xf>
    <xf numFmtId="179" fontId="71" fillId="18" borderId="115" xfId="1" applyNumberFormat="1" applyFont="1" applyFill="1" applyBorder="1" applyAlignment="1">
      <alignment horizontal="center" vertical="center" shrinkToFit="1"/>
    </xf>
    <xf numFmtId="179" fontId="71" fillId="18" borderId="116" xfId="1" applyNumberFormat="1" applyFont="1" applyFill="1" applyBorder="1" applyAlignment="1">
      <alignment horizontal="center" vertical="center" shrinkToFit="1"/>
    </xf>
    <xf numFmtId="179" fontId="71" fillId="18" borderId="117" xfId="1" applyNumberFormat="1" applyFont="1" applyFill="1" applyBorder="1" applyAlignment="1">
      <alignment horizontal="center" vertical="center" shrinkToFit="1"/>
    </xf>
    <xf numFmtId="0" fontId="66" fillId="2" borderId="7" xfId="0" applyFont="1" applyFill="1" applyBorder="1" applyAlignment="1">
      <alignment horizontal="left" vertical="center"/>
    </xf>
    <xf numFmtId="0" fontId="66" fillId="2" borderId="118" xfId="0" applyFont="1" applyFill="1" applyBorder="1" applyAlignment="1">
      <alignment horizontal="left" vertical="center"/>
    </xf>
    <xf numFmtId="0" fontId="66" fillId="2" borderId="119" xfId="0" applyFont="1" applyFill="1" applyBorder="1" applyAlignment="1">
      <alignment horizontal="left" vertical="center"/>
    </xf>
    <xf numFmtId="0" fontId="66" fillId="14" borderId="30" xfId="0" applyFont="1" applyFill="1" applyBorder="1" applyAlignment="1">
      <alignment horizontal="center" vertical="center"/>
    </xf>
    <xf numFmtId="0" fontId="65" fillId="18" borderId="231" xfId="0" applyFont="1" applyFill="1" applyBorder="1" applyAlignment="1">
      <alignment horizontal="center" vertical="center"/>
    </xf>
    <xf numFmtId="183" fontId="66" fillId="2" borderId="4" xfId="1" applyNumberFormat="1" applyFont="1" applyFill="1" applyBorder="1" applyAlignment="1">
      <alignment horizontal="right" vertical="center" shrinkToFit="1"/>
    </xf>
    <xf numFmtId="38" fontId="66" fillId="2" borderId="14" xfId="1" applyFont="1" applyFill="1" applyBorder="1" applyAlignment="1">
      <alignment horizontal="right" vertical="center"/>
    </xf>
    <xf numFmtId="38" fontId="66" fillId="14" borderId="14" xfId="1" applyFont="1" applyFill="1" applyBorder="1" applyAlignment="1">
      <alignment vertical="center"/>
    </xf>
    <xf numFmtId="0" fontId="66" fillId="14" borderId="14" xfId="0" applyFont="1" applyFill="1" applyBorder="1" applyAlignment="1">
      <alignment horizontal="center" vertical="center"/>
    </xf>
    <xf numFmtId="0" fontId="66" fillId="2" borderId="14" xfId="0" applyFont="1" applyFill="1" applyBorder="1" applyAlignment="1">
      <alignment horizontal="center" vertical="center"/>
    </xf>
    <xf numFmtId="38" fontId="66" fillId="14" borderId="14" xfId="1" applyFont="1" applyFill="1" applyBorder="1" applyAlignment="1">
      <alignment horizontal="right" vertical="center"/>
    </xf>
    <xf numFmtId="0" fontId="106" fillId="2" borderId="145" xfId="0" applyFont="1" applyFill="1" applyBorder="1" applyAlignment="1">
      <alignment horizontal="left" vertical="center"/>
    </xf>
    <xf numFmtId="0" fontId="106" fillId="2" borderId="146" xfId="0" applyFont="1" applyFill="1" applyBorder="1" applyAlignment="1">
      <alignment horizontal="left" vertical="center"/>
    </xf>
    <xf numFmtId="0" fontId="106" fillId="2" borderId="147" xfId="0" applyFont="1" applyFill="1" applyBorder="1" applyAlignment="1">
      <alignment horizontal="left" vertical="center"/>
    </xf>
    <xf numFmtId="0" fontId="106" fillId="2" borderId="148" xfId="0" applyFont="1" applyFill="1" applyBorder="1" applyAlignment="1">
      <alignment horizontal="left" vertical="center"/>
    </xf>
    <xf numFmtId="0" fontId="106" fillId="2" borderId="149" xfId="0" applyFont="1" applyFill="1" applyBorder="1" applyAlignment="1">
      <alignment horizontal="left" vertical="center"/>
    </xf>
    <xf numFmtId="0" fontId="106" fillId="2" borderId="150" xfId="0" applyFont="1" applyFill="1" applyBorder="1" applyAlignment="1">
      <alignment horizontal="left" vertical="center"/>
    </xf>
    <xf numFmtId="0" fontId="106" fillId="2" borderId="151" xfId="0" applyFont="1" applyFill="1" applyBorder="1" applyAlignment="1">
      <alignment horizontal="left" vertical="center"/>
    </xf>
    <xf numFmtId="0" fontId="106" fillId="2" borderId="152" xfId="0" applyFont="1" applyFill="1" applyBorder="1" applyAlignment="1">
      <alignment horizontal="left" vertical="center"/>
    </xf>
    <xf numFmtId="0" fontId="106" fillId="2" borderId="153" xfId="0" applyFont="1" applyFill="1" applyBorder="1" applyAlignment="1">
      <alignment horizontal="left" vertical="center"/>
    </xf>
    <xf numFmtId="38" fontId="66" fillId="2" borderId="30" xfId="1" applyFont="1" applyFill="1" applyBorder="1" applyAlignment="1">
      <alignment horizontal="right" vertical="center"/>
    </xf>
    <xf numFmtId="0" fontId="62" fillId="2" borderId="14" xfId="0" applyFont="1" applyFill="1" applyBorder="1" applyAlignment="1">
      <alignment horizontal="center" vertical="center" shrinkToFit="1"/>
    </xf>
    <xf numFmtId="0" fontId="60" fillId="2" borderId="0" xfId="0" applyFont="1" applyFill="1" applyAlignment="1">
      <alignment horizontal="left" vertical="center" shrinkToFit="1"/>
    </xf>
    <xf numFmtId="0" fontId="143" fillId="2" borderId="0" xfId="0" applyFont="1" applyFill="1" applyAlignment="1">
      <alignment horizontal="left" vertical="center" shrinkToFit="1"/>
    </xf>
    <xf numFmtId="179" fontId="76" fillId="2" borderId="110" xfId="1" applyNumberFormat="1" applyFont="1" applyFill="1" applyBorder="1" applyAlignment="1">
      <alignment horizontal="center" vertical="center"/>
    </xf>
    <xf numFmtId="179" fontId="76" fillId="2" borderId="111" xfId="1" applyNumberFormat="1" applyFont="1" applyFill="1" applyBorder="1" applyAlignment="1">
      <alignment horizontal="center" vertical="center"/>
    </xf>
    <xf numFmtId="192" fontId="77" fillId="2" borderId="62" xfId="0" applyNumberFormat="1" applyFont="1" applyFill="1" applyBorder="1" applyAlignment="1">
      <alignment horizontal="center" vertical="center"/>
    </xf>
    <xf numFmtId="192" fontId="77" fillId="2" borderId="64" xfId="0" applyNumberFormat="1" applyFont="1" applyFill="1" applyBorder="1" applyAlignment="1">
      <alignment horizontal="center" vertical="center"/>
    </xf>
    <xf numFmtId="0" fontId="78" fillId="2" borderId="0" xfId="0" applyFont="1" applyFill="1" applyAlignment="1">
      <alignment horizontal="center" vertical="center"/>
    </xf>
    <xf numFmtId="0" fontId="79" fillId="2" borderId="0" xfId="0" applyFont="1" applyFill="1" applyAlignment="1">
      <alignment horizontal="center" vertical="center"/>
    </xf>
    <xf numFmtId="0" fontId="73" fillId="16" borderId="62" xfId="0" applyFont="1" applyFill="1" applyBorder="1" applyAlignment="1">
      <alignment horizontal="center" vertical="center" shrinkToFit="1"/>
    </xf>
    <xf numFmtId="0" fontId="73" fillId="16" borderId="64" xfId="0" applyFont="1" applyFill="1" applyBorder="1" applyAlignment="1">
      <alignment horizontal="center" vertical="center" shrinkToFit="1"/>
    </xf>
    <xf numFmtId="38" fontId="31" fillId="14" borderId="32" xfId="1" applyFont="1" applyFill="1" applyBorder="1" applyAlignment="1">
      <alignment horizontal="right" vertical="center"/>
    </xf>
    <xf numFmtId="183" fontId="31" fillId="2" borderId="37" xfId="1" applyNumberFormat="1" applyFont="1" applyFill="1" applyBorder="1" applyAlignment="1">
      <alignment horizontal="right" vertical="center" shrinkToFit="1"/>
    </xf>
    <xf numFmtId="38" fontId="31" fillId="14" borderId="16" xfId="1" applyFont="1" applyFill="1" applyBorder="1" applyAlignment="1">
      <alignment horizontal="right" vertical="center"/>
    </xf>
    <xf numFmtId="183" fontId="31" fillId="2" borderId="34" xfId="1" applyNumberFormat="1" applyFont="1" applyFill="1" applyBorder="1" applyAlignment="1">
      <alignment horizontal="right" vertical="center" shrinkToFit="1"/>
    </xf>
    <xf numFmtId="183" fontId="31" fillId="2" borderId="43" xfId="0" applyNumberFormat="1" applyFont="1" applyFill="1" applyBorder="1" applyAlignment="1">
      <alignment horizontal="center" vertical="center" shrinkToFit="1"/>
    </xf>
    <xf numFmtId="183" fontId="31" fillId="2" borderId="29" xfId="0" applyNumberFormat="1" applyFont="1" applyFill="1" applyBorder="1" applyAlignment="1">
      <alignment horizontal="center" vertical="center" shrinkToFit="1"/>
    </xf>
    <xf numFmtId="183" fontId="31" fillId="2" borderId="44" xfId="0" applyNumberFormat="1" applyFont="1" applyFill="1" applyBorder="1" applyAlignment="1">
      <alignment horizontal="center" vertical="center" shrinkToFit="1"/>
    </xf>
    <xf numFmtId="183" fontId="31" fillId="2" borderId="28" xfId="0" applyNumberFormat="1" applyFont="1" applyFill="1" applyBorder="1" applyAlignment="1">
      <alignment horizontal="center" vertical="center" shrinkToFit="1"/>
    </xf>
    <xf numFmtId="183" fontId="31" fillId="2" borderId="31" xfId="0" applyNumberFormat="1" applyFont="1" applyFill="1" applyBorder="1" applyAlignment="1">
      <alignment horizontal="center" vertical="center" shrinkToFit="1"/>
    </xf>
    <xf numFmtId="38" fontId="85" fillId="2" borderId="27" xfId="1" applyFont="1" applyFill="1" applyBorder="1" applyAlignment="1">
      <alignment horizontal="right" vertical="center"/>
    </xf>
    <xf numFmtId="3" fontId="31" fillId="2" borderId="7" xfId="0" applyNumberFormat="1" applyFont="1" applyFill="1" applyBorder="1" applyAlignment="1">
      <alignment horizontal="left" vertical="center"/>
    </xf>
    <xf numFmtId="3" fontId="31" fillId="2" borderId="118" xfId="0" applyNumberFormat="1" applyFont="1" applyFill="1" applyBorder="1" applyAlignment="1">
      <alignment horizontal="left" vertical="center"/>
    </xf>
    <xf numFmtId="3" fontId="31" fillId="2" borderId="119" xfId="0" applyNumberFormat="1" applyFont="1" applyFill="1" applyBorder="1" applyAlignment="1">
      <alignment horizontal="left" vertical="center"/>
    </xf>
    <xf numFmtId="3" fontId="31" fillId="2" borderId="8" xfId="0" applyNumberFormat="1" applyFont="1" applyFill="1" applyBorder="1" applyAlignment="1">
      <alignment horizontal="left" vertical="center"/>
    </xf>
    <xf numFmtId="3" fontId="31" fillId="2" borderId="106" xfId="0" applyNumberFormat="1" applyFont="1" applyFill="1" applyBorder="1" applyAlignment="1">
      <alignment horizontal="left" vertical="center"/>
    </xf>
    <xf numFmtId="3" fontId="31" fillId="2" borderId="107" xfId="0" applyNumberFormat="1" applyFont="1" applyFill="1" applyBorder="1" applyAlignment="1">
      <alignment horizontal="left" vertical="center"/>
    </xf>
    <xf numFmtId="3" fontId="31" fillId="2" borderId="12" xfId="0" applyNumberFormat="1" applyFont="1" applyFill="1" applyBorder="1" applyAlignment="1">
      <alignment horizontal="left" vertical="center"/>
    </xf>
    <xf numFmtId="3" fontId="31" fillId="2" borderId="108" xfId="0" applyNumberFormat="1" applyFont="1" applyFill="1" applyBorder="1" applyAlignment="1">
      <alignment horizontal="left" vertical="center"/>
    </xf>
    <xf numFmtId="3" fontId="31" fillId="2" borderId="109" xfId="0" applyNumberFormat="1" applyFont="1" applyFill="1" applyBorder="1" applyAlignment="1">
      <alignment horizontal="left" vertical="center"/>
    </xf>
    <xf numFmtId="0" fontId="31" fillId="10" borderId="130" xfId="0" applyFont="1" applyFill="1" applyBorder="1" applyAlignment="1">
      <alignment horizontal="center" vertical="center" shrinkToFit="1"/>
    </xf>
    <xf numFmtId="181" fontId="31" fillId="2" borderId="0" xfId="0" applyNumberFormat="1" applyFont="1" applyFill="1" applyAlignment="1">
      <alignment horizontal="center" vertical="center" shrinkToFit="1"/>
    </xf>
    <xf numFmtId="0" fontId="31" fillId="10" borderId="32" xfId="0" applyFont="1" applyFill="1" applyBorder="1" applyAlignment="1">
      <alignment horizontal="center" vertical="center" shrinkToFit="1"/>
    </xf>
    <xf numFmtId="0" fontId="32" fillId="2" borderId="0" xfId="0" applyFont="1" applyFill="1" applyAlignment="1">
      <alignment horizontal="center" vertical="center" shrinkToFit="1"/>
    </xf>
    <xf numFmtId="0" fontId="32" fillId="2" borderId="16" xfId="0" applyFont="1" applyFill="1" applyBorder="1" applyAlignment="1">
      <alignment horizontal="center" vertical="center" shrinkToFit="1"/>
    </xf>
    <xf numFmtId="0" fontId="31" fillId="2" borderId="17" xfId="0" applyFont="1" applyFill="1" applyBorder="1" applyAlignment="1">
      <alignment horizontal="right" vertical="center"/>
    </xf>
    <xf numFmtId="0" fontId="31" fillId="2" borderId="18" xfId="0" applyFont="1" applyFill="1" applyBorder="1" applyAlignment="1">
      <alignment horizontal="right" vertical="center"/>
    </xf>
    <xf numFmtId="0" fontId="31" fillId="2" borderId="22" xfId="0" applyFont="1" applyFill="1" applyBorder="1" applyAlignment="1">
      <alignment horizontal="right" vertical="center"/>
    </xf>
    <xf numFmtId="0" fontId="31" fillId="2" borderId="16" xfId="0" applyFont="1" applyFill="1" applyBorder="1" applyAlignment="1">
      <alignment horizontal="right" vertical="center"/>
    </xf>
    <xf numFmtId="183" fontId="31" fillId="2" borderId="33" xfId="1" applyNumberFormat="1" applyFont="1" applyFill="1" applyBorder="1" applyAlignment="1">
      <alignment horizontal="right" vertical="center" shrinkToFit="1"/>
    </xf>
    <xf numFmtId="0" fontId="73" fillId="11" borderId="110" xfId="0" applyFont="1" applyFill="1" applyBorder="1" applyAlignment="1">
      <alignment horizontal="center" vertical="center" shrinkToFit="1"/>
    </xf>
    <xf numFmtId="0" fontId="73" fillId="11" borderId="111" xfId="0" applyFont="1" applyFill="1" applyBorder="1" applyAlignment="1">
      <alignment horizontal="center" vertical="center" shrinkToFit="1"/>
    </xf>
    <xf numFmtId="0" fontId="73" fillId="15" borderId="59" xfId="0" applyFont="1" applyFill="1" applyBorder="1" applyAlignment="1">
      <alignment horizontal="center" vertical="center" shrinkToFit="1"/>
    </xf>
    <xf numFmtId="0" fontId="73" fillId="15" borderId="61" xfId="0" applyFont="1" applyFill="1" applyBorder="1" applyAlignment="1">
      <alignment horizontal="center" vertical="center" shrinkToFit="1"/>
    </xf>
    <xf numFmtId="179" fontId="75" fillId="2" borderId="59" xfId="0" applyNumberFormat="1" applyFont="1" applyFill="1" applyBorder="1" applyAlignment="1">
      <alignment horizontal="center" vertical="center"/>
    </xf>
    <xf numFmtId="179" fontId="75" fillId="2" borderId="61" xfId="0" applyNumberFormat="1" applyFont="1" applyFill="1" applyBorder="1" applyAlignment="1">
      <alignment horizontal="center" vertical="center"/>
    </xf>
    <xf numFmtId="179" fontId="40" fillId="2" borderId="0" xfId="0" applyNumberFormat="1" applyFont="1" applyFill="1" applyAlignment="1">
      <alignment horizontal="center" vertical="center" shrinkToFit="1"/>
    </xf>
    <xf numFmtId="0" fontId="5" fillId="2" borderId="0" xfId="0" applyFont="1" applyFill="1" applyAlignment="1">
      <alignment horizontal="center" vertical="top" shrinkToFit="1"/>
    </xf>
    <xf numFmtId="0" fontId="15" fillId="2" borderId="52" xfId="0" applyFont="1" applyFill="1" applyBorder="1" applyAlignment="1">
      <alignment horizontal="right" vertical="center" shrinkToFit="1" readingOrder="1"/>
    </xf>
    <xf numFmtId="0" fontId="54" fillId="2" borderId="0" xfId="0" applyFont="1" applyFill="1" applyAlignment="1">
      <alignment horizontal="center" vertical="center"/>
    </xf>
    <xf numFmtId="0" fontId="63" fillId="2" borderId="0" xfId="0" applyFont="1" applyFill="1" applyAlignment="1">
      <alignment horizontal="left"/>
    </xf>
    <xf numFmtId="0" fontId="63" fillId="2" borderId="81" xfId="0" applyFont="1" applyFill="1" applyBorder="1" applyAlignment="1">
      <alignment horizontal="left"/>
    </xf>
    <xf numFmtId="0" fontId="63" fillId="2" borderId="55" xfId="0" applyFont="1" applyFill="1" applyBorder="1" applyAlignment="1">
      <alignment horizontal="left"/>
    </xf>
    <xf numFmtId="0" fontId="12" fillId="2" borderId="0" xfId="0" applyFont="1" applyFill="1" applyAlignment="1">
      <alignment horizontal="center" vertical="center"/>
    </xf>
    <xf numFmtId="179" fontId="58" fillId="2" borderId="77" xfId="0" applyNumberFormat="1" applyFont="1" applyFill="1" applyBorder="1" applyAlignment="1">
      <alignment horizontal="center" vertical="center" shrinkToFit="1"/>
    </xf>
    <xf numFmtId="179" fontId="58" fillId="2" borderId="78" xfId="0" applyNumberFormat="1" applyFont="1" applyFill="1" applyBorder="1" applyAlignment="1">
      <alignment horizontal="center" vertical="center" shrinkToFit="1"/>
    </xf>
    <xf numFmtId="179" fontId="58" fillId="2" borderId="79" xfId="0" applyNumberFormat="1" applyFont="1" applyFill="1" applyBorder="1" applyAlignment="1">
      <alignment horizontal="center" vertical="center" shrinkToFit="1"/>
    </xf>
    <xf numFmtId="179" fontId="58" fillId="2" borderId="80" xfId="0" applyNumberFormat="1" applyFont="1" applyFill="1" applyBorder="1" applyAlignment="1">
      <alignment horizontal="center" vertical="center" shrinkToFit="1"/>
    </xf>
    <xf numFmtId="179" fontId="58" fillId="2" borderId="81" xfId="0" applyNumberFormat="1" applyFont="1" applyFill="1" applyBorder="1" applyAlignment="1">
      <alignment horizontal="center" vertical="center" shrinkToFit="1"/>
    </xf>
    <xf numFmtId="179" fontId="58" fillId="2" borderId="82" xfId="0" applyNumberFormat="1" applyFont="1" applyFill="1" applyBorder="1" applyAlignment="1">
      <alignment horizontal="center" vertical="center" shrinkToFit="1"/>
    </xf>
    <xf numFmtId="0" fontId="42" fillId="2" borderId="0" xfId="0" applyFont="1" applyFill="1" applyAlignment="1">
      <alignment horizontal="center" vertical="center"/>
    </xf>
    <xf numFmtId="190" fontId="45" fillId="2" borderId="0" xfId="0" applyNumberFormat="1" applyFont="1" applyFill="1" applyAlignment="1">
      <alignment horizontal="center" vertical="center"/>
    </xf>
    <xf numFmtId="179" fontId="5" fillId="2" borderId="0" xfId="0" applyNumberFormat="1" applyFont="1" applyFill="1" applyAlignment="1">
      <alignment horizontal="center" vertical="center" shrinkToFit="1"/>
    </xf>
    <xf numFmtId="0" fontId="12" fillId="2" borderId="0" xfId="0" applyFont="1" applyFill="1" applyAlignment="1">
      <alignment horizontal="left" vertical="center"/>
    </xf>
    <xf numFmtId="179" fontId="48" fillId="2" borderId="51" xfId="0" applyNumberFormat="1" applyFont="1" applyFill="1" applyBorder="1" applyAlignment="1">
      <alignment horizontal="center" vertical="center" shrinkToFit="1" readingOrder="1"/>
    </xf>
    <xf numFmtId="179" fontId="48" fillId="2" borderId="52" xfId="0" applyNumberFormat="1" applyFont="1" applyFill="1" applyBorder="1" applyAlignment="1">
      <alignment horizontal="center" vertical="center" shrinkToFit="1" readingOrder="1"/>
    </xf>
    <xf numFmtId="179" fontId="48" fillId="2" borderId="53" xfId="0" applyNumberFormat="1" applyFont="1" applyFill="1" applyBorder="1" applyAlignment="1">
      <alignment horizontal="center" vertical="center" shrinkToFit="1" readingOrder="1"/>
    </xf>
    <xf numFmtId="179" fontId="48" fillId="2" borderId="54" xfId="0" applyNumberFormat="1" applyFont="1" applyFill="1" applyBorder="1" applyAlignment="1">
      <alignment horizontal="center" vertical="center" shrinkToFit="1" readingOrder="1"/>
    </xf>
    <xf numFmtId="179" fontId="48" fillId="2" borderId="55" xfId="0" applyNumberFormat="1" applyFont="1" applyFill="1" applyBorder="1" applyAlignment="1">
      <alignment horizontal="center" vertical="center" shrinkToFit="1" readingOrder="1"/>
    </xf>
    <xf numFmtId="179" fontId="48" fillId="2" borderId="56" xfId="0" applyNumberFormat="1" applyFont="1" applyFill="1" applyBorder="1" applyAlignment="1">
      <alignment horizontal="center" vertical="center" shrinkToFit="1" readingOrder="1"/>
    </xf>
    <xf numFmtId="0" fontId="5" fillId="2" borderId="0" xfId="0" applyFont="1" applyFill="1" applyAlignment="1">
      <alignment horizontal="center" vertical="center"/>
    </xf>
    <xf numFmtId="0" fontId="8" fillId="2" borderId="0" xfId="0" applyFont="1" applyFill="1" applyAlignment="1">
      <alignment horizontal="center" vertical="center"/>
    </xf>
    <xf numFmtId="0" fontId="8" fillId="2" borderId="83" xfId="0" applyFont="1" applyFill="1" applyBorder="1" applyAlignment="1">
      <alignment horizontal="center" vertical="center"/>
    </xf>
    <xf numFmtId="179" fontId="39" fillId="13" borderId="62" xfId="0" applyNumberFormat="1" applyFont="1" applyFill="1" applyBorder="1" applyAlignment="1">
      <alignment horizontal="center" vertical="center" wrapText="1"/>
    </xf>
    <xf numFmtId="179" fontId="39" fillId="13" borderId="63" xfId="0" applyNumberFormat="1" applyFont="1" applyFill="1" applyBorder="1" applyAlignment="1">
      <alignment horizontal="center" vertical="center" wrapText="1"/>
    </xf>
    <xf numFmtId="179" fontId="39" fillId="13" borderId="64" xfId="0" applyNumberFormat="1" applyFont="1" applyFill="1" applyBorder="1" applyAlignment="1">
      <alignment horizontal="center" vertical="center" wrapText="1"/>
    </xf>
    <xf numFmtId="0" fontId="49" fillId="2" borderId="0" xfId="0" applyFont="1" applyFill="1" applyAlignment="1">
      <alignment horizontal="center" vertical="center" shrinkToFit="1" readingOrder="1"/>
    </xf>
    <xf numFmtId="192" fontId="38" fillId="2" borderId="45" xfId="0" applyNumberFormat="1" applyFont="1" applyFill="1" applyBorder="1" applyAlignment="1">
      <alignment horizontal="center" vertical="center" shrinkToFit="1" readingOrder="1"/>
    </xf>
    <xf numFmtId="192" fontId="38" fillId="2" borderId="46" xfId="0" applyNumberFormat="1" applyFont="1" applyFill="1" applyBorder="1" applyAlignment="1">
      <alignment horizontal="center" vertical="center" shrinkToFit="1" readingOrder="1"/>
    </xf>
    <xf numFmtId="192" fontId="38" fillId="2" borderId="47" xfId="0" applyNumberFormat="1" applyFont="1" applyFill="1" applyBorder="1" applyAlignment="1">
      <alignment horizontal="center" vertical="center" shrinkToFit="1" readingOrder="1"/>
    </xf>
    <xf numFmtId="192" fontId="38" fillId="2" borderId="48" xfId="0" applyNumberFormat="1" applyFont="1" applyFill="1" applyBorder="1" applyAlignment="1">
      <alignment horizontal="center" vertical="center" shrinkToFit="1" readingOrder="1"/>
    </xf>
    <xf numFmtId="192" fontId="38" fillId="2" borderId="49" xfId="0" applyNumberFormat="1" applyFont="1" applyFill="1" applyBorder="1" applyAlignment="1">
      <alignment horizontal="center" vertical="center" shrinkToFit="1" readingOrder="1"/>
    </xf>
    <xf numFmtId="192" fontId="38" fillId="2" borderId="50" xfId="0" applyNumberFormat="1" applyFont="1" applyFill="1" applyBorder="1" applyAlignment="1">
      <alignment horizontal="center" vertical="center" shrinkToFit="1" readingOrder="1"/>
    </xf>
    <xf numFmtId="191" fontId="39" fillId="2" borderId="0" xfId="0" applyNumberFormat="1" applyFont="1" applyFill="1" applyAlignment="1">
      <alignment horizontal="center" vertical="center" shrinkToFit="1" readingOrder="1"/>
    </xf>
    <xf numFmtId="179" fontId="39" fillId="13" borderId="62" xfId="0" applyNumberFormat="1" applyFont="1" applyFill="1" applyBorder="1" applyAlignment="1">
      <alignment horizontal="center" vertical="center"/>
    </xf>
    <xf numFmtId="179" fontId="39" fillId="13" borderId="63" xfId="0" applyNumberFormat="1" applyFont="1" applyFill="1" applyBorder="1" applyAlignment="1">
      <alignment horizontal="center" vertical="center"/>
    </xf>
    <xf numFmtId="179" fontId="39" fillId="13" borderId="64" xfId="0" applyNumberFormat="1" applyFont="1" applyFill="1" applyBorder="1" applyAlignment="1">
      <alignment horizontal="center" vertical="center"/>
    </xf>
    <xf numFmtId="0" fontId="57" fillId="2" borderId="73" xfId="0" applyFont="1" applyFill="1" applyBorder="1" applyAlignment="1">
      <alignment horizontal="center" vertical="center" shrinkToFit="1" readingOrder="1"/>
    </xf>
    <xf numFmtId="0" fontId="57" fillId="2" borderId="72" xfId="0" applyFont="1" applyFill="1" applyBorder="1" applyAlignment="1">
      <alignment horizontal="center" vertical="center" shrinkToFit="1" readingOrder="1"/>
    </xf>
    <xf numFmtId="0" fontId="53" fillId="17" borderId="62" xfId="0" applyFont="1" applyFill="1" applyBorder="1" applyAlignment="1">
      <alignment horizontal="center" vertical="center" shrinkToFit="1" readingOrder="1"/>
    </xf>
    <xf numFmtId="0" fontId="53" fillId="17" borderId="63" xfId="0" applyFont="1" applyFill="1" applyBorder="1" applyAlignment="1">
      <alignment horizontal="center" vertical="center" shrinkToFit="1" readingOrder="1"/>
    </xf>
    <xf numFmtId="0" fontId="53" fillId="17" borderId="64" xfId="0" applyFont="1" applyFill="1" applyBorder="1" applyAlignment="1">
      <alignment horizontal="center" vertical="center" shrinkToFit="1" readingOrder="1"/>
    </xf>
    <xf numFmtId="0" fontId="53" fillId="15" borderId="59" xfId="0" applyFont="1" applyFill="1" applyBorder="1" applyAlignment="1">
      <alignment horizontal="center" vertical="center"/>
    </xf>
    <xf numFmtId="0" fontId="53" fillId="15" borderId="60" xfId="0" applyFont="1" applyFill="1" applyBorder="1" applyAlignment="1">
      <alignment horizontal="center" vertical="center"/>
    </xf>
    <xf numFmtId="0" fontId="53" fillId="15" borderId="61" xfId="0" applyFont="1" applyFill="1" applyBorder="1" applyAlignment="1">
      <alignment horizontal="center" vertical="center"/>
    </xf>
    <xf numFmtId="0" fontId="53" fillId="11" borderId="74" xfId="0" applyFont="1" applyFill="1" applyBorder="1" applyAlignment="1">
      <alignment horizontal="center" vertical="center" shrinkToFit="1" readingOrder="1"/>
    </xf>
    <xf numFmtId="0" fontId="53" fillId="11" borderId="75" xfId="0" applyFont="1" applyFill="1" applyBorder="1" applyAlignment="1">
      <alignment horizontal="center" vertical="center" shrinkToFit="1" readingOrder="1"/>
    </xf>
    <xf numFmtId="0" fontId="53" fillId="11" borderId="76" xfId="0" applyFont="1" applyFill="1" applyBorder="1" applyAlignment="1">
      <alignment horizontal="center" vertical="center" shrinkToFit="1" readingOrder="1"/>
    </xf>
    <xf numFmtId="179" fontId="59" fillId="2" borderId="0" xfId="0" applyNumberFormat="1" applyFont="1" applyFill="1" applyAlignment="1">
      <alignment horizontal="center" vertical="center" shrinkToFit="1"/>
    </xf>
    <xf numFmtId="0" fontId="59" fillId="2" borderId="0" xfId="0" applyFont="1" applyFill="1" applyAlignment="1">
      <alignment horizontal="center" vertical="center" shrinkToFit="1"/>
    </xf>
    <xf numFmtId="0" fontId="13" fillId="2" borderId="126" xfId="0" applyFont="1" applyFill="1" applyBorder="1" applyAlignment="1">
      <alignment horizontal="right" vertical="center"/>
    </xf>
    <xf numFmtId="0" fontId="13" fillId="2" borderId="0" xfId="0" applyFont="1" applyFill="1" applyAlignment="1">
      <alignment horizontal="right" vertical="center"/>
    </xf>
    <xf numFmtId="179" fontId="81" fillId="2" borderId="101" xfId="0" applyNumberFormat="1" applyFont="1" applyFill="1" applyBorder="1" applyAlignment="1">
      <alignment horizontal="center" vertical="center" shrinkToFit="1" readingOrder="1"/>
    </xf>
    <xf numFmtId="179" fontId="81" fillId="2" borderId="100" xfId="0" applyNumberFormat="1" applyFont="1" applyFill="1" applyBorder="1" applyAlignment="1">
      <alignment horizontal="center" vertical="center" shrinkToFit="1" readingOrder="1"/>
    </xf>
    <xf numFmtId="179" fontId="81" fillId="2" borderId="102" xfId="0" applyNumberFormat="1" applyFont="1" applyFill="1" applyBorder="1" applyAlignment="1">
      <alignment horizontal="center" vertical="center" shrinkToFit="1" readingOrder="1"/>
    </xf>
    <xf numFmtId="179" fontId="81" fillId="2" borderId="103" xfId="0" applyNumberFormat="1" applyFont="1" applyFill="1" applyBorder="1" applyAlignment="1">
      <alignment horizontal="center" vertical="center" shrinkToFit="1" readingOrder="1"/>
    </xf>
    <xf numFmtId="179" fontId="81" fillId="2" borderId="104" xfId="0" applyNumberFormat="1" applyFont="1" applyFill="1" applyBorder="1" applyAlignment="1">
      <alignment horizontal="center" vertical="center" shrinkToFit="1" readingOrder="1"/>
    </xf>
    <xf numFmtId="179" fontId="81" fillId="2" borderId="105" xfId="0" applyNumberFormat="1" applyFont="1" applyFill="1" applyBorder="1" applyAlignment="1">
      <alignment horizontal="center" vertical="center" shrinkToFit="1" readingOrder="1"/>
    </xf>
    <xf numFmtId="179" fontId="59" fillId="2" borderId="0" xfId="0" applyNumberFormat="1" applyFont="1" applyFill="1" applyAlignment="1">
      <alignment horizontal="center" vertical="center"/>
    </xf>
    <xf numFmtId="0" fontId="59" fillId="2" borderId="0" xfId="0" applyFont="1" applyFill="1" applyAlignment="1">
      <alignment horizontal="center" vertical="center"/>
    </xf>
    <xf numFmtId="179" fontId="21" fillId="2" borderId="104" xfId="0" applyNumberFormat="1" applyFont="1" applyFill="1" applyBorder="1" applyAlignment="1">
      <alignment horizontal="center" vertical="center"/>
    </xf>
    <xf numFmtId="0" fontId="21" fillId="2" borderId="104" xfId="0" applyFont="1" applyFill="1" applyBorder="1" applyAlignment="1">
      <alignment horizontal="center" vertical="center"/>
    </xf>
    <xf numFmtId="0" fontId="13" fillId="2" borderId="127" xfId="0" applyFont="1" applyFill="1" applyBorder="1" applyAlignment="1">
      <alignment horizontal="left" vertical="center"/>
    </xf>
    <xf numFmtId="179" fontId="21" fillId="2" borderId="104" xfId="0" applyNumberFormat="1" applyFont="1" applyFill="1" applyBorder="1" applyAlignment="1">
      <alignment horizontal="right" vertical="center"/>
    </xf>
    <xf numFmtId="0" fontId="82" fillId="2" borderId="0" xfId="0" applyFont="1" applyFill="1" applyAlignment="1">
      <alignment horizontal="center" vertical="center"/>
    </xf>
    <xf numFmtId="179" fontId="81" fillId="2" borderId="101" xfId="0" applyNumberFormat="1" applyFont="1" applyFill="1" applyBorder="1" applyAlignment="1">
      <alignment horizontal="center" vertical="center" shrinkToFit="1"/>
    </xf>
    <xf numFmtId="179" fontId="81" fillId="2" borderId="100" xfId="0" applyNumberFormat="1" applyFont="1" applyFill="1" applyBorder="1" applyAlignment="1">
      <alignment horizontal="center" vertical="center" shrinkToFit="1"/>
    </xf>
    <xf numFmtId="179" fontId="81" fillId="2" borderId="102" xfId="0" applyNumberFormat="1" applyFont="1" applyFill="1" applyBorder="1" applyAlignment="1">
      <alignment horizontal="center" vertical="center" shrinkToFit="1"/>
    </xf>
    <xf numFmtId="179" fontId="81" fillId="2" borderId="103" xfId="0" applyNumberFormat="1" applyFont="1" applyFill="1" applyBorder="1" applyAlignment="1">
      <alignment horizontal="center" vertical="center" shrinkToFit="1"/>
    </xf>
    <xf numFmtId="179" fontId="81" fillId="2" borderId="104" xfId="0" applyNumberFormat="1" applyFont="1" applyFill="1" applyBorder="1" applyAlignment="1">
      <alignment horizontal="center" vertical="center" shrinkToFit="1"/>
    </xf>
    <xf numFmtId="179" fontId="81" fillId="2" borderId="105" xfId="0" applyNumberFormat="1" applyFont="1" applyFill="1" applyBorder="1" applyAlignment="1">
      <alignment horizontal="center" vertical="center" shrinkToFit="1"/>
    </xf>
    <xf numFmtId="179" fontId="17" fillId="2" borderId="0" xfId="0" applyNumberFormat="1" applyFont="1" applyFill="1" applyAlignment="1">
      <alignment horizontal="center" vertical="center" shrinkToFit="1"/>
    </xf>
    <xf numFmtId="179" fontId="17" fillId="2" borderId="0" xfId="0" applyNumberFormat="1" applyFont="1" applyFill="1" applyAlignment="1">
      <alignment horizontal="center" vertical="center" shrinkToFit="1" readingOrder="1"/>
    </xf>
    <xf numFmtId="0" fontId="39" fillId="2" borderId="0" xfId="0" applyFont="1" applyFill="1" applyAlignment="1">
      <alignment horizontal="center" vertical="center"/>
    </xf>
    <xf numFmtId="0" fontId="63" fillId="2" borderId="104" xfId="0" applyFont="1" applyFill="1" applyBorder="1" applyAlignment="1">
      <alignment horizontal="left"/>
    </xf>
    <xf numFmtId="0" fontId="133" fillId="33" borderId="173" xfId="0" applyFont="1" applyFill="1" applyBorder="1" applyAlignment="1">
      <alignment horizontal="center" vertical="center"/>
    </xf>
    <xf numFmtId="0" fontId="133" fillId="33" borderId="174" xfId="0" applyFont="1" applyFill="1" applyBorder="1" applyAlignment="1">
      <alignment horizontal="center" vertical="center"/>
    </xf>
    <xf numFmtId="0" fontId="133" fillId="33" borderId="175" xfId="0" applyFont="1" applyFill="1" applyBorder="1" applyAlignment="1">
      <alignment horizontal="center" vertical="center"/>
    </xf>
    <xf numFmtId="192" fontId="134" fillId="0" borderId="101" xfId="0" applyNumberFormat="1" applyFont="1" applyBorder="1" applyAlignment="1">
      <alignment horizontal="center" vertical="center"/>
    </xf>
    <xf numFmtId="192" fontId="134" fillId="0" borderId="100" xfId="0" applyNumberFormat="1" applyFont="1" applyBorder="1" applyAlignment="1">
      <alignment horizontal="center" vertical="center"/>
    </xf>
    <xf numFmtId="192" fontId="134" fillId="0" borderId="102" xfId="0" applyNumberFormat="1" applyFont="1" applyBorder="1" applyAlignment="1">
      <alignment horizontal="center" vertical="center"/>
    </xf>
    <xf numFmtId="192" fontId="134" fillId="0" borderId="176" xfId="0" applyNumberFormat="1" applyFont="1" applyBorder="1" applyAlignment="1">
      <alignment horizontal="center" vertical="center"/>
    </xf>
    <xf numFmtId="192" fontId="134" fillId="0" borderId="49" xfId="0" applyNumberFormat="1" applyFont="1" applyBorder="1" applyAlignment="1">
      <alignment horizontal="center" vertical="center"/>
    </xf>
    <xf numFmtId="192" fontId="134" fillId="0" borderId="177" xfId="0" applyNumberFormat="1" applyFont="1" applyBorder="1" applyAlignment="1">
      <alignment horizontal="center" vertical="center"/>
    </xf>
    <xf numFmtId="0" fontId="132" fillId="17" borderId="62" xfId="0" applyFont="1" applyFill="1" applyBorder="1" applyAlignment="1">
      <alignment horizontal="center" vertical="top"/>
    </xf>
    <xf numFmtId="0" fontId="132" fillId="17" borderId="63" xfId="0" applyFont="1" applyFill="1" applyBorder="1" applyAlignment="1">
      <alignment horizontal="center" vertical="top"/>
    </xf>
    <xf numFmtId="0" fontId="132" fillId="17" borderId="64" xfId="0" applyFont="1" applyFill="1" applyBorder="1" applyAlignment="1">
      <alignment horizontal="center" vertical="top"/>
    </xf>
    <xf numFmtId="179" fontId="13" fillId="2" borderId="45" xfId="0" applyNumberFormat="1" applyFont="1" applyFill="1" applyBorder="1" applyAlignment="1">
      <alignment horizontal="center"/>
    </xf>
    <xf numFmtId="179" fontId="13" fillId="2" borderId="46" xfId="0" applyNumberFormat="1" applyFont="1" applyFill="1" applyBorder="1" applyAlignment="1">
      <alignment horizontal="center"/>
    </xf>
    <xf numFmtId="179" fontId="13" fillId="2" borderId="47" xfId="0" applyNumberFormat="1" applyFont="1" applyFill="1" applyBorder="1" applyAlignment="1">
      <alignment horizontal="center"/>
    </xf>
    <xf numFmtId="179" fontId="13" fillId="2" borderId="48" xfId="0" applyNumberFormat="1" applyFont="1" applyFill="1" applyBorder="1" applyAlignment="1">
      <alignment horizontal="center"/>
    </xf>
    <xf numFmtId="179" fontId="13" fillId="2" borderId="49" xfId="0" applyNumberFormat="1" applyFont="1" applyFill="1" applyBorder="1" applyAlignment="1">
      <alignment horizontal="center"/>
    </xf>
    <xf numFmtId="179" fontId="13" fillId="2" borderId="50" xfId="0" applyNumberFormat="1" applyFont="1" applyFill="1" applyBorder="1" applyAlignment="1">
      <alignment horizontal="center"/>
    </xf>
    <xf numFmtId="0" fontId="131" fillId="14" borderId="3" xfId="0" applyFont="1" applyFill="1" applyBorder="1" applyAlignment="1">
      <alignment horizontal="center"/>
    </xf>
    <xf numFmtId="0" fontId="15" fillId="14" borderId="3" xfId="0" applyFont="1" applyFill="1" applyBorder="1" applyAlignment="1">
      <alignment horizontal="center"/>
    </xf>
    <xf numFmtId="0" fontId="15" fillId="14" borderId="181" xfId="0" applyFont="1" applyFill="1" applyBorder="1" applyAlignment="1">
      <alignment horizontal="center"/>
    </xf>
    <xf numFmtId="0" fontId="15" fillId="14" borderId="15" xfId="0" applyFont="1" applyFill="1" applyBorder="1" applyAlignment="1">
      <alignment horizontal="center"/>
    </xf>
    <xf numFmtId="0" fontId="131" fillId="4" borderId="3" xfId="0" applyFont="1" applyFill="1" applyBorder="1" applyAlignment="1">
      <alignment horizontal="center"/>
    </xf>
    <xf numFmtId="0" fontId="15" fillId="4" borderId="3" xfId="0" applyFont="1" applyFill="1" applyBorder="1" applyAlignment="1">
      <alignment horizontal="center"/>
    </xf>
    <xf numFmtId="0" fontId="15" fillId="4" borderId="181" xfId="0" applyFont="1" applyFill="1" applyBorder="1" applyAlignment="1">
      <alignment horizontal="center"/>
    </xf>
    <xf numFmtId="0" fontId="15" fillId="4" borderId="15" xfId="0" applyFont="1" applyFill="1" applyBorder="1" applyAlignment="1">
      <alignment horizontal="center"/>
    </xf>
    <xf numFmtId="179" fontId="127" fillId="2" borderId="5" xfId="0" applyNumberFormat="1" applyFont="1" applyFill="1" applyBorder="1" applyAlignment="1">
      <alignment horizontal="center" vertical="center"/>
    </xf>
    <xf numFmtId="179" fontId="127" fillId="2" borderId="30" xfId="0" applyNumberFormat="1" applyFont="1" applyFill="1" applyBorder="1" applyAlignment="1">
      <alignment horizontal="center" vertical="center"/>
    </xf>
    <xf numFmtId="179" fontId="127" fillId="2" borderId="15" xfId="0" applyNumberFormat="1" applyFont="1" applyFill="1" applyBorder="1" applyAlignment="1">
      <alignment horizontal="center" vertical="center"/>
    </xf>
    <xf numFmtId="0" fontId="131" fillId="29" borderId="3" xfId="0" applyFont="1" applyFill="1" applyBorder="1" applyAlignment="1">
      <alignment horizontal="center"/>
    </xf>
    <xf numFmtId="0" fontId="15" fillId="29" borderId="3" xfId="0" applyFont="1" applyFill="1" applyBorder="1" applyAlignment="1">
      <alignment horizontal="center"/>
    </xf>
    <xf numFmtId="0" fontId="15" fillId="29" borderId="181" xfId="0" applyFont="1" applyFill="1" applyBorder="1" applyAlignment="1">
      <alignment horizontal="center"/>
    </xf>
    <xf numFmtId="0" fontId="15" fillId="29" borderId="15" xfId="0" applyFont="1" applyFill="1" applyBorder="1" applyAlignment="1">
      <alignment horizontal="center"/>
    </xf>
    <xf numFmtId="0" fontId="131" fillId="32" borderId="3" xfId="0" applyFont="1" applyFill="1" applyBorder="1" applyAlignment="1">
      <alignment horizontal="center"/>
    </xf>
    <xf numFmtId="0" fontId="15" fillId="32" borderId="3" xfId="0" applyFont="1" applyFill="1" applyBorder="1" applyAlignment="1">
      <alignment horizontal="center"/>
    </xf>
    <xf numFmtId="0" fontId="15" fillId="32" borderId="181" xfId="0" applyFont="1" applyFill="1" applyBorder="1" applyAlignment="1">
      <alignment horizontal="center"/>
    </xf>
    <xf numFmtId="0" fontId="131" fillId="30" borderId="15" xfId="0" applyFont="1" applyFill="1" applyBorder="1" applyAlignment="1">
      <alignment horizontal="center"/>
    </xf>
    <xf numFmtId="0" fontId="15" fillId="30" borderId="3" xfId="0" applyFont="1" applyFill="1" applyBorder="1" applyAlignment="1">
      <alignment horizontal="center"/>
    </xf>
    <xf numFmtId="0" fontId="128" fillId="29" borderId="3" xfId="0" applyFont="1" applyFill="1" applyBorder="1" applyAlignment="1">
      <alignment horizontal="center" vertical="center"/>
    </xf>
    <xf numFmtId="0" fontId="128" fillId="30" borderId="3" xfId="0" applyFont="1" applyFill="1" applyBorder="1" applyAlignment="1">
      <alignment horizontal="center" vertical="center"/>
    </xf>
    <xf numFmtId="0" fontId="0" fillId="10" borderId="5" xfId="0" applyFill="1" applyBorder="1" applyAlignment="1">
      <alignment horizontal="left" vertical="center"/>
    </xf>
    <xf numFmtId="0" fontId="0" fillId="10" borderId="30" xfId="0" applyFill="1" applyBorder="1" applyAlignment="1">
      <alignment horizontal="left" vertical="center"/>
    </xf>
    <xf numFmtId="0" fontId="0" fillId="10" borderId="15" xfId="0" applyFill="1" applyBorder="1" applyAlignment="1">
      <alignment horizontal="left" vertical="center"/>
    </xf>
    <xf numFmtId="0" fontId="0" fillId="32" borderId="5" xfId="0" applyFill="1" applyBorder="1" applyAlignment="1">
      <alignment horizontal="left" vertical="center"/>
    </xf>
    <xf numFmtId="0" fontId="0" fillId="32" borderId="30" xfId="0" applyFill="1" applyBorder="1" applyAlignment="1">
      <alignment horizontal="left" vertical="center"/>
    </xf>
    <xf numFmtId="0" fontId="0" fillId="32" borderId="15" xfId="0" applyFill="1" applyBorder="1" applyAlignment="1">
      <alignment horizontal="left" vertical="center"/>
    </xf>
    <xf numFmtId="0" fontId="13" fillId="14" borderId="3" xfId="0" applyFont="1" applyFill="1" applyBorder="1" applyAlignment="1">
      <alignment horizontal="center" vertical="center"/>
    </xf>
    <xf numFmtId="0" fontId="13" fillId="31" borderId="3" xfId="0" applyFont="1" applyFill="1" applyBorder="1" applyAlignment="1">
      <alignment horizontal="center" vertical="center"/>
    </xf>
    <xf numFmtId="0" fontId="125" fillId="2" borderId="0" xfId="0" applyFont="1" applyFill="1" applyAlignment="1">
      <alignment horizontal="center" vertical="center"/>
    </xf>
    <xf numFmtId="0" fontId="0" fillId="14" borderId="5" xfId="0" applyFill="1" applyBorder="1" applyAlignment="1">
      <alignment horizontal="left" vertical="center"/>
    </xf>
    <xf numFmtId="0" fontId="0" fillId="14" borderId="30" xfId="0" applyFill="1" applyBorder="1" applyAlignment="1">
      <alignment horizontal="left" vertical="center"/>
    </xf>
    <xf numFmtId="0" fontId="0" fillId="14" borderId="15" xfId="0" applyFill="1" applyBorder="1" applyAlignment="1">
      <alignment horizontal="left" vertical="center"/>
    </xf>
    <xf numFmtId="0" fontId="0" fillId="4" borderId="5" xfId="0" applyFill="1" applyBorder="1" applyAlignment="1">
      <alignment horizontal="left" vertical="center"/>
    </xf>
    <xf numFmtId="0" fontId="0" fillId="4" borderId="30" xfId="0" applyFill="1" applyBorder="1" applyAlignment="1">
      <alignment horizontal="left" vertical="center"/>
    </xf>
    <xf numFmtId="0" fontId="0" fillId="4" borderId="15" xfId="0" applyFill="1" applyBorder="1" applyAlignment="1">
      <alignment horizontal="left" vertical="center"/>
    </xf>
    <xf numFmtId="0" fontId="13" fillId="14" borderId="185" xfId="0" applyFont="1" applyFill="1" applyBorder="1" applyAlignment="1">
      <alignment horizontal="center" vertical="center"/>
    </xf>
    <xf numFmtId="0" fontId="13" fillId="14" borderId="186" xfId="0" applyFont="1" applyFill="1" applyBorder="1" applyAlignment="1">
      <alignment horizontal="center" vertical="center"/>
    </xf>
    <xf numFmtId="0" fontId="13" fillId="14" borderId="187" xfId="0" applyFont="1" applyFill="1" applyBorder="1" applyAlignment="1">
      <alignment horizontal="center" vertical="center"/>
    </xf>
    <xf numFmtId="0" fontId="13" fillId="31" borderId="185" xfId="0" applyFont="1" applyFill="1" applyBorder="1" applyAlignment="1">
      <alignment horizontal="center" vertical="center"/>
    </xf>
    <xf numFmtId="0" fontId="13" fillId="31" borderId="186" xfId="0" applyFont="1" applyFill="1" applyBorder="1" applyAlignment="1">
      <alignment horizontal="center" vertical="center"/>
    </xf>
    <xf numFmtId="0" fontId="13" fillId="31" borderId="187" xfId="0" applyFont="1" applyFill="1" applyBorder="1" applyAlignment="1">
      <alignment horizontal="center" vertical="center"/>
    </xf>
    <xf numFmtId="0" fontId="131" fillId="14" borderId="185" xfId="0" applyFont="1" applyFill="1" applyBorder="1" applyAlignment="1">
      <alignment horizontal="center"/>
    </xf>
    <xf numFmtId="0" fontId="15" fillId="14" borderId="186" xfId="0" applyFont="1" applyFill="1" applyBorder="1" applyAlignment="1">
      <alignment horizontal="center"/>
    </xf>
    <xf numFmtId="0" fontId="15" fillId="14" borderId="189" xfId="0" applyFont="1" applyFill="1" applyBorder="1" applyAlignment="1">
      <alignment horizontal="center"/>
    </xf>
    <xf numFmtId="0" fontId="15" fillId="14" borderId="188" xfId="0" applyFont="1" applyFill="1" applyBorder="1" applyAlignment="1">
      <alignment horizontal="center"/>
    </xf>
    <xf numFmtId="0" fontId="15" fillId="14" borderId="187" xfId="0" applyFont="1" applyFill="1" applyBorder="1" applyAlignment="1">
      <alignment horizontal="center"/>
    </xf>
    <xf numFmtId="0" fontId="131" fillId="4" borderId="185" xfId="0" applyFont="1" applyFill="1" applyBorder="1" applyAlignment="1">
      <alignment horizontal="center"/>
    </xf>
    <xf numFmtId="0" fontId="15" fillId="4" borderId="186" xfId="0" applyFont="1" applyFill="1" applyBorder="1" applyAlignment="1">
      <alignment horizontal="center"/>
    </xf>
    <xf numFmtId="0" fontId="15" fillId="4" borderId="189" xfId="0" applyFont="1" applyFill="1" applyBorder="1" applyAlignment="1">
      <alignment horizontal="center"/>
    </xf>
    <xf numFmtId="0" fontId="15" fillId="4" borderId="188" xfId="0" applyFont="1" applyFill="1" applyBorder="1" applyAlignment="1">
      <alignment horizontal="center"/>
    </xf>
    <xf numFmtId="0" fontId="15" fillId="4" borderId="187" xfId="0" applyFont="1" applyFill="1" applyBorder="1" applyAlignment="1">
      <alignment horizontal="center"/>
    </xf>
    <xf numFmtId="0" fontId="128" fillId="29" borderId="5" xfId="0" applyFont="1" applyFill="1" applyBorder="1" applyAlignment="1">
      <alignment horizontal="center" vertical="center"/>
    </xf>
    <xf numFmtId="0" fontId="128" fillId="29" borderId="30" xfId="0" applyFont="1" applyFill="1" applyBorder="1" applyAlignment="1">
      <alignment horizontal="center" vertical="center"/>
    </xf>
    <xf numFmtId="0" fontId="128" fillId="29" borderId="15" xfId="0" applyFont="1" applyFill="1" applyBorder="1" applyAlignment="1">
      <alignment horizontal="center" vertical="center"/>
    </xf>
    <xf numFmtId="0" fontId="131" fillId="29" borderId="5" xfId="0" applyFont="1" applyFill="1" applyBorder="1" applyAlignment="1">
      <alignment horizontal="center"/>
    </xf>
    <xf numFmtId="0" fontId="15" fillId="29" borderId="30" xfId="0" applyFont="1" applyFill="1" applyBorder="1" applyAlignment="1">
      <alignment horizontal="center"/>
    </xf>
    <xf numFmtId="0" fontId="15" fillId="29" borderId="182" xfId="0" applyFont="1" applyFill="1" applyBorder="1" applyAlignment="1">
      <alignment horizontal="center"/>
    </xf>
    <xf numFmtId="0" fontId="152" fillId="0" borderId="241" xfId="0" applyFont="1" applyBorder="1" applyAlignment="1">
      <alignment horizontal="center" vertical="center"/>
    </xf>
    <xf numFmtId="0" fontId="152" fillId="0" borderId="242" xfId="0" applyFont="1" applyBorder="1" applyAlignment="1">
      <alignment horizontal="center" vertical="center"/>
    </xf>
    <xf numFmtId="0" fontId="152" fillId="0" borderId="243" xfId="0" applyFont="1" applyBorder="1" applyAlignment="1">
      <alignment horizontal="center" vertical="center"/>
    </xf>
    <xf numFmtId="0" fontId="152" fillId="0" borderId="244" xfId="0" applyFont="1" applyBorder="1" applyAlignment="1">
      <alignment horizontal="center" vertical="center"/>
    </xf>
    <xf numFmtId="0" fontId="152" fillId="0" borderId="0" xfId="0" applyFont="1" applyAlignment="1">
      <alignment horizontal="center" vertical="center"/>
    </xf>
    <xf numFmtId="0" fontId="152" fillId="0" borderId="245" xfId="0" applyFont="1" applyBorder="1" applyAlignment="1">
      <alignment horizontal="center" vertical="center"/>
    </xf>
    <xf numFmtId="0" fontId="132" fillId="39" borderId="3" xfId="0" applyFont="1" applyFill="1" applyBorder="1" applyAlignment="1">
      <alignment horizontal="center"/>
    </xf>
    <xf numFmtId="197" fontId="1" fillId="0" borderId="3" xfId="0" applyNumberFormat="1" applyFont="1" applyBorder="1" applyAlignment="1">
      <alignment horizontal="center" vertical="center"/>
    </xf>
    <xf numFmtId="197" fontId="153" fillId="0" borderId="3" xfId="0" applyNumberFormat="1" applyFont="1" applyBorder="1" applyAlignment="1">
      <alignment horizontal="center" vertical="center"/>
    </xf>
    <xf numFmtId="0" fontId="1" fillId="0" borderId="3" xfId="0" applyFont="1" applyBorder="1" applyAlignment="1">
      <alignment horizontal="right" vertical="center"/>
    </xf>
    <xf numFmtId="0" fontId="9" fillId="7" borderId="0" xfId="0" applyFont="1" applyFill="1" applyAlignment="1">
      <alignment horizontal="center" vertical="center"/>
    </xf>
    <xf numFmtId="0" fontId="135" fillId="0" borderId="195" xfId="0" applyFont="1" applyBorder="1" applyAlignment="1">
      <alignment horizontal="left" vertical="center" shrinkToFit="1"/>
    </xf>
    <xf numFmtId="0" fontId="135" fillId="0" borderId="196" xfId="0" applyFont="1" applyBorder="1" applyAlignment="1">
      <alignment horizontal="left" vertical="center" shrinkToFit="1"/>
    </xf>
    <xf numFmtId="0" fontId="135" fillId="0" borderId="198" xfId="0" applyFont="1" applyBorder="1" applyAlignment="1">
      <alignment horizontal="left" vertical="center" shrinkToFit="1"/>
    </xf>
    <xf numFmtId="0" fontId="135" fillId="0" borderId="0" xfId="0" applyFont="1" applyAlignment="1">
      <alignment horizontal="left" vertical="center" shrinkToFit="1"/>
    </xf>
    <xf numFmtId="0" fontId="1" fillId="0" borderId="158" xfId="0" applyFont="1" applyBorder="1" applyAlignment="1">
      <alignment horizontal="center" vertical="center" wrapText="1"/>
    </xf>
    <xf numFmtId="0" fontId="1" fillId="0" borderId="160" xfId="0" applyFont="1" applyBorder="1" applyAlignment="1">
      <alignment horizontal="center" vertical="center"/>
    </xf>
    <xf numFmtId="0" fontId="1" fillId="0" borderId="162" xfId="0" applyFont="1" applyBorder="1" applyAlignment="1">
      <alignment horizontal="center" vertical="center"/>
    </xf>
    <xf numFmtId="0" fontId="25" fillId="0" borderId="1" xfId="0" applyFont="1" applyBorder="1" applyAlignment="1">
      <alignment horizontal="center" vertical="center" shrinkToFit="1"/>
    </xf>
    <xf numFmtId="0" fontId="25" fillId="0" borderId="9" xfId="0" applyFont="1" applyBorder="1" applyAlignment="1">
      <alignment horizontal="center" vertical="center" shrinkToFit="1"/>
    </xf>
    <xf numFmtId="0" fontId="25" fillId="0" borderId="4" xfId="0" applyFont="1" applyBorder="1" applyAlignment="1">
      <alignment horizontal="center" vertical="center" shrinkToFit="1"/>
    </xf>
    <xf numFmtId="0" fontId="43" fillId="10" borderId="0" xfId="0" applyFont="1" applyFill="1" applyAlignment="1">
      <alignment horizontal="center" vertical="center"/>
    </xf>
    <xf numFmtId="0" fontId="96" fillId="18" borderId="227" xfId="0" applyFont="1" applyFill="1" applyBorder="1" applyAlignment="1">
      <alignment horizontal="left" vertical="center" shrinkToFit="1"/>
    </xf>
    <xf numFmtId="0" fontId="96" fillId="18" borderId="228" xfId="0" applyFont="1" applyFill="1" applyBorder="1" applyAlignment="1">
      <alignment horizontal="left" vertical="center" shrinkToFit="1"/>
    </xf>
    <xf numFmtId="0" fontId="96" fillId="18" borderId="229" xfId="0" applyFont="1" applyFill="1" applyBorder="1" applyAlignment="1">
      <alignment horizontal="left" vertical="center" shrinkToFit="1"/>
    </xf>
    <xf numFmtId="38" fontId="96" fillId="18" borderId="227" xfId="0" applyNumberFormat="1" applyFont="1" applyFill="1" applyBorder="1" applyAlignment="1">
      <alignment horizontal="left" vertical="center" shrinkToFit="1"/>
    </xf>
    <xf numFmtId="0" fontId="138" fillId="2" borderId="218" xfId="0" applyFont="1" applyFill="1" applyBorder="1" applyAlignment="1">
      <alignment horizontal="center" vertical="center" shrinkToFit="1"/>
    </xf>
    <xf numFmtId="0" fontId="138" fillId="2" borderId="9" xfId="0" applyFont="1" applyFill="1" applyBorder="1" applyAlignment="1">
      <alignment horizontal="center" vertical="center" shrinkToFit="1"/>
    </xf>
    <xf numFmtId="0" fontId="138" fillId="2" borderId="225" xfId="0" applyFont="1" applyFill="1" applyBorder="1" applyAlignment="1">
      <alignment horizontal="center" vertical="center" shrinkToFit="1"/>
    </xf>
    <xf numFmtId="0" fontId="25" fillId="2" borderId="217" xfId="0" applyFont="1" applyFill="1" applyBorder="1" applyAlignment="1">
      <alignment horizontal="center" vertical="center" shrinkToFit="1"/>
    </xf>
    <xf numFmtId="0" fontId="25" fillId="2" borderId="221" xfId="0" applyFont="1" applyFill="1" applyBorder="1" applyAlignment="1">
      <alignment horizontal="center" vertical="center" shrinkToFit="1"/>
    </xf>
    <xf numFmtId="0" fontId="25" fillId="2" borderId="224" xfId="0" applyFont="1" applyFill="1" applyBorder="1" applyAlignment="1">
      <alignment horizontal="center" vertical="center" shrinkToFit="1"/>
    </xf>
    <xf numFmtId="0" fontId="96" fillId="18" borderId="1" xfId="0" applyFont="1" applyFill="1" applyBorder="1" applyAlignment="1">
      <alignment horizontal="left" vertical="center" shrinkToFit="1"/>
    </xf>
    <xf numFmtId="0" fontId="96" fillId="18" borderId="223" xfId="0" applyFont="1" applyFill="1" applyBorder="1" applyAlignment="1">
      <alignment horizontal="left" vertical="center" shrinkToFit="1"/>
    </xf>
    <xf numFmtId="0" fontId="139" fillId="7" borderId="0" xfId="0" applyFont="1" applyFill="1" applyAlignment="1">
      <alignment horizontal="center" vertical="center"/>
    </xf>
    <xf numFmtId="0" fontId="35" fillId="2" borderId="0" xfId="0" applyFont="1" applyFill="1" applyAlignment="1">
      <alignment horizontal="left" vertical="center"/>
    </xf>
    <xf numFmtId="0" fontId="35" fillId="2" borderId="3" xfId="0" applyFont="1" applyFill="1" applyBorder="1" applyAlignment="1">
      <alignment horizontal="center" vertical="center" shrinkToFit="1"/>
    </xf>
    <xf numFmtId="0" fontId="35" fillId="2" borderId="5" xfId="0" applyFont="1" applyFill="1" applyBorder="1" applyAlignment="1">
      <alignment horizontal="center" vertical="center" shrinkToFit="1"/>
    </xf>
    <xf numFmtId="0" fontId="35" fillId="2" borderId="3" xfId="0" applyFont="1" applyFill="1" applyBorder="1" applyAlignment="1">
      <alignment horizontal="center" vertical="center"/>
    </xf>
    <xf numFmtId="0" fontId="35" fillId="2" borderId="5" xfId="0" applyFont="1" applyFill="1" applyBorder="1" applyAlignment="1">
      <alignment horizontal="center" vertical="center"/>
    </xf>
    <xf numFmtId="0" fontId="35" fillId="4" borderId="7" xfId="0" applyFont="1" applyFill="1" applyBorder="1" applyAlignment="1">
      <alignment horizontal="left" vertical="center"/>
    </xf>
    <xf numFmtId="0" fontId="35" fillId="4" borderId="118" xfId="0" applyFont="1" applyFill="1" applyBorder="1" applyAlignment="1">
      <alignment horizontal="left" vertical="center"/>
    </xf>
    <xf numFmtId="0" fontId="35" fillId="4" borderId="119" xfId="0" applyFont="1" applyFill="1" applyBorder="1" applyAlignment="1">
      <alignment horizontal="left" vertical="center"/>
    </xf>
    <xf numFmtId="0" fontId="35" fillId="4" borderId="8" xfId="0" applyFont="1" applyFill="1" applyBorder="1" applyAlignment="1">
      <alignment horizontal="left" vertical="center"/>
    </xf>
    <xf numFmtId="0" fontId="35" fillId="4" borderId="106" xfId="0" applyFont="1" applyFill="1" applyBorder="1" applyAlignment="1">
      <alignment horizontal="left" vertical="center"/>
    </xf>
    <xf numFmtId="0" fontId="35" fillId="4" borderId="107" xfId="0" applyFont="1" applyFill="1" applyBorder="1" applyAlignment="1">
      <alignment horizontal="left" vertical="center"/>
    </xf>
    <xf numFmtId="0" fontId="35" fillId="2" borderId="142" xfId="0" applyFont="1" applyFill="1" applyBorder="1" applyAlignment="1">
      <alignment horizontal="left" vertical="center"/>
    </xf>
    <xf numFmtId="0" fontId="35" fillId="2" borderId="143" xfId="0" applyFont="1" applyFill="1" applyBorder="1" applyAlignment="1">
      <alignment horizontal="left" vertical="center"/>
    </xf>
    <xf numFmtId="0" fontId="35" fillId="5" borderId="155" xfId="0" applyFont="1" applyFill="1" applyBorder="1" applyAlignment="1">
      <alignment horizontal="left" vertical="center"/>
    </xf>
    <xf numFmtId="0" fontId="35" fillId="5" borderId="156" xfId="0" applyFont="1" applyFill="1" applyBorder="1" applyAlignment="1">
      <alignment horizontal="left" vertical="center"/>
    </xf>
    <xf numFmtId="0" fontId="35" fillId="5" borderId="157" xfId="0" applyFont="1" applyFill="1" applyBorder="1" applyAlignment="1">
      <alignment horizontal="left" vertical="center"/>
    </xf>
    <xf numFmtId="0" fontId="35" fillId="4" borderId="12" xfId="0" applyFont="1" applyFill="1" applyBorder="1" applyAlignment="1">
      <alignment horizontal="left" vertical="center"/>
    </xf>
    <xf numFmtId="0" fontId="35" fillId="4" borderId="108" xfId="0" applyFont="1" applyFill="1" applyBorder="1" applyAlignment="1">
      <alignment horizontal="left" vertical="center"/>
    </xf>
    <xf numFmtId="0" fontId="35" fillId="4" borderId="109" xfId="0" applyFont="1" applyFill="1" applyBorder="1" applyAlignment="1">
      <alignment horizontal="left" vertical="center"/>
    </xf>
    <xf numFmtId="0" fontId="35" fillId="2" borderId="139" xfId="0" applyFont="1" applyFill="1" applyBorder="1" applyAlignment="1">
      <alignment horizontal="left" vertical="center"/>
    </xf>
    <xf numFmtId="0" fontId="35" fillId="2" borderId="140" xfId="0" applyFont="1" applyFill="1" applyBorder="1" applyAlignment="1">
      <alignment horizontal="left" vertical="center"/>
    </xf>
    <xf numFmtId="0" fontId="147" fillId="8" borderId="17" xfId="5" applyFont="1" applyFill="1" applyBorder="1" applyAlignment="1" applyProtection="1">
      <alignment horizontal="center" vertical="center"/>
      <protection locked="0"/>
    </xf>
    <xf numFmtId="0" fontId="147" fillId="8" borderId="18" xfId="5" applyFont="1" applyFill="1" applyBorder="1" applyAlignment="1" applyProtection="1">
      <alignment horizontal="center" vertical="center"/>
      <protection locked="0"/>
    </xf>
    <xf numFmtId="0" fontId="147" fillId="8" borderId="19" xfId="5" applyFont="1" applyFill="1" applyBorder="1" applyAlignment="1" applyProtection="1">
      <alignment horizontal="center" vertical="center"/>
      <protection locked="0"/>
    </xf>
    <xf numFmtId="0" fontId="124" fillId="0" borderId="25" xfId="5" applyFont="1" applyBorder="1" applyAlignment="1" applyProtection="1">
      <alignment horizontal="left" vertical="center"/>
      <protection locked="0"/>
    </xf>
    <xf numFmtId="0" fontId="124" fillId="0" borderId="32" xfId="5" applyFont="1" applyBorder="1" applyAlignment="1" applyProtection="1">
      <alignment horizontal="left" vertical="center"/>
      <protection locked="0"/>
    </xf>
    <xf numFmtId="0" fontId="124" fillId="0" borderId="26" xfId="5" applyFont="1" applyBorder="1" applyAlignment="1" applyProtection="1">
      <alignment horizontal="left" vertical="center"/>
      <protection locked="0"/>
    </xf>
    <xf numFmtId="0" fontId="145" fillId="0" borderId="0" xfId="5" applyFont="1" applyAlignment="1" applyProtection="1">
      <alignment horizontal="center" vertical="center"/>
      <protection locked="0"/>
    </xf>
    <xf numFmtId="0" fontId="145" fillId="0" borderId="235" xfId="5" applyFont="1" applyBorder="1" applyAlignment="1" applyProtection="1">
      <alignment horizontal="center" vertical="center"/>
      <protection locked="0"/>
    </xf>
    <xf numFmtId="0" fontId="115" fillId="0" borderId="0" xfId="5" applyFont="1" applyAlignment="1" applyProtection="1">
      <alignment horizontal="left" vertical="center"/>
      <protection locked="0"/>
    </xf>
    <xf numFmtId="0" fontId="124" fillId="0" borderId="0" xfId="5" applyFont="1" applyAlignment="1" applyProtection="1">
      <alignment horizontal="left" vertical="center"/>
      <protection locked="0"/>
    </xf>
    <xf numFmtId="0" fontId="124" fillId="0" borderId="16" xfId="5" applyFont="1" applyBorder="1" applyAlignment="1" applyProtection="1">
      <alignment horizontal="center" vertical="center"/>
      <protection locked="0"/>
    </xf>
    <xf numFmtId="0" fontId="124" fillId="0" borderId="18" xfId="5" applyFont="1" applyBorder="1" applyAlignment="1" applyProtection="1">
      <alignment horizontal="right" vertical="center"/>
      <protection locked="0"/>
    </xf>
    <xf numFmtId="0" fontId="124" fillId="0" borderId="18" xfId="5" applyFont="1" applyBorder="1" applyAlignment="1" applyProtection="1">
      <alignment horizontal="center" vertical="center"/>
      <protection locked="0"/>
    </xf>
    <xf numFmtId="0" fontId="147" fillId="8" borderId="25" xfId="5" applyFont="1" applyFill="1" applyBorder="1" applyAlignment="1" applyProtection="1">
      <alignment horizontal="center" vertical="center"/>
      <protection locked="0"/>
    </xf>
    <xf numFmtId="0" fontId="147" fillId="8" borderId="32" xfId="5" applyFont="1" applyFill="1" applyBorder="1" applyAlignment="1" applyProtection="1">
      <alignment horizontal="center" vertical="center"/>
      <protection locked="0"/>
    </xf>
    <xf numFmtId="0" fontId="147" fillId="8" borderId="26" xfId="5" applyFont="1" applyFill="1" applyBorder="1" applyAlignment="1" applyProtection="1">
      <alignment horizontal="center" vertical="center"/>
      <protection locked="0"/>
    </xf>
    <xf numFmtId="0" fontId="147" fillId="8" borderId="236" xfId="5" applyFont="1" applyFill="1" applyBorder="1" applyAlignment="1" applyProtection="1">
      <alignment horizontal="center" vertical="center"/>
      <protection locked="0"/>
    </xf>
    <xf numFmtId="0" fontId="147" fillId="8" borderId="237" xfId="5" applyFont="1" applyFill="1" applyBorder="1" applyAlignment="1" applyProtection="1">
      <alignment horizontal="center" vertical="center"/>
      <protection locked="0"/>
    </xf>
    <xf numFmtId="0" fontId="147" fillId="8" borderId="130" xfId="5" applyFont="1" applyFill="1" applyBorder="1" applyAlignment="1" applyProtection="1">
      <alignment horizontal="center" vertical="center"/>
      <protection locked="0"/>
    </xf>
    <xf numFmtId="0" fontId="124" fillId="0" borderId="236" xfId="5" applyFont="1" applyBorder="1" applyAlignment="1" applyProtection="1">
      <alignment horizontal="left" vertical="top"/>
      <protection locked="0"/>
    </xf>
    <xf numFmtId="0" fontId="124" fillId="0" borderId="237" xfId="5" applyFont="1" applyBorder="1" applyAlignment="1" applyProtection="1">
      <alignment horizontal="left" vertical="top"/>
      <protection locked="0"/>
    </xf>
    <xf numFmtId="0" fontId="124" fillId="0" borderId="130" xfId="5" applyFont="1" applyBorder="1" applyAlignment="1" applyProtection="1">
      <alignment horizontal="left" vertical="top"/>
      <protection locked="0"/>
    </xf>
    <xf numFmtId="0" fontId="124" fillId="0" borderId="0" xfId="5" applyFont="1" applyAlignment="1" applyProtection="1">
      <alignment horizontal="right" vertical="center"/>
      <protection locked="0"/>
    </xf>
    <xf numFmtId="0" fontId="149" fillId="0" borderId="0" xfId="5" applyFont="1" applyAlignment="1" applyProtection="1">
      <alignment horizontal="center" vertical="center"/>
      <protection locked="0"/>
    </xf>
    <xf numFmtId="0" fontId="149" fillId="0" borderId="84" xfId="5" applyFont="1" applyBorder="1" applyAlignment="1" applyProtection="1">
      <alignment horizontal="center" vertical="center"/>
      <protection locked="0"/>
    </xf>
    <xf numFmtId="6" fontId="134" fillId="0" borderId="0" xfId="7" applyFont="1" applyBorder="1" applyAlignment="1" applyProtection="1">
      <alignment horizontal="center" vertical="center"/>
    </xf>
    <xf numFmtId="6" fontId="134" fillId="0" borderId="84" xfId="7" applyFont="1" applyBorder="1" applyAlignment="1" applyProtection="1">
      <alignment horizontal="center" vertical="center"/>
    </xf>
    <xf numFmtId="0" fontId="148" fillId="0" borderId="0" xfId="5" applyFont="1" applyAlignment="1" applyProtection="1">
      <alignment horizontal="center" vertical="center"/>
      <protection locked="0"/>
    </xf>
    <xf numFmtId="0" fontId="148" fillId="0" borderId="84" xfId="5" applyFont="1" applyBorder="1" applyAlignment="1" applyProtection="1">
      <alignment horizontal="center" vertical="center"/>
      <protection locked="0"/>
    </xf>
    <xf numFmtId="0" fontId="147" fillId="8" borderId="24" xfId="5" applyFont="1" applyFill="1" applyBorder="1" applyAlignment="1" applyProtection="1">
      <alignment horizontal="center" vertical="center"/>
      <protection locked="0"/>
    </xf>
    <xf numFmtId="0" fontId="124" fillId="0" borderId="40" xfId="5" applyFont="1" applyBorder="1" applyAlignment="1" applyProtection="1">
      <alignment horizontal="center" vertical="center"/>
      <protection locked="0"/>
    </xf>
    <xf numFmtId="6" fontId="124" fillId="0" borderId="40" xfId="7" applyFont="1" applyFill="1" applyBorder="1" applyAlignment="1" applyProtection="1">
      <alignment horizontal="center" vertical="center"/>
      <protection locked="0"/>
    </xf>
    <xf numFmtId="6" fontId="124" fillId="0" borderId="40" xfId="7" applyFont="1" applyBorder="1" applyAlignment="1" applyProtection="1">
      <alignment vertical="center"/>
    </xf>
    <xf numFmtId="0" fontId="124" fillId="0" borderId="34" xfId="5" applyFont="1" applyBorder="1" applyAlignment="1" applyProtection="1">
      <alignment horizontal="center" vertical="center"/>
      <protection locked="0"/>
    </xf>
    <xf numFmtId="6" fontId="124" fillId="0" borderId="34" xfId="7" applyFont="1" applyBorder="1" applyAlignment="1" applyProtection="1">
      <alignment horizontal="center" vertical="center"/>
      <protection locked="0"/>
    </xf>
    <xf numFmtId="6" fontId="124" fillId="0" borderId="34" xfId="7" applyFont="1" applyBorder="1" applyAlignment="1" applyProtection="1">
      <alignment vertical="center"/>
    </xf>
    <xf numFmtId="0" fontId="124" fillId="0" borderId="37" xfId="5" applyFont="1" applyBorder="1" applyAlignment="1" applyProtection="1">
      <alignment horizontal="center" vertical="center"/>
      <protection locked="0"/>
    </xf>
    <xf numFmtId="6" fontId="124" fillId="0" borderId="238" xfId="7" applyFont="1" applyBorder="1" applyAlignment="1" applyProtection="1">
      <alignment horizontal="center" vertical="center"/>
      <protection locked="0"/>
    </xf>
    <xf numFmtId="6" fontId="124" fillId="0" borderId="238" xfId="7" applyFont="1" applyBorder="1" applyAlignment="1" applyProtection="1">
      <alignment vertical="center"/>
    </xf>
    <xf numFmtId="0" fontId="147" fillId="8" borderId="239" xfId="5" applyFont="1" applyFill="1" applyBorder="1" applyAlignment="1" applyProtection="1">
      <alignment horizontal="center" vertical="center"/>
      <protection locked="0"/>
    </xf>
    <xf numFmtId="0" fontId="25" fillId="5" borderId="7" xfId="0" applyFont="1" applyFill="1" applyBorder="1" applyAlignment="1">
      <alignment vertical="center"/>
    </xf>
    <xf numFmtId="0" fontId="25" fillId="5" borderId="118" xfId="0" applyFont="1" applyFill="1" applyBorder="1" applyAlignment="1">
      <alignment vertical="center"/>
    </xf>
    <xf numFmtId="0" fontId="25" fillId="5" borderId="119" xfId="0" applyFont="1" applyFill="1" applyBorder="1" applyAlignment="1">
      <alignment vertical="center"/>
    </xf>
    <xf numFmtId="0" fontId="25" fillId="5" borderId="8" xfId="0" applyFont="1" applyFill="1" applyBorder="1" applyAlignment="1">
      <alignment vertical="center"/>
    </xf>
    <xf numFmtId="0" fontId="25" fillId="5" borderId="106" xfId="0" applyFont="1" applyFill="1" applyBorder="1" applyAlignment="1">
      <alignment vertical="center"/>
    </xf>
    <xf numFmtId="0" fontId="25" fillId="5" borderId="107" xfId="0" applyFont="1" applyFill="1" applyBorder="1" applyAlignment="1">
      <alignment vertical="center"/>
    </xf>
    <xf numFmtId="0" fontId="25" fillId="5" borderId="12" xfId="0" applyFont="1" applyFill="1" applyBorder="1" applyAlignment="1">
      <alignment vertical="center"/>
    </xf>
    <xf numFmtId="0" fontId="25" fillId="5" borderId="108" xfId="0" applyFont="1" applyFill="1" applyBorder="1" applyAlignment="1">
      <alignment vertical="center"/>
    </xf>
    <xf numFmtId="0" fontId="25" fillId="5" borderId="109" xfId="0" applyFont="1" applyFill="1" applyBorder="1" applyAlignment="1">
      <alignment vertical="center"/>
    </xf>
    <xf numFmtId="0" fontId="25" fillId="0" borderId="0" xfId="0" applyFont="1" applyAlignment="1">
      <alignment vertical="center"/>
    </xf>
    <xf numFmtId="0" fontId="144" fillId="0" borderId="0" xfId="8" applyAlignment="1">
      <alignment vertical="top"/>
    </xf>
    <xf numFmtId="0" fontId="31" fillId="2" borderId="43" xfId="0" applyFont="1" applyFill="1" applyBorder="1" applyAlignment="1">
      <alignment vertical="center"/>
    </xf>
    <xf numFmtId="0" fontId="31" fillId="2" borderId="29" xfId="0" applyFont="1" applyFill="1" applyBorder="1" applyAlignment="1">
      <alignment vertical="center"/>
    </xf>
    <xf numFmtId="0" fontId="31" fillId="2" borderId="44" xfId="0" applyFont="1" applyFill="1" applyBorder="1" applyAlignment="1">
      <alignment vertical="center"/>
    </xf>
    <xf numFmtId="0" fontId="66" fillId="2" borderId="154" xfId="0" applyFont="1" applyFill="1" applyBorder="1" applyAlignment="1">
      <alignment vertical="center"/>
    </xf>
    <xf numFmtId="0" fontId="66" fillId="2" borderId="0" xfId="0" applyFont="1" applyFill="1" applyAlignment="1">
      <alignment vertical="center"/>
    </xf>
    <xf numFmtId="0" fontId="31" fillId="2" borderId="0" xfId="0" applyFont="1" applyFill="1" applyAlignment="1">
      <alignment vertical="center"/>
    </xf>
    <xf numFmtId="0" fontId="35" fillId="2" borderId="133" xfId="0" applyFont="1" applyFill="1" applyBorder="1" applyAlignment="1">
      <alignment vertical="center"/>
    </xf>
    <xf numFmtId="0" fontId="35" fillId="2" borderId="134" xfId="0" applyFont="1" applyFill="1" applyBorder="1" applyAlignment="1">
      <alignment vertical="center"/>
    </xf>
    <xf numFmtId="0" fontId="35" fillId="2" borderId="136" xfId="0" applyFont="1" applyFill="1" applyBorder="1" applyAlignment="1">
      <alignment vertical="center"/>
    </xf>
    <xf numFmtId="0" fontId="35" fillId="2" borderId="137" xfId="0" applyFont="1" applyFill="1" applyBorder="1" applyAlignment="1">
      <alignment vertical="center"/>
    </xf>
    <xf numFmtId="0" fontId="35" fillId="2" borderId="139" xfId="0" applyFont="1" applyFill="1" applyBorder="1" applyAlignment="1">
      <alignment vertical="center"/>
    </xf>
    <xf numFmtId="0" fontId="35" fillId="2" borderId="140" xfId="0" applyFont="1" applyFill="1" applyBorder="1" applyAlignment="1">
      <alignment vertical="center"/>
    </xf>
    <xf numFmtId="0" fontId="37" fillId="23" borderId="135" xfId="0" applyFont="1" applyFill="1" applyBorder="1" applyAlignment="1">
      <alignment vertical="center"/>
    </xf>
    <xf numFmtId="0" fontId="115" fillId="0" borderId="0" xfId="5" applyFont="1" applyAlignment="1" applyProtection="1">
      <alignment vertical="center"/>
      <protection locked="0"/>
    </xf>
    <xf numFmtId="0" fontId="124" fillId="0" borderId="0" xfId="5" applyFont="1" applyAlignment="1" applyProtection="1">
      <alignment vertical="center"/>
      <protection locked="0"/>
    </xf>
    <xf numFmtId="14" fontId="124" fillId="0" borderId="0" xfId="5" applyNumberFormat="1" applyFont="1" applyAlignment="1" applyProtection="1">
      <alignment vertical="center"/>
      <protection locked="0"/>
    </xf>
    <xf numFmtId="0" fontId="148" fillId="0" borderId="0" xfId="5" applyFont="1" applyAlignment="1" applyProtection="1">
      <alignment vertical="center"/>
      <protection locked="0"/>
    </xf>
    <xf numFmtId="6" fontId="124" fillId="0" borderId="239" xfId="5" applyNumberFormat="1" applyFont="1" applyBorder="1" applyAlignment="1">
      <alignment vertical="center"/>
    </xf>
    <xf numFmtId="0" fontId="124" fillId="0" borderId="239" xfId="5" applyFont="1" applyBorder="1" applyAlignment="1">
      <alignment vertical="center"/>
    </xf>
    <xf numFmtId="6" fontId="124" fillId="0" borderId="24" xfId="5" applyNumberFormat="1" applyFont="1" applyBorder="1" applyAlignment="1">
      <alignment vertical="center"/>
    </xf>
    <xf numFmtId="0" fontId="124" fillId="0" borderId="24" xfId="5" applyFont="1" applyBorder="1" applyAlignment="1">
      <alignment vertical="center"/>
    </xf>
  </cellXfs>
  <cellStyles count="9">
    <cellStyle name="Hyperlink" xfId="4" xr:uid="{00000000-000B-0000-0000-000008000000}"/>
    <cellStyle name="パーセント" xfId="2" builtinId="5"/>
    <cellStyle name="パーセント 2" xfId="6" xr:uid="{9B6D5258-5BCC-4B51-B6BF-D6E1C069FBFB}"/>
    <cellStyle name="桁区切り" xfId="1" builtinId="6"/>
    <cellStyle name="通貨 2" xfId="7" xr:uid="{F621F119-2E8D-4D68-8833-B3F7630A09FE}"/>
    <cellStyle name="標準" xfId="0" builtinId="0"/>
    <cellStyle name="標準 2" xfId="3" xr:uid="{9AA7E515-3FEC-4B2B-991D-7CD241E9D2FB}"/>
    <cellStyle name="標準 3" xfId="5" xr:uid="{EE085D91-D943-4580-8B96-1E37CA1AD16B}"/>
    <cellStyle name="標準 4" xfId="8" xr:uid="{52CC4783-4649-435C-A445-6D95E873E4CA}"/>
  </cellStyles>
  <dxfs count="106">
    <dxf>
      <font>
        <color theme="0"/>
      </font>
    </dxf>
    <dxf>
      <font>
        <color theme="7" tint="0.59996337778862885"/>
      </font>
    </dxf>
    <dxf>
      <font>
        <color theme="0"/>
      </font>
    </dxf>
    <dxf>
      <font>
        <color theme="0"/>
      </font>
    </dxf>
    <dxf>
      <font>
        <color theme="0"/>
      </font>
    </dxf>
    <dxf>
      <font>
        <color theme="0"/>
      </font>
    </dxf>
    <dxf>
      <font>
        <color theme="0"/>
      </font>
    </dxf>
    <dxf>
      <font>
        <color theme="0"/>
      </font>
    </dxf>
    <dxf>
      <font>
        <color theme="0"/>
      </font>
    </dxf>
    <dxf>
      <font>
        <color theme="7" tint="0.59996337778862885"/>
      </font>
    </dxf>
    <dxf>
      <font>
        <color theme="8" tint="0.59996337778862885"/>
      </font>
    </dxf>
    <dxf>
      <font>
        <color theme="8" tint="0.59996337778862885"/>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patternType="solid">
          <bgColor theme="0"/>
        </patternFill>
      </fill>
    </dxf>
    <dxf>
      <font>
        <color theme="0"/>
      </font>
      <fill>
        <patternFill patternType="none">
          <bgColor auto="1"/>
        </patternFill>
      </fill>
    </dxf>
    <dxf>
      <font>
        <color theme="4" tint="0.79998168889431442"/>
      </font>
    </dxf>
    <dxf>
      <font>
        <color theme="4" tint="0.79998168889431442"/>
      </font>
    </dxf>
    <dxf>
      <font>
        <color theme="0"/>
      </font>
    </dxf>
    <dxf>
      <font>
        <color theme="4" tint="0.79998168889431442"/>
      </font>
    </dxf>
    <dxf>
      <font>
        <color theme="9" tint="0.79998168889431442"/>
      </font>
    </dxf>
    <dxf>
      <font>
        <color theme="0"/>
      </font>
    </dxf>
    <dxf>
      <font>
        <color theme="0"/>
      </font>
    </dxf>
    <dxf>
      <font>
        <color theme="4" tint="0.79998168889431442"/>
      </font>
    </dxf>
    <dxf>
      <font>
        <color theme="9" tint="0.79998168889431442"/>
      </font>
    </dxf>
    <dxf>
      <font>
        <color theme="0"/>
      </font>
    </dxf>
    <dxf>
      <font>
        <color theme="0"/>
      </font>
      <fill>
        <patternFill patternType="solid">
          <bgColor theme="0"/>
        </patternFill>
      </fill>
    </dxf>
    <dxf>
      <font>
        <color theme="0"/>
      </font>
      <fill>
        <patternFill patternType="none">
          <bgColor auto="1"/>
        </patternFill>
      </fill>
    </dxf>
    <dxf>
      <font>
        <color theme="4" tint="0.79998168889431442"/>
      </font>
    </dxf>
    <dxf>
      <font>
        <color theme="4" tint="0.79998168889431442"/>
      </font>
    </dxf>
    <dxf>
      <font>
        <color theme="0"/>
      </font>
    </dxf>
    <dxf>
      <font>
        <color theme="4" tint="0.79998168889431442"/>
      </font>
    </dxf>
    <dxf>
      <font>
        <color theme="9" tint="0.79998168889431442"/>
      </font>
    </dxf>
    <dxf>
      <font>
        <color theme="0"/>
      </font>
    </dxf>
    <dxf>
      <font>
        <color theme="0"/>
      </font>
    </dxf>
    <dxf>
      <font>
        <color theme="4" tint="0.79998168889431442"/>
      </font>
    </dxf>
    <dxf>
      <font>
        <color theme="9" tint="0.79998168889431442"/>
      </font>
    </dxf>
    <dxf>
      <font>
        <color theme="0"/>
      </font>
    </dxf>
    <dxf>
      <font>
        <color theme="0"/>
      </font>
      <fill>
        <patternFill patternType="solid">
          <bgColor theme="0"/>
        </patternFill>
      </fill>
    </dxf>
    <dxf>
      <font>
        <color theme="0"/>
      </font>
    </dxf>
    <dxf>
      <font>
        <color theme="0"/>
      </font>
    </dxf>
    <dxf>
      <font>
        <color theme="0"/>
      </font>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style="thin">
          <color theme="0" tint="-0.499984740745262"/>
        </left>
        <right/>
        <top style="hair">
          <color theme="0" tint="-0.499984740745262"/>
        </top>
        <bottom style="hair">
          <color theme="0" tint="-0.499984740745262"/>
        </bottom>
      </border>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right style="thin">
          <color theme="0" tint="-0.499984740745262"/>
        </right>
        <top style="hair">
          <color theme="0" tint="-0.499984740745262"/>
        </top>
        <bottom style="hair">
          <color theme="0" tint="-0.499984740745262"/>
        </bottom>
      </border>
    </dxf>
    <dxf>
      <border outline="0">
        <top style="hair">
          <color theme="0" tint="-0.499984740745262"/>
        </top>
      </border>
    </dxf>
    <dxf>
      <border outline="0">
        <bottom style="hair">
          <color theme="0" tint="-0.499984740745262"/>
        </bottom>
      </border>
    </dxf>
    <dxf>
      <border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name val="メイリオ"/>
        <family val="3"/>
        <charset val="128"/>
        <scheme val="none"/>
      </font>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style="thin">
          <color theme="0" tint="-0.499984740745262"/>
        </left>
        <right style="thin">
          <color theme="0" tint="-0.499984740745262"/>
        </right>
        <top/>
        <bottom/>
      </border>
    </dxf>
  </dxfs>
  <tableStyles count="0" defaultTableStyle="TableStyleMedium2" defaultPivotStyle="PivotStyleLight16"/>
  <colors>
    <mruColors>
      <color rgb="FF00CC99"/>
      <color rgb="FFFF99CC"/>
      <color rgb="FFFF66FF"/>
      <color rgb="FFFFFF99"/>
      <color rgb="FFFFFFCC"/>
      <color rgb="FF00FF00"/>
      <color rgb="FFFFFF00"/>
      <color rgb="FF66FFFF"/>
      <color rgb="FFD9D9D9"/>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5="http://schemas.microsoft.com/office/drawing/2012/chart" uri="{02D57815-91ED-43cb-92C2-25804820EDAC}">
              <c15:filteredCategoryTitle>
                <c15:cat>
                  <c:strRef>
                    <c:extLst>
                      <c:ext uri="{02D57815-91ED-43cb-92C2-25804820EDAC}">
                        <c15:formulaRef>
                          <c15:sqref>LED計算式!#REF!</c15:sqref>
                        </c15:formulaRef>
                      </c:ext>
                    </c:extLst>
                    <c:strCache>
                      <c:ptCount val="1"/>
                      <c:pt idx="0">
                        <c:v>#REF!</c:v>
                      </c:pt>
                    </c:strCache>
                  </c:strRef>
                </c15:cat>
              </c15:filteredCategoryTitle>
            </c:ext>
            <c:ext xmlns:c16="http://schemas.microsoft.com/office/drawing/2014/chart" uri="{C3380CC4-5D6E-409C-BE32-E72D297353CC}">
              <c16:uniqueId val="{00000000-3346-4EFD-8946-D77E7D3EBA8D}"/>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5="http://schemas.microsoft.com/office/drawing/2012/chart" uri="{02D57815-91ED-43cb-92C2-25804820EDAC}">
              <c15:filteredCategoryTitle>
                <c15:cat>
                  <c:strRef>
                    <c:extLst>
                      <c:ext uri="{02D57815-91ED-43cb-92C2-25804820EDAC}">
                        <c15:formulaRef>
                          <c15:sqref>LED計算式!#REF!</c15:sqref>
                        </c15:formulaRef>
                      </c:ext>
                    </c:extLst>
                    <c:strCache>
                      <c:ptCount val="1"/>
                      <c:pt idx="0">
                        <c:v>#REF!</c:v>
                      </c:pt>
                    </c:strCache>
                  </c:strRef>
                </c15:cat>
              </c15:filteredCategoryTitle>
            </c:ext>
            <c:ext xmlns:c16="http://schemas.microsoft.com/office/drawing/2014/chart" uri="{C3380CC4-5D6E-409C-BE32-E72D297353CC}">
              <c16:uniqueId val="{00000001-3346-4EFD-8946-D77E7D3EBA8D}"/>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5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lang="ja-JP" sz="4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E723-4A19-9414-8C4B6A0CF427}"/>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E723-4A19-9414-8C4B6A0CF427}"/>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LED計算式!$I$21:$K$21</c:f>
              <c:numCache>
                <c:formatCode>#,##0\ "円"</c:formatCode>
                <c:ptCount val="3"/>
                <c:pt idx="0">
                  <c:v>0</c:v>
                </c:pt>
                <c:pt idx="1">
                  <c:v>0</c:v>
                </c:pt>
                <c:pt idx="2">
                  <c:v>0</c:v>
                </c:pt>
              </c:numCache>
            </c:numRef>
          </c:val>
          <c:extLst>
            <c:ext xmlns:c16="http://schemas.microsoft.com/office/drawing/2014/chart" uri="{C3380CC4-5D6E-409C-BE32-E72D297353CC}">
              <c16:uniqueId val="{00000000-D792-41E4-9B63-6422D80D3AC7}"/>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D792-41E4-9B63-6422D80D3AC7}"/>
                </c:ext>
              </c:extLst>
            </c:dLbl>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LED計算式!$I$19:$K$19</c:f>
              <c:numCache>
                <c:formatCode>#,##0\ "円"</c:formatCode>
                <c:ptCount val="3"/>
                <c:pt idx="1">
                  <c:v>0</c:v>
                </c:pt>
              </c:numCache>
            </c:numRef>
          </c:val>
          <c:extLst>
            <c:ext xmlns:c16="http://schemas.microsoft.com/office/drawing/2014/chart" uri="{C3380CC4-5D6E-409C-BE32-E72D297353CC}">
              <c16:uniqueId val="{00000002-D792-41E4-9B63-6422D80D3AC7}"/>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LED計算式!$I$20</c:f>
              <c:numCache>
                <c:formatCode>#,##0\ "円"</c:formatCode>
                <c:ptCount val="1"/>
                <c:pt idx="0">
                  <c:v>0</c:v>
                </c:pt>
              </c:numCache>
            </c:numRef>
          </c:val>
          <c:extLst>
            <c:ext xmlns:c16="http://schemas.microsoft.com/office/drawing/2014/chart" uri="{C3380CC4-5D6E-409C-BE32-E72D297353CC}">
              <c16:uniqueId val="{00000003-D792-41E4-9B63-6422D80D3AC7}"/>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BC21-496E-8308-AD238EC2A074}"/>
            </c:ext>
          </c:extLst>
        </c:ser>
        <c:ser>
          <c:idx val="1"/>
          <c:order val="1"/>
          <c:tx>
            <c:v>LED導入後</c:v>
          </c:tx>
          <c:spPr>
            <a:ln w="28575" cap="rnd">
              <a:solidFill>
                <a:schemeClr val="accent1"/>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LED計算式!$E$13:$O$13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BC21-496E-8308-AD238EC2A074}"/>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LED計算式!$I$34:$K$34</c:f>
              <c:numCache>
                <c:formatCode>#,##0\ "円"</c:formatCode>
                <c:ptCount val="3"/>
                <c:pt idx="0">
                  <c:v>0</c:v>
                </c:pt>
                <c:pt idx="1">
                  <c:v>0</c:v>
                </c:pt>
                <c:pt idx="2">
                  <c:v>0</c:v>
                </c:pt>
              </c:numCache>
            </c:numRef>
          </c:val>
          <c:extLst>
            <c:ext xmlns:c16="http://schemas.microsoft.com/office/drawing/2014/chart" uri="{C3380CC4-5D6E-409C-BE32-E72D297353CC}">
              <c16:uniqueId val="{00000000-2D61-478A-9515-35022CD694E4}"/>
            </c:ext>
          </c:extLst>
        </c:ser>
        <c:ser>
          <c:idx val="0"/>
          <c:order val="1"/>
          <c:tx>
            <c:strRef>
              <c:f>LED計算式!$H$19</c:f>
              <c:strCache>
                <c:ptCount val="1"/>
                <c:pt idx="0">
                  <c:v>リース代</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LED計算式!$I$32:$K$32</c:f>
              <c:numCache>
                <c:formatCode>#,##0\ "円"</c:formatCode>
                <c:ptCount val="3"/>
                <c:pt idx="1">
                  <c:v>0</c:v>
                </c:pt>
              </c:numCache>
            </c:numRef>
          </c:val>
          <c:extLst>
            <c:ext xmlns:c16="http://schemas.microsoft.com/office/drawing/2014/chart" uri="{C3380CC4-5D6E-409C-BE32-E72D297353CC}">
              <c16:uniqueId val="{00000002-2D61-478A-9515-35022CD694E4}"/>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LED計算式!$I$33</c:f>
              <c:numCache>
                <c:formatCode>#,##0\ "円"</c:formatCode>
                <c:ptCount val="1"/>
                <c:pt idx="0">
                  <c:v>0</c:v>
                </c:pt>
              </c:numCache>
            </c:numRef>
          </c:val>
          <c:extLst>
            <c:ext xmlns:c16="http://schemas.microsoft.com/office/drawing/2014/chart" uri="{C3380CC4-5D6E-409C-BE32-E72D297353CC}">
              <c16:uniqueId val="{00000003-2D61-478A-9515-35022CD694E4}"/>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57BA-429C-94C4-71892A8440DB}"/>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57BA-429C-94C4-71892A8440D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LED計算式!$I$21:$K$21</c:f>
              <c:numCache>
                <c:formatCode>#,##0\ "円"</c:formatCode>
                <c:ptCount val="3"/>
                <c:pt idx="0">
                  <c:v>0</c:v>
                </c:pt>
                <c:pt idx="1">
                  <c:v>0</c:v>
                </c:pt>
                <c:pt idx="2">
                  <c:v>0</c:v>
                </c:pt>
              </c:numCache>
            </c:numRef>
          </c:val>
          <c:extLst>
            <c:ext xmlns:c16="http://schemas.microsoft.com/office/drawing/2014/chart" uri="{C3380CC4-5D6E-409C-BE32-E72D297353CC}">
              <c16:uniqueId val="{00000000-4853-45D8-A08E-A6A3C5CEBD53}"/>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D75-48DF-8A51-316F0E12FE22}"/>
                </c:ext>
              </c:extLst>
            </c:dLbl>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LED計算式!$I$19:$K$19</c:f>
              <c:numCache>
                <c:formatCode>#,##0\ "円"</c:formatCode>
                <c:ptCount val="3"/>
                <c:pt idx="1">
                  <c:v>0</c:v>
                </c:pt>
              </c:numCache>
            </c:numRef>
          </c:val>
          <c:extLst>
            <c:ext xmlns:c16="http://schemas.microsoft.com/office/drawing/2014/chart" uri="{C3380CC4-5D6E-409C-BE32-E72D297353CC}">
              <c16:uniqueId val="{00000001-6D75-48DF-8A51-316F0E12FE22}"/>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LED計算式!$I$20:$K$20</c:f>
              <c:numCache>
                <c:formatCode>#,##0\ "円"</c:formatCode>
                <c:ptCount val="3"/>
                <c:pt idx="0">
                  <c:v>0</c:v>
                </c:pt>
                <c:pt idx="1">
                  <c:v>0</c:v>
                </c:pt>
                <c:pt idx="2">
                  <c:v>0</c:v>
                </c:pt>
              </c:numCache>
            </c:numRef>
          </c:val>
          <c:extLst>
            <c:ext xmlns:c16="http://schemas.microsoft.com/office/drawing/2014/chart" uri="{C3380CC4-5D6E-409C-BE32-E72D297353CC}">
              <c16:uniqueId val="{00000000-6D75-48DF-8A51-316F0E12FE22}"/>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F295-4B0D-8069-604025935B07}"/>
            </c:ext>
          </c:extLst>
        </c:ser>
        <c:ser>
          <c:idx val="1"/>
          <c:order val="1"/>
          <c:tx>
            <c:v>LED導入後</c:v>
          </c:tx>
          <c:spPr>
            <a:ln w="28575" cap="rnd">
              <a:solidFill>
                <a:schemeClr val="accent1"/>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LED計算式!$E$13:$O$13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F295-4B0D-8069-604025935B07}"/>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LED計算式!$I$34:$K$34</c:f>
              <c:numCache>
                <c:formatCode>#,##0\ "円"</c:formatCode>
                <c:ptCount val="3"/>
                <c:pt idx="0">
                  <c:v>0</c:v>
                </c:pt>
                <c:pt idx="1">
                  <c:v>0</c:v>
                </c:pt>
                <c:pt idx="2">
                  <c:v>0</c:v>
                </c:pt>
              </c:numCache>
            </c:numRef>
          </c:val>
          <c:extLst>
            <c:ext xmlns:c16="http://schemas.microsoft.com/office/drawing/2014/chart" uri="{C3380CC4-5D6E-409C-BE32-E72D297353CC}">
              <c16:uniqueId val="{00000000-7F9B-4B82-A6F3-BBE149E6D753}"/>
            </c:ext>
          </c:extLst>
        </c:ser>
        <c:ser>
          <c:idx val="0"/>
          <c:order val="1"/>
          <c:tx>
            <c:strRef>
              <c:f>LED計算式!$H$19</c:f>
              <c:strCache>
                <c:ptCount val="1"/>
                <c:pt idx="0">
                  <c:v>リース代</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LED計算式!$I$32:$K$32</c:f>
              <c:numCache>
                <c:formatCode>#,##0\ "円"</c:formatCode>
                <c:ptCount val="3"/>
                <c:pt idx="1">
                  <c:v>0</c:v>
                </c:pt>
              </c:numCache>
            </c:numRef>
          </c:val>
          <c:extLst>
            <c:ext xmlns:c16="http://schemas.microsoft.com/office/drawing/2014/chart" uri="{C3380CC4-5D6E-409C-BE32-E72D297353CC}">
              <c16:uniqueId val="{00000002-7F9B-4B82-A6F3-BBE149E6D753}"/>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LED計算式!$I$33:$K$33</c:f>
              <c:numCache>
                <c:formatCode>#,##0\ "円"</c:formatCode>
                <c:ptCount val="3"/>
                <c:pt idx="0">
                  <c:v>0</c:v>
                </c:pt>
                <c:pt idx="1">
                  <c:v>0</c:v>
                </c:pt>
                <c:pt idx="2">
                  <c:v>0</c:v>
                </c:pt>
              </c:numCache>
            </c:numRef>
          </c:val>
          <c:extLst>
            <c:ext xmlns:c16="http://schemas.microsoft.com/office/drawing/2014/chart" uri="{C3380CC4-5D6E-409C-BE32-E72D297353CC}">
              <c16:uniqueId val="{00000003-7F9B-4B82-A6F3-BBE149E6D753}"/>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442047786415257"/>
                      <c:h val="0.21126655496988514"/>
                    </c:manualLayout>
                  </c15:layout>
                </c:ext>
                <c:ext xmlns:c16="http://schemas.microsoft.com/office/drawing/2014/chart" uri="{C3380CC4-5D6E-409C-BE32-E72D297353CC}">
                  <c16:uniqueId val="{00000002-F133-4076-9CBB-42F70B7E55A1}"/>
                </c:ext>
              </c:extLst>
            </c:dLbl>
            <c:dLbl>
              <c:idx val="1"/>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696850378401737"/>
                      <c:h val="0.19863477290890547"/>
                    </c:manualLayout>
                  </c15:layout>
                </c:ext>
                <c:ext xmlns:c16="http://schemas.microsoft.com/office/drawing/2014/chart" uri="{C3380CC4-5D6E-409C-BE32-E72D297353CC}">
                  <c16:uniqueId val="{00000004-F133-4076-9CBB-42F70B7E55A1}"/>
                </c:ext>
              </c:extLst>
            </c:dLbl>
            <c:dLbl>
              <c:idx val="2"/>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683883969408695"/>
                      <c:h val="0.17968709981743594"/>
                    </c:manualLayout>
                  </c15:layout>
                </c:ext>
                <c:ext xmlns:c16="http://schemas.microsoft.com/office/drawing/2014/chart" uri="{C3380CC4-5D6E-409C-BE32-E72D297353CC}">
                  <c16:uniqueId val="{00000005-F133-4076-9CBB-42F70B7E55A1}"/>
                </c:ext>
              </c:extLst>
            </c:dLbl>
            <c:spPr>
              <a:noFill/>
              <a:ln>
                <a:noFill/>
              </a:ln>
              <a:effectLst/>
            </c:spPr>
            <c:txPr>
              <a:bodyPr rot="0" spcFirstLastPara="1" vertOverflow="ellipsis" vert="horz" wrap="square" anchor="ctr" anchorCtr="1"/>
              <a:lstStyle/>
              <a:p>
                <a:pPr>
                  <a:defRPr lang="ja-JP"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LED計算式!$C$47:$E$47</c:f>
              <c:numCache>
                <c:formatCode>#,##0\ "円"</c:formatCode>
                <c:ptCount val="3"/>
                <c:pt idx="0">
                  <c:v>0</c:v>
                </c:pt>
                <c:pt idx="1">
                  <c:v>0</c:v>
                </c:pt>
                <c:pt idx="2">
                  <c:v>0</c:v>
                </c:pt>
              </c:numCache>
            </c:numRef>
          </c:val>
          <c:extLst>
            <c:ext xmlns:c16="http://schemas.microsoft.com/office/drawing/2014/chart" uri="{C3380CC4-5D6E-409C-BE32-E72D297353CC}">
              <c16:uniqueId val="{00000000-17D9-48D9-9E43-F10DA052514B}"/>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extLst>
                <c:ext xmlns:c15="http://schemas.microsoft.com/office/drawing/2012/chart" uri="{CE6537A1-D6FC-4f65-9D91-7224C49458BB}">
                  <c15:layout>
                    <c:manualLayout>
                      <c:w val="0.24758092574424534"/>
                      <c:h val="0.21126655496988514"/>
                    </c:manualLayout>
                  </c15:layout>
                </c:ext>
                <c:ext xmlns:c16="http://schemas.microsoft.com/office/drawing/2014/chart" uri="{C3380CC4-5D6E-409C-BE32-E72D297353CC}">
                  <c16:uniqueId val="{00000003-F133-4076-9CBB-42F70B7E55A1}"/>
                </c:ext>
              </c:extLst>
            </c:dLbl>
            <c:spPr>
              <a:noFill/>
              <a:ln>
                <a:noFill/>
              </a:ln>
              <a:effectLst/>
            </c:spPr>
            <c:txPr>
              <a:bodyPr rot="0" spcFirstLastPara="1" vertOverflow="ellipsis" vert="horz" wrap="square" anchor="ctr" anchorCtr="1"/>
              <a:lstStyle/>
              <a:p>
                <a:pPr>
                  <a:defRPr lang="ja-JP"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LED計算式!$C$45:$E$45</c:f>
              <c:numCache>
                <c:formatCode>#,##0\ "円"</c:formatCode>
                <c:ptCount val="3"/>
                <c:pt idx="1">
                  <c:v>0</c:v>
                </c:pt>
              </c:numCache>
            </c:numRef>
          </c:val>
          <c:extLst>
            <c:ext xmlns:c16="http://schemas.microsoft.com/office/drawing/2014/chart" uri="{C3380CC4-5D6E-409C-BE32-E72D297353CC}">
              <c16:uniqueId val="{00000001-17D9-48D9-9E43-F10DA052514B}"/>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3354872772406371"/>
                      <c:h val="0.18600299084792576"/>
                    </c:manualLayout>
                  </c15:layout>
                </c:ext>
                <c:ext xmlns:c16="http://schemas.microsoft.com/office/drawing/2014/chart" uri="{C3380CC4-5D6E-409C-BE32-E72D297353CC}">
                  <c16:uniqueId val="{00000001-F133-4076-9CBB-42F70B7E55A1}"/>
                </c:ext>
              </c:extLst>
            </c:dLbl>
            <c:spPr>
              <a:noFill/>
              <a:ln>
                <a:noFill/>
              </a:ln>
              <a:effectLst/>
            </c:spPr>
            <c:txPr>
              <a:bodyPr rot="0" spcFirstLastPara="1" vertOverflow="ellipsis" vert="horz" wrap="square" anchor="ctr" anchorCtr="1"/>
              <a:lstStyle/>
              <a:p>
                <a:pPr>
                  <a:defRPr lang="ja-JP"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LED計算式!$C$46:$E$46</c:f>
              <c:numCache>
                <c:formatCode>#,##0\ "円"</c:formatCode>
                <c:ptCount val="3"/>
                <c:pt idx="0">
                  <c:v>0</c:v>
                </c:pt>
              </c:numCache>
            </c:numRef>
          </c:val>
          <c:extLst>
            <c:ext xmlns:c16="http://schemas.microsoft.com/office/drawing/2014/chart" uri="{C3380CC4-5D6E-409C-BE32-E72D297353CC}">
              <c16:uniqueId val="{00000002-17D9-48D9-9E43-F10DA052514B}"/>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1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436508253892165"/>
                      <c:h val="0.24802806338550026"/>
                    </c:manualLayout>
                  </c15:layout>
                </c:ext>
                <c:ext xmlns:c16="http://schemas.microsoft.com/office/drawing/2014/chart" uri="{C3380CC4-5D6E-409C-BE32-E72D297353CC}">
                  <c16:uniqueId val="{00000002-B44B-4625-8EE2-C5769B9C6A69}"/>
                </c:ext>
              </c:extLst>
            </c:dLbl>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377131005237711"/>
                      <c:h val="0.1913719067745992"/>
                    </c:manualLayout>
                  </c15:layout>
                </c:ext>
                <c:ext xmlns:c16="http://schemas.microsoft.com/office/drawing/2014/chart" uri="{C3380CC4-5D6E-409C-BE32-E72D297353CC}">
                  <c16:uniqueId val="{00000003-B44B-4625-8EE2-C5769B9C6A69}"/>
                </c:ext>
              </c:extLst>
            </c:dLbl>
            <c:dLbl>
              <c:idx val="2"/>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032457766899235"/>
                      <c:h val="0.17878164974995453"/>
                    </c:manualLayout>
                  </c15:layout>
                </c:ext>
                <c:ext xmlns:c16="http://schemas.microsoft.com/office/drawing/2014/chart" uri="{C3380CC4-5D6E-409C-BE32-E72D297353CC}">
                  <c16:uniqueId val="{00000004-B44B-4625-8EE2-C5769B9C6A69}"/>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LED計算式!$H$47:$J$47</c:f>
              <c:numCache>
                <c:formatCode>#,##0\ "円"</c:formatCode>
                <c:ptCount val="3"/>
                <c:pt idx="0">
                  <c:v>0</c:v>
                </c:pt>
                <c:pt idx="1">
                  <c:v>0</c:v>
                </c:pt>
                <c:pt idx="2">
                  <c:v>0</c:v>
                </c:pt>
              </c:numCache>
            </c:numRef>
          </c:val>
          <c:extLst>
            <c:ext xmlns:c16="http://schemas.microsoft.com/office/drawing/2014/chart" uri="{C3380CC4-5D6E-409C-BE32-E72D297353CC}">
              <c16:uniqueId val="{00000000-187C-4F61-BB9F-F77C92326FBC}"/>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6091835015553688"/>
                      <c:h val="0.1913719067745992"/>
                    </c:manualLayout>
                  </c15:layout>
                </c:ext>
                <c:ext xmlns:c16="http://schemas.microsoft.com/office/drawing/2014/chart" uri="{C3380CC4-5D6E-409C-BE32-E72D297353CC}">
                  <c16:uniqueId val="{00000005-B44B-4625-8EE2-C5769B9C6A69}"/>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LED計算式!$H$45:$J$45</c:f>
              <c:numCache>
                <c:formatCode>#,##0\ "円"</c:formatCode>
                <c:ptCount val="3"/>
                <c:pt idx="1">
                  <c:v>0</c:v>
                </c:pt>
              </c:numCache>
            </c:numRef>
          </c:val>
          <c:extLst>
            <c:ext xmlns:c16="http://schemas.microsoft.com/office/drawing/2014/chart" uri="{C3380CC4-5D6E-409C-BE32-E72D297353CC}">
              <c16:uniqueId val="{00000001-187C-4F61-BB9F-F77C92326FBC}"/>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377131005237706"/>
                      <c:h val="0.18507677826227686"/>
                    </c:manualLayout>
                  </c15:layout>
                </c:ext>
                <c:ext xmlns:c16="http://schemas.microsoft.com/office/drawing/2014/chart" uri="{C3380CC4-5D6E-409C-BE32-E72D297353CC}">
                  <c16:uniqueId val="{00000001-B44B-4625-8EE2-C5769B9C6A69}"/>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LED計算式!$H$46:$J$46</c:f>
              <c:numCache>
                <c:formatCode>#,##0\ "円"</c:formatCode>
                <c:ptCount val="3"/>
                <c:pt idx="0">
                  <c:v>0</c:v>
                </c:pt>
              </c:numCache>
            </c:numRef>
          </c:val>
          <c:extLst>
            <c:ext xmlns:c16="http://schemas.microsoft.com/office/drawing/2014/chart" uri="{C3380CC4-5D6E-409C-BE32-E72D297353CC}">
              <c16:uniqueId val="{00000002-187C-4F61-BB9F-F77C92326FBC}"/>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572362783928065"/>
                      <c:h val="0.24783340242824395"/>
                    </c:manualLayout>
                  </c15:layout>
                </c:ext>
                <c:ext xmlns:c16="http://schemas.microsoft.com/office/drawing/2014/chart" uri="{C3380CC4-5D6E-409C-BE32-E72D297353CC}">
                  <c16:uniqueId val="{00000002-5950-49A2-A2B2-CB3BD3A3CA52}"/>
                </c:ext>
              </c:extLst>
            </c:dLbl>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584595286249058"/>
                      <c:h val="0.17930803770154055"/>
                    </c:manualLayout>
                  </c15:layout>
                </c:ext>
                <c:ext xmlns:c16="http://schemas.microsoft.com/office/drawing/2014/chart" uri="{C3380CC4-5D6E-409C-BE32-E72D297353CC}">
                  <c16:uniqueId val="{00000004-5950-49A2-A2B2-CB3BD3A3CA52}"/>
                </c:ext>
              </c:extLst>
            </c:dLbl>
            <c:dLbl>
              <c:idx val="2"/>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560130281607069"/>
                      <c:h val="0.15646624945930609"/>
                    </c:manualLayout>
                  </c15:layout>
                </c:ext>
                <c:ext xmlns:c16="http://schemas.microsoft.com/office/drawing/2014/chart" uri="{C3380CC4-5D6E-409C-BE32-E72D297353CC}">
                  <c16:uniqueId val="{00000005-5950-49A2-A2B2-CB3BD3A3CA52}"/>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LED計算式!$M$47:$O$47</c:f>
              <c:numCache>
                <c:formatCode>#,##0\ "円"</c:formatCode>
                <c:ptCount val="3"/>
                <c:pt idx="0">
                  <c:v>0</c:v>
                </c:pt>
                <c:pt idx="1">
                  <c:v>0</c:v>
                </c:pt>
                <c:pt idx="2">
                  <c:v>0</c:v>
                </c:pt>
              </c:numCache>
            </c:numRef>
          </c:val>
          <c:extLst>
            <c:ext xmlns:c16="http://schemas.microsoft.com/office/drawing/2014/chart" uri="{C3380CC4-5D6E-409C-BE32-E72D297353CC}">
              <c16:uniqueId val="{00000000-8270-4C6C-B13B-0AE04651CAC4}"/>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255339453689386"/>
                      <c:h val="0.16788714358042334"/>
                    </c:manualLayout>
                  </c15:layout>
                </c:ext>
                <c:ext xmlns:c16="http://schemas.microsoft.com/office/drawing/2014/chart" uri="{C3380CC4-5D6E-409C-BE32-E72D297353CC}">
                  <c16:uniqueId val="{00000003-5950-49A2-A2B2-CB3BD3A3CA52}"/>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LED計算式!$M$45:$O$45</c:f>
              <c:numCache>
                <c:formatCode>#,##0\ "円"</c:formatCode>
                <c:ptCount val="3"/>
                <c:pt idx="1">
                  <c:v>0</c:v>
                </c:pt>
              </c:numCache>
            </c:numRef>
          </c:val>
          <c:extLst>
            <c:ext xmlns:c16="http://schemas.microsoft.com/office/drawing/2014/chart" uri="{C3380CC4-5D6E-409C-BE32-E72D297353CC}">
              <c16:uniqueId val="{00000001-8270-4C6C-B13B-0AE04651CAC4}"/>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255339453689386"/>
                      <c:h val="0.19072893182265777"/>
                    </c:manualLayout>
                  </c15:layout>
                </c:ext>
                <c:ext xmlns:c16="http://schemas.microsoft.com/office/drawing/2014/chart" uri="{C3380CC4-5D6E-409C-BE32-E72D297353CC}">
                  <c16:uniqueId val="{00000001-5950-49A2-A2B2-CB3BD3A3CA52}"/>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LED計算式!$M$46:$O$46</c:f>
              <c:numCache>
                <c:formatCode>#,##0\ "円"</c:formatCode>
                <c:ptCount val="3"/>
                <c:pt idx="0">
                  <c:v>0</c:v>
                </c:pt>
              </c:numCache>
            </c:numRef>
          </c:val>
          <c:extLst>
            <c:ext xmlns:c16="http://schemas.microsoft.com/office/drawing/2014/chart" uri="{C3380CC4-5D6E-409C-BE32-E72D297353CC}">
              <c16:uniqueId val="{00000002-8270-4C6C-B13B-0AE04651CAC4}"/>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6097062573189"/>
                      <c:h val="0.22385884693583713"/>
                    </c:manualLayout>
                  </c15:layout>
                </c:ext>
                <c:ext xmlns:c16="http://schemas.microsoft.com/office/drawing/2014/chart" uri="{C3380CC4-5D6E-409C-BE32-E72D297353CC}">
                  <c16:uniqueId val="{00000001-F8F2-4986-9A73-5057A481BD6C}"/>
                </c:ext>
              </c:extLst>
            </c:dLbl>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6258487327754304"/>
                      <c:h val="0.1518250595554935"/>
                    </c:manualLayout>
                  </c15:layout>
                </c:ext>
                <c:ext xmlns:c16="http://schemas.microsoft.com/office/drawing/2014/chart" uri="{C3380CC4-5D6E-409C-BE32-E72D297353CC}">
                  <c16:uniqueId val="{00000004-F8F2-4986-9A73-5057A481BD6C}"/>
                </c:ext>
              </c:extLst>
            </c:dLbl>
            <c:dLbl>
              <c:idx val="2"/>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939462471405979"/>
                      <c:h val="0.16844824125864974"/>
                    </c:manualLayout>
                  </c15:layout>
                </c:ext>
                <c:ext xmlns:c16="http://schemas.microsoft.com/office/drawing/2014/chart" uri="{C3380CC4-5D6E-409C-BE32-E72D297353CC}">
                  <c16:uniqueId val="{00000005-F8F2-4986-9A73-5057A481BD6C}"/>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LED計算式!$R$47:$T$47</c:f>
              <c:numCache>
                <c:formatCode>#,##0\ "円"</c:formatCode>
                <c:ptCount val="3"/>
                <c:pt idx="0">
                  <c:v>0</c:v>
                </c:pt>
                <c:pt idx="1">
                  <c:v>0</c:v>
                </c:pt>
                <c:pt idx="2">
                  <c:v>0</c:v>
                </c:pt>
              </c:numCache>
            </c:numRef>
          </c:val>
          <c:extLst>
            <c:ext xmlns:c16="http://schemas.microsoft.com/office/drawing/2014/chart" uri="{C3380CC4-5D6E-409C-BE32-E72D297353CC}">
              <c16:uniqueId val="{00000000-034E-45A3-A78A-B9FDD465744F}"/>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5928731113667225"/>
                      <c:h val="0.14628399898777475"/>
                    </c:manualLayout>
                  </c15:layout>
                </c:ext>
                <c:ext xmlns:c16="http://schemas.microsoft.com/office/drawing/2014/chart" uri="{C3380CC4-5D6E-409C-BE32-E72D297353CC}">
                  <c16:uniqueId val="{00000003-F8F2-4986-9A73-5057A481BD6C}"/>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LED計算式!$R$45:$T$45</c:f>
              <c:numCache>
                <c:formatCode>#,##0\ "円"</c:formatCode>
                <c:ptCount val="3"/>
                <c:pt idx="1">
                  <c:v>0</c:v>
                </c:pt>
              </c:numCache>
            </c:numRef>
          </c:val>
          <c:extLst>
            <c:ext xmlns:c16="http://schemas.microsoft.com/office/drawing/2014/chart" uri="{C3380CC4-5D6E-409C-BE32-E72D297353CC}">
              <c16:uniqueId val="{00000001-034E-45A3-A78A-B9FDD465744F}"/>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4279950043231818"/>
                      <c:h val="0.17953036239408718"/>
                    </c:manualLayout>
                  </c15:layout>
                </c:ext>
                <c:ext xmlns:c16="http://schemas.microsoft.com/office/drawing/2014/chart" uri="{C3380CC4-5D6E-409C-BE32-E72D297353CC}">
                  <c16:uniqueId val="{00000002-F8F2-4986-9A73-5057A481BD6C}"/>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LED計算式!$R$46:$T$46</c:f>
              <c:numCache>
                <c:formatCode>#,##0\ "円"</c:formatCode>
                <c:ptCount val="3"/>
                <c:pt idx="0">
                  <c:v>0</c:v>
                </c:pt>
              </c:numCache>
            </c:numRef>
          </c:val>
          <c:extLst>
            <c:ext xmlns:c16="http://schemas.microsoft.com/office/drawing/2014/chart" uri="{C3380CC4-5D6E-409C-BE32-E72D297353CC}">
              <c16:uniqueId val="{00000002-034E-45A3-A78A-B9FDD465744F}"/>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LED計算式!$E$76:$O$76</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352A-4239-AEA6-B673E475C98B}"/>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LED計算式!$E$78:$O$78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352A-4239-AEA6-B673E475C98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LED計算式!$E$84:$O$84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544F-43F0-B837-9B2D596E0A3C}"/>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LED計算式!$E$86:$O$86</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544F-43F0-B837-9B2D596E0A3C}"/>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LED計算式!$E$92:$O$92</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4750-4F40-8BA5-DA66363B3FAB}"/>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LED計算式!$E$94:$O$94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4750-4F40-8BA5-DA66363B3FA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LED計算式!$E$100:$O$100</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B112-4CE4-A433-56337BC942A6}"/>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LED計算式!$E$102:$O$102</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B112-4CE4-A433-56337BC942A6}"/>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453518111399875"/>
                      <c:h val="0.15989626421298747"/>
                    </c:manualLayout>
                  </c15:layout>
                </c:ext>
                <c:ext xmlns:c16="http://schemas.microsoft.com/office/drawing/2014/chart" uri="{C3380CC4-5D6E-409C-BE32-E72D297353CC}">
                  <c16:uniqueId val="{00000006-0CA3-4E9C-AD8B-12A20CAA379B}"/>
                </c:ext>
              </c:extLst>
            </c:dLbl>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394140862745421"/>
                      <c:h val="0.15360113570066514"/>
                    </c:manualLayout>
                  </c15:layout>
                </c:ext>
                <c:ext xmlns:c16="http://schemas.microsoft.com/office/drawing/2014/chart" uri="{C3380CC4-5D6E-409C-BE32-E72D297353CC}">
                  <c16:uniqueId val="{00000003-0CA3-4E9C-AD8B-12A20CAA379B}"/>
                </c:ext>
              </c:extLst>
            </c:dLbl>
            <c:dLbl>
              <c:idx val="2"/>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066477481914659"/>
                      <c:h val="0.2102572923115662"/>
                    </c:manualLayout>
                  </c15:layout>
                </c:ext>
                <c:ext xmlns:c16="http://schemas.microsoft.com/office/drawing/2014/chart" uri="{C3380CC4-5D6E-409C-BE32-E72D297353CC}">
                  <c16:uniqueId val="{00000005-0CA3-4E9C-AD8B-12A20CAA379B}"/>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LED計算式!$H$47:$J$47</c:f>
              <c:numCache>
                <c:formatCode>#,##0\ "円"</c:formatCode>
                <c:ptCount val="3"/>
                <c:pt idx="0">
                  <c:v>0</c:v>
                </c:pt>
                <c:pt idx="1">
                  <c:v>0</c:v>
                </c:pt>
                <c:pt idx="2">
                  <c:v>0</c:v>
                </c:pt>
              </c:numCache>
            </c:numRef>
          </c:val>
          <c:extLst>
            <c:ext xmlns:c16="http://schemas.microsoft.com/office/drawing/2014/chart" uri="{C3380CC4-5D6E-409C-BE32-E72D297353CC}">
              <c16:uniqueId val="{00000000-F694-4BF4-BDD2-E409D2F8E7FA}"/>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412585473056911"/>
                      <c:h val="0.15360113570066514"/>
                    </c:manualLayout>
                  </c15:layout>
                </c:ext>
                <c:ext xmlns:c16="http://schemas.microsoft.com/office/drawing/2014/chart" uri="{C3380CC4-5D6E-409C-BE32-E72D297353CC}">
                  <c16:uniqueId val="{00000004-0CA3-4E9C-AD8B-12A20CAA379B}"/>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LED計算式!$H$45:$J$45</c:f>
              <c:numCache>
                <c:formatCode>#,##0\ "円"</c:formatCode>
                <c:ptCount val="3"/>
                <c:pt idx="1">
                  <c:v>0</c:v>
                </c:pt>
              </c:numCache>
            </c:numRef>
          </c:val>
          <c:extLst>
            <c:ext xmlns:c16="http://schemas.microsoft.com/office/drawing/2014/chart" uri="{C3380CC4-5D6E-409C-BE32-E72D297353CC}">
              <c16:uniqueId val="{00000001-F694-4BF4-BDD2-E409D2F8E7FA}"/>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377131005237706"/>
                      <c:h val="0.17878164974995453"/>
                    </c:manualLayout>
                  </c15:layout>
                </c:ext>
                <c:ext xmlns:c16="http://schemas.microsoft.com/office/drawing/2014/chart" uri="{C3380CC4-5D6E-409C-BE32-E72D297353CC}">
                  <c16:uniqueId val="{00000007-0CA3-4E9C-AD8B-12A20CAA379B}"/>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19043795693883969"/>
                      <c:h val="0.17248652123763217"/>
                    </c:manualLayout>
                  </c15:layout>
                </c:ext>
                <c:ext xmlns:c16="http://schemas.microsoft.com/office/drawing/2014/chart" uri="{C3380CC4-5D6E-409C-BE32-E72D297353CC}">
                  <c16:uniqueId val="{00000001-0CA3-4E9C-AD8B-12A20CAA379B}"/>
                </c:ext>
              </c:extLst>
            </c:dLbl>
            <c:dLbl>
              <c:idx val="2"/>
              <c:numFmt formatCode="#,##0\ &quot;円&quot;" sourceLinked="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19043795693883969"/>
                      <c:h val="0.11583036462673109"/>
                    </c:manualLayout>
                  </c15:layout>
                </c:ext>
                <c:ext xmlns:c16="http://schemas.microsoft.com/office/drawing/2014/chart" uri="{C3380CC4-5D6E-409C-BE32-E72D297353CC}">
                  <c16:uniqueId val="{00000002-0CA3-4E9C-AD8B-12A20CAA379B}"/>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LED計算式!$H$57:$J$57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F694-4BF4-BDD2-E409D2F8E7FA}"/>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88938611416674"/>
                      <c:h val="0.19072893182265777"/>
                    </c:manualLayout>
                  </c15:layout>
                </c:ext>
                <c:ext xmlns:c16="http://schemas.microsoft.com/office/drawing/2014/chart" uri="{C3380CC4-5D6E-409C-BE32-E72D297353CC}">
                  <c16:uniqueId val="{00000004-8822-472F-BF56-9E5C14EB3BCF}"/>
                </c:ext>
              </c:extLst>
            </c:dLbl>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560130281607069"/>
                      <c:h val="0.16217669651986472"/>
                    </c:manualLayout>
                  </c15:layout>
                </c:ext>
                <c:ext xmlns:c16="http://schemas.microsoft.com/office/drawing/2014/chart" uri="{C3380CC4-5D6E-409C-BE32-E72D297353CC}">
                  <c16:uniqueId val="{00000005-8822-472F-BF56-9E5C14EB3BCF}"/>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LED計算式!$M$47:$O$47</c:f>
              <c:numCache>
                <c:formatCode>#,##0\ "円"</c:formatCode>
                <c:ptCount val="3"/>
                <c:pt idx="0">
                  <c:v>0</c:v>
                </c:pt>
                <c:pt idx="1">
                  <c:v>0</c:v>
                </c:pt>
                <c:pt idx="2">
                  <c:v>0</c:v>
                </c:pt>
              </c:numCache>
            </c:numRef>
          </c:val>
          <c:extLst>
            <c:ext xmlns:c16="http://schemas.microsoft.com/office/drawing/2014/chart" uri="{C3380CC4-5D6E-409C-BE32-E72D297353CC}">
              <c16:uniqueId val="{00000000-BA1D-4309-835F-C94E5FC13B72}"/>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4243106951368396"/>
                      <c:h val="0.19643937888321639"/>
                    </c:manualLayout>
                  </c15:layout>
                </c:ext>
                <c:ext xmlns:c16="http://schemas.microsoft.com/office/drawing/2014/chart" uri="{C3380CC4-5D6E-409C-BE32-E72D297353CC}">
                  <c16:uniqueId val="{00000006-8822-472F-BF56-9E5C14EB3BCF}"/>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LED計算式!$M$45:$O$45</c:f>
              <c:numCache>
                <c:formatCode>#,##0\ "円"</c:formatCode>
                <c:ptCount val="3"/>
                <c:pt idx="1">
                  <c:v>0</c:v>
                </c:pt>
              </c:numCache>
            </c:numRef>
          </c:val>
          <c:extLst>
            <c:ext xmlns:c16="http://schemas.microsoft.com/office/drawing/2014/chart" uri="{C3380CC4-5D6E-409C-BE32-E72D297353CC}">
              <c16:uniqueId val="{00000001-BA1D-4309-835F-C94E5FC13B72}"/>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588938611416674"/>
                      <c:h val="0.13362446121707161"/>
                    </c:manualLayout>
                  </c15:layout>
                </c:ext>
                <c:ext xmlns:c16="http://schemas.microsoft.com/office/drawing/2014/chart" uri="{C3380CC4-5D6E-409C-BE32-E72D297353CC}">
                  <c16:uniqueId val="{00000003-8822-472F-BF56-9E5C14EB3BCF}"/>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053239371842093"/>
                      <c:h val="0.11649312003539578"/>
                    </c:manualLayout>
                  </c15:layout>
                </c:ext>
                <c:ext xmlns:c16="http://schemas.microsoft.com/office/drawing/2014/chart" uri="{C3380CC4-5D6E-409C-BE32-E72D297353CC}">
                  <c16:uniqueId val="{00000001-8822-472F-BF56-9E5C14EB3BCF}"/>
                </c:ext>
              </c:extLst>
            </c:dLbl>
            <c:dLbl>
              <c:idx val="2"/>
              <c:dLblPos val="ctr"/>
              <c:showLegendKey val="0"/>
              <c:showVal val="1"/>
              <c:showCatName val="0"/>
              <c:showSerName val="0"/>
              <c:showPercent val="0"/>
              <c:showBubbleSize val="0"/>
              <c:extLst>
                <c:ext xmlns:c15="http://schemas.microsoft.com/office/drawing/2012/chart" uri="{CE6537A1-D6FC-4f65-9D91-7224C49458BB}">
                  <c15:layout>
                    <c:manualLayout>
                      <c:w val="0.20861649550980599"/>
                      <c:h val="0.15075580239874747"/>
                    </c:manualLayout>
                  </c15:layout>
                </c:ext>
                <c:ext xmlns:c16="http://schemas.microsoft.com/office/drawing/2014/chart" uri="{C3380CC4-5D6E-409C-BE32-E72D297353CC}">
                  <c16:uniqueId val="{00000002-8822-472F-BF56-9E5C14EB3BCF}"/>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LED計算式!$M$57:$O$57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BA1D-4309-835F-C94E5FC13B72}"/>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6258487327754304"/>
                      <c:h val="0.22385884693583713"/>
                    </c:manualLayout>
                  </c15:layout>
                </c:ext>
                <c:ext xmlns:c16="http://schemas.microsoft.com/office/drawing/2014/chart" uri="{C3380CC4-5D6E-409C-BE32-E72D297353CC}">
                  <c16:uniqueId val="{00000003-F9E4-4C94-896D-E499DE0FF2D2}"/>
                </c:ext>
              </c:extLst>
            </c:dLbl>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279950043231818"/>
                      <c:h val="0.15736612012321224"/>
                    </c:manualLayout>
                  </c15:layout>
                </c:ext>
                <c:ext xmlns:c16="http://schemas.microsoft.com/office/drawing/2014/chart" uri="{C3380CC4-5D6E-409C-BE32-E72D297353CC}">
                  <c16:uniqueId val="{00000005-F9E4-4C94-896D-E499DE0FF2D2}"/>
                </c:ext>
              </c:extLst>
            </c:dLbl>
            <c:dLbl>
              <c:idx val="2"/>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928731113667225"/>
                      <c:h val="0.14628399898777475"/>
                    </c:manualLayout>
                  </c15:layout>
                </c:ext>
                <c:ext xmlns:c16="http://schemas.microsoft.com/office/drawing/2014/chart" uri="{C3380CC4-5D6E-409C-BE32-E72D297353CC}">
                  <c16:uniqueId val="{00000007-F9E4-4C94-896D-E499DE0FF2D2}"/>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LED計算式!$R$47:$T$47</c:f>
              <c:numCache>
                <c:formatCode>#,##0\ "円"</c:formatCode>
                <c:ptCount val="3"/>
                <c:pt idx="0">
                  <c:v>0</c:v>
                </c:pt>
                <c:pt idx="1">
                  <c:v>0</c:v>
                </c:pt>
                <c:pt idx="2">
                  <c:v>0</c:v>
                </c:pt>
              </c:numCache>
            </c:numRef>
          </c:val>
          <c:extLst>
            <c:ext xmlns:c16="http://schemas.microsoft.com/office/drawing/2014/chart" uri="{C3380CC4-5D6E-409C-BE32-E72D297353CC}">
              <c16:uniqueId val="{00000000-50B7-4260-A17F-C47EED4BF1FE}"/>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6588243541841389"/>
                      <c:h val="0.17953036239408718"/>
                    </c:manualLayout>
                  </c15:layout>
                </c:ext>
                <c:ext xmlns:c16="http://schemas.microsoft.com/office/drawing/2014/chart" uri="{C3380CC4-5D6E-409C-BE32-E72D297353CC}">
                  <c16:uniqueId val="{00000006-F9E4-4C94-896D-E499DE0FF2D2}"/>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LED計算式!$R$45:$T$45</c:f>
              <c:numCache>
                <c:formatCode>#,##0\ "円"</c:formatCode>
                <c:ptCount val="3"/>
                <c:pt idx="1">
                  <c:v>0</c:v>
                </c:pt>
              </c:numCache>
            </c:numRef>
          </c:val>
          <c:extLst>
            <c:ext xmlns:c16="http://schemas.microsoft.com/office/drawing/2014/chart" uri="{C3380CC4-5D6E-409C-BE32-E72D297353CC}">
              <c16:uniqueId val="{00000001-50B7-4260-A17F-C47EED4BF1FE}"/>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950193829144736"/>
                      <c:h val="0.16290718069093099"/>
                    </c:manualLayout>
                  </c15:layout>
                </c:ext>
                <c:ext xmlns:c16="http://schemas.microsoft.com/office/drawing/2014/chart" uri="{C3380CC4-5D6E-409C-BE32-E72D297353CC}">
                  <c16:uniqueId val="{00000004-F9E4-4C94-896D-E499DE0FF2D2}"/>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1976615870361665"/>
                      <c:h val="0.12966081728461851"/>
                    </c:manualLayout>
                  </c15:layout>
                </c:ext>
                <c:ext xmlns:c16="http://schemas.microsoft.com/office/drawing/2014/chart" uri="{C3380CC4-5D6E-409C-BE32-E72D297353CC}">
                  <c16:uniqueId val="{00000001-F9E4-4C94-896D-E499DE0FF2D2}"/>
                </c:ext>
              </c:extLst>
            </c:dLbl>
            <c:dLbl>
              <c:idx val="2"/>
              <c:numFmt formatCode="#,##0\ &quot;円&quot;" sourceLinked="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1646859656274584"/>
                      <c:h val="0.15736612012321224"/>
                    </c:manualLayout>
                  </c15:layout>
                </c:ext>
                <c:ext xmlns:c16="http://schemas.microsoft.com/office/drawing/2014/chart" uri="{C3380CC4-5D6E-409C-BE32-E72D297353CC}">
                  <c16:uniqueId val="{00000002-F9E4-4C94-896D-E499DE0FF2D2}"/>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LED計算式!$R$57:$T$57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50B7-4260-A17F-C47EED4BF1FE}"/>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LED計算式!$E$77:$O$77</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430F-4C8E-9BAD-07294F016ED8}"/>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LED計算式!$E$79:$O$79</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430F-4C8E-9BAD-07294F016ED8}"/>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395226683605882"/>
                      <c:h val="0.2630396806837238"/>
                    </c:manualLayout>
                  </c15:layout>
                </c:ext>
                <c:ext xmlns:c16="http://schemas.microsoft.com/office/drawing/2014/chart" uri="{C3380CC4-5D6E-409C-BE32-E72D297353CC}">
                  <c16:uniqueId val="{00000004-5033-461C-A5FA-B8289C989CBA}"/>
                </c:ext>
              </c:extLst>
            </c:dLbl>
            <c:dLbl>
              <c:idx val="1"/>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979356630960758"/>
                      <c:h val="0.16785041143750287"/>
                    </c:manualLayout>
                  </c15:layout>
                </c:ext>
                <c:ext xmlns:c16="http://schemas.microsoft.com/office/drawing/2014/chart" uri="{C3380CC4-5D6E-409C-BE32-E72D297353CC}">
                  <c16:uniqueId val="{00000005-5033-461C-A5FA-B8289C989CBA}"/>
                </c:ext>
              </c:extLst>
            </c:dLbl>
            <c:dLbl>
              <c:idx val="2"/>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321875033974197"/>
                      <c:h val="0.16785041143750287"/>
                    </c:manualLayout>
                  </c15:layout>
                </c:ext>
                <c:ext xmlns:c16="http://schemas.microsoft.com/office/drawing/2014/chart" uri="{C3380CC4-5D6E-409C-BE32-E72D297353CC}">
                  <c16:uniqueId val="{00000006-5033-461C-A5FA-B8289C989CBA}"/>
                </c:ext>
              </c:extLst>
            </c:dLbl>
            <c:spPr>
              <a:noFill/>
              <a:ln>
                <a:noFill/>
              </a:ln>
              <a:effectLst/>
            </c:spPr>
            <c:txPr>
              <a:bodyPr rot="0" spcFirstLastPara="1" vertOverflow="ellipsis" vert="horz" wrap="square" anchor="ctr" anchorCtr="1"/>
              <a:lstStyle/>
              <a:p>
                <a:pPr>
                  <a:defRPr lang="ja-JP"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LED計算式!$C$47:$E$47</c:f>
              <c:numCache>
                <c:formatCode>#,##0\ "円"</c:formatCode>
                <c:ptCount val="3"/>
                <c:pt idx="0">
                  <c:v>0</c:v>
                </c:pt>
                <c:pt idx="1">
                  <c:v>0</c:v>
                </c:pt>
                <c:pt idx="2">
                  <c:v>0</c:v>
                </c:pt>
              </c:numCache>
            </c:numRef>
          </c:val>
          <c:extLst>
            <c:ext xmlns:c16="http://schemas.microsoft.com/office/drawing/2014/chart" uri="{C3380CC4-5D6E-409C-BE32-E72D297353CC}">
              <c16:uniqueId val="{00000000-3BB2-49B7-937E-318DEE89F7A2}"/>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extLst>
                <c:ext xmlns:c15="http://schemas.microsoft.com/office/drawing/2012/chart" uri="{CE6537A1-D6FC-4f65-9D91-7224C49458BB}">
                  <c15:layout>
                    <c:manualLayout>
                      <c:w val="0.24080263489632758"/>
                      <c:h val="0.17419636272058428"/>
                    </c:manualLayout>
                  </c15:layout>
                </c:ext>
                <c:ext xmlns:c16="http://schemas.microsoft.com/office/drawing/2014/chart" uri="{C3380CC4-5D6E-409C-BE32-E72D297353CC}">
                  <c16:uniqueId val="{00000003-5033-461C-A5FA-B8289C989CBA}"/>
                </c:ext>
              </c:extLst>
            </c:dLbl>
            <c:spPr>
              <a:noFill/>
              <a:ln>
                <a:noFill/>
              </a:ln>
              <a:effectLst/>
            </c:spPr>
            <c:txPr>
              <a:bodyPr rot="0" spcFirstLastPara="1" vertOverflow="ellipsis" vert="horz" wrap="square" anchor="ctr" anchorCtr="1"/>
              <a:lstStyle/>
              <a:p>
                <a:pPr>
                  <a:defRPr lang="ja-JP"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LED計算式!$C$45:$E$45</c:f>
              <c:numCache>
                <c:formatCode>#,##0\ "円"</c:formatCode>
                <c:ptCount val="3"/>
                <c:pt idx="1">
                  <c:v>0</c:v>
                </c:pt>
              </c:numCache>
            </c:numRef>
          </c:val>
          <c:extLst>
            <c:ext xmlns:c16="http://schemas.microsoft.com/office/drawing/2014/chart" uri="{C3380CC4-5D6E-409C-BE32-E72D297353CC}">
              <c16:uniqueId val="{00000001-3BB2-49B7-937E-318DEE89F7A2}"/>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4737745086619317"/>
                      <c:h val="0.19323421656982845"/>
                    </c:manualLayout>
                  </c15:layout>
                </c:ext>
                <c:ext xmlns:c16="http://schemas.microsoft.com/office/drawing/2014/chart" uri="{C3380CC4-5D6E-409C-BE32-E72D297353CC}">
                  <c16:uniqueId val="{00000002-5033-461C-A5FA-B8289C989CBA}"/>
                </c:ext>
              </c:extLst>
            </c:dLbl>
            <c:dLbl>
              <c:idx val="1"/>
              <c:dLblPos val="ctr"/>
              <c:showLegendKey val="0"/>
              <c:showVal val="1"/>
              <c:showCatName val="0"/>
              <c:showSerName val="0"/>
              <c:showPercent val="0"/>
              <c:showBubbleSize val="0"/>
              <c:extLst>
                <c:ext xmlns:c15="http://schemas.microsoft.com/office/drawing/2012/chart" uri="{CE6537A1-D6FC-4f65-9D91-7224C49458BB}">
                  <c15:layout>
                    <c:manualLayout>
                      <c:w val="0.19870724622375183"/>
                      <c:h val="0.13274930594280848"/>
                    </c:manualLayout>
                  </c15:layout>
                </c:ext>
                <c:ext xmlns:c16="http://schemas.microsoft.com/office/drawing/2014/chart" uri="{C3380CC4-5D6E-409C-BE32-E72D297353CC}">
                  <c16:uniqueId val="{00000001-5F82-46CE-9832-4908801E91C6}"/>
                </c:ext>
              </c:extLst>
            </c:dLbl>
            <c:dLbl>
              <c:idx val="2"/>
              <c:dLblPos val="ctr"/>
              <c:showLegendKey val="0"/>
              <c:showVal val="1"/>
              <c:showCatName val="0"/>
              <c:showSerName val="0"/>
              <c:showPercent val="0"/>
              <c:showBubbleSize val="0"/>
              <c:extLst>
                <c:ext xmlns:c15="http://schemas.microsoft.com/office/drawing/2012/chart" uri="{CE6537A1-D6FC-4f65-9D91-7224C49458BB}">
                  <c15:layout>
                    <c:manualLayout>
                      <c:w val="0.21478293012109564"/>
                      <c:h val="0.16150446015442144"/>
                    </c:manualLayout>
                  </c15:layout>
                </c:ext>
                <c:ext xmlns:c16="http://schemas.microsoft.com/office/drawing/2014/chart" uri="{C3380CC4-5D6E-409C-BE32-E72D297353CC}">
                  <c16:uniqueId val="{00000001-5033-461C-A5FA-B8289C989CBA}"/>
                </c:ext>
              </c:extLst>
            </c:dLbl>
            <c:numFmt formatCode="#,##0\ &quot;円&quot;" sourceLinked="0"/>
            <c:spPr>
              <a:noFill/>
              <a:ln>
                <a:noFill/>
              </a:ln>
              <a:effectLst/>
            </c:spPr>
            <c:txPr>
              <a:bodyPr rot="0" spcFirstLastPara="1" vertOverflow="ellipsis" vert="horz" wrap="square" anchor="ctr" anchorCtr="1"/>
              <a:lstStyle/>
              <a:p>
                <a:pPr>
                  <a:defRPr lang="ja-JP" sz="1100" b="1" i="0" u="none" strike="noStrike" kern="1200" baseline="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LED計算式!$C$57:$E$57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3BB2-49B7-937E-318DEE89F7A2}"/>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1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LED計算式!$E$85:$O$85</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8CEF-47E9-8E81-9DB9106D19A2}"/>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LED計算式!$E$87:$O$87</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8CEF-47E9-8E81-9DB9106D19A2}"/>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LED計算式!$E$93:$O$93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DB0B-495C-8803-41355DD6E43F}"/>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LED計算式!$E$95:$O$95</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DB0B-495C-8803-41355DD6E43F}"/>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LED計算式!$E$101:$O$101</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0A6A-4889-B7E5-53CC28D3666C}"/>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LED計算式!$E$103:$O$103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0A6A-4889-B7E5-53CC28D3666C}"/>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16.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17.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1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5</xdr:col>
      <xdr:colOff>61191</xdr:colOff>
      <xdr:row>6</xdr:row>
      <xdr:rowOff>0</xdr:rowOff>
    </xdr:from>
    <xdr:to>
      <xdr:col>8</xdr:col>
      <xdr:colOff>552145</xdr:colOff>
      <xdr:row>22</xdr:row>
      <xdr:rowOff>169183</xdr:rowOff>
    </xdr:to>
    <xdr:pic>
      <xdr:nvPicPr>
        <xdr:cNvPr id="3" name="図 2">
          <a:extLst>
            <a:ext uri="{FF2B5EF4-FFF2-40B4-BE49-F238E27FC236}">
              <a16:creationId xmlns:a16="http://schemas.microsoft.com/office/drawing/2014/main" id="{CFBA04BF-2935-4A61-8759-6041ECB02619}"/>
            </a:ext>
          </a:extLst>
        </xdr:cNvPr>
        <xdr:cNvPicPr>
          <a:picLocks noChangeAspect="1"/>
        </xdr:cNvPicPr>
      </xdr:nvPicPr>
      <xdr:blipFill rotWithShape="1">
        <a:blip xmlns:r="http://schemas.openxmlformats.org/officeDocument/2006/relationships" r:embed="rId1" cstate="email">
          <a:alphaModFix amt="35000"/>
          <a:extLst>
            <a:ext uri="{28A0092B-C50C-407E-A947-70E740481C1C}">
              <a14:useLocalDpi xmlns:a14="http://schemas.microsoft.com/office/drawing/2010/main" val="0"/>
            </a:ext>
          </a:extLst>
        </a:blip>
        <a:srcRect/>
        <a:stretch/>
      </xdr:blipFill>
      <xdr:spPr>
        <a:xfrm>
          <a:off x="3335410" y="1381125"/>
          <a:ext cx="2455485" cy="3788683"/>
        </a:xfrm>
        <a:prstGeom prst="rect">
          <a:avLst/>
        </a:prstGeom>
      </xdr:spPr>
    </xdr:pic>
    <xdr:clientData/>
  </xdr:twoCellAnchor>
  <xdr:oneCellAnchor>
    <xdr:from>
      <xdr:col>1</xdr:col>
      <xdr:colOff>600720</xdr:colOff>
      <xdr:row>10</xdr:row>
      <xdr:rowOff>88746</xdr:rowOff>
    </xdr:from>
    <xdr:ext cx="6391493" cy="1192634"/>
    <xdr:sp macro="" textlink="">
      <xdr:nvSpPr>
        <xdr:cNvPr id="4" name="正方形/長方形 3">
          <a:extLst>
            <a:ext uri="{FF2B5EF4-FFF2-40B4-BE49-F238E27FC236}">
              <a16:creationId xmlns:a16="http://schemas.microsoft.com/office/drawing/2014/main" id="{18BD2BD4-1168-4A29-953A-72C7007C0CD1}"/>
            </a:ext>
          </a:extLst>
        </xdr:cNvPr>
        <xdr:cNvSpPr/>
      </xdr:nvSpPr>
      <xdr:spPr>
        <a:xfrm>
          <a:off x="1267470" y="2429175"/>
          <a:ext cx="6391493" cy="1192634"/>
        </a:xfrm>
        <a:prstGeom prst="rect">
          <a:avLst/>
        </a:prstGeom>
        <a:noFill/>
      </xdr:spPr>
      <xdr:txBody>
        <a:bodyPr wrap="none" lIns="91440" tIns="45720" rIns="91440" bIns="45720">
          <a:spAutoFit/>
        </a:bodyPr>
        <a:lstStyle/>
        <a:p>
          <a:pPr algn="ctr"/>
          <a:r>
            <a:rPr lang="en-US" altLang="ja-JP"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a:t>
          </a:r>
          <a:r>
            <a:rPr lang="ja-JP" altLang="en-US"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ＬＥＤ照明</a:t>
          </a:r>
          <a:r>
            <a:rPr lang="en-US" altLang="ja-JP"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a:t>
          </a:r>
          <a:r>
            <a:rPr lang="ja-JP" altLang="en-US" sz="4400" b="1" cap="none" spc="0">
              <a:ln w="9525">
                <a:solidFill>
                  <a:schemeClr val="bg1"/>
                </a:solidFill>
                <a:prstDash val="solid"/>
              </a:ln>
              <a:solidFill>
                <a:sysClr val="windowText" lastClr="00000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お見積書</a:t>
          </a:r>
          <a:endParaRPr lang="en-US" altLang="ja-JP" sz="4400" b="1" cap="none" spc="0">
            <a:ln w="9525">
              <a:solidFill>
                <a:schemeClr val="bg1"/>
              </a:solidFill>
              <a:prstDash val="solid"/>
            </a:ln>
            <a:solidFill>
              <a:sysClr val="windowText" lastClr="00000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26</xdr:row>
      <xdr:rowOff>0</xdr:rowOff>
    </xdr:from>
    <xdr:to>
      <xdr:col>50</xdr:col>
      <xdr:colOff>173857</xdr:colOff>
      <xdr:row>29</xdr:row>
      <xdr:rowOff>46494</xdr:rowOff>
    </xdr:to>
    <xdr:pic>
      <xdr:nvPicPr>
        <xdr:cNvPr id="3" name="図 2">
          <a:extLst>
            <a:ext uri="{FF2B5EF4-FFF2-40B4-BE49-F238E27FC236}">
              <a16:creationId xmlns:a16="http://schemas.microsoft.com/office/drawing/2014/main" id="{408754B3-AA68-4DDD-86A8-9E8576AA60C9}"/>
            </a:ext>
          </a:extLst>
        </xdr:cNvPr>
        <xdr:cNvPicPr>
          <a:picLocks noChangeAspect="1"/>
        </xdr:cNvPicPr>
      </xdr:nvPicPr>
      <xdr:blipFill>
        <a:blip xmlns:r="http://schemas.openxmlformats.org/officeDocument/2006/relationships" r:embed="rId1"/>
        <a:stretch>
          <a:fillRect/>
        </a:stretch>
      </xdr:blipFill>
      <xdr:spPr>
        <a:xfrm>
          <a:off x="10953750" y="7274719"/>
          <a:ext cx="2912295" cy="871200"/>
        </a:xfrm>
        <a:prstGeom prst="rect">
          <a:avLst/>
        </a:prstGeom>
      </xdr:spPr>
    </xdr:pic>
    <xdr:clientData/>
  </xdr:twoCellAnchor>
  <xdr:twoCellAnchor editAs="oneCell">
    <xdr:from>
      <xdr:col>0</xdr:col>
      <xdr:colOff>124402</xdr:colOff>
      <xdr:row>22</xdr:row>
      <xdr:rowOff>14143</xdr:rowOff>
    </xdr:from>
    <xdr:to>
      <xdr:col>25</xdr:col>
      <xdr:colOff>134861</xdr:colOff>
      <xdr:row>31</xdr:row>
      <xdr:rowOff>158885</xdr:rowOff>
    </xdr:to>
    <xdr:pic>
      <xdr:nvPicPr>
        <xdr:cNvPr id="4" name="図 3">
          <a:extLst>
            <a:ext uri="{FF2B5EF4-FFF2-40B4-BE49-F238E27FC236}">
              <a16:creationId xmlns:a16="http://schemas.microsoft.com/office/drawing/2014/main" id="{2918A8E2-FC06-BBFA-5BE2-39F545A99198}"/>
            </a:ext>
          </a:extLst>
        </xdr:cNvPr>
        <xdr:cNvPicPr>
          <a:picLocks noChangeAspect="1"/>
        </xdr:cNvPicPr>
      </xdr:nvPicPr>
      <xdr:blipFill>
        <a:blip xmlns:r="http://schemas.openxmlformats.org/officeDocument/2006/relationships" r:embed="rId2"/>
        <a:stretch>
          <a:fillRect/>
        </a:stretch>
      </xdr:blipFill>
      <xdr:spPr>
        <a:xfrm>
          <a:off x="124402" y="6266007"/>
          <a:ext cx="6937732" cy="2644910"/>
        </a:xfrm>
        <a:prstGeom prst="rect">
          <a:avLst/>
        </a:prstGeom>
      </xdr:spPr>
    </xdr:pic>
    <xdr:clientData/>
  </xdr:twoCellAnchor>
  <xdr:twoCellAnchor editAs="oneCell">
    <xdr:from>
      <xdr:col>25</xdr:col>
      <xdr:colOff>146339</xdr:colOff>
      <xdr:row>22</xdr:row>
      <xdr:rowOff>42429</xdr:rowOff>
    </xdr:from>
    <xdr:to>
      <xdr:col>50</xdr:col>
      <xdr:colOff>115521</xdr:colOff>
      <xdr:row>30</xdr:row>
      <xdr:rowOff>162213</xdr:rowOff>
    </xdr:to>
    <xdr:pic>
      <xdr:nvPicPr>
        <xdr:cNvPr id="5" name="図 4">
          <a:extLst>
            <a:ext uri="{FF2B5EF4-FFF2-40B4-BE49-F238E27FC236}">
              <a16:creationId xmlns:a16="http://schemas.microsoft.com/office/drawing/2014/main" id="{757DE892-89D2-A329-4C7F-AB951039FEF7}"/>
            </a:ext>
          </a:extLst>
        </xdr:cNvPr>
        <xdr:cNvPicPr>
          <a:picLocks noChangeAspect="1"/>
        </xdr:cNvPicPr>
      </xdr:nvPicPr>
      <xdr:blipFill>
        <a:blip xmlns:r="http://schemas.openxmlformats.org/officeDocument/2006/relationships" r:embed="rId3"/>
        <a:stretch>
          <a:fillRect/>
        </a:stretch>
      </xdr:blipFill>
      <xdr:spPr>
        <a:xfrm>
          <a:off x="7073612" y="6294293"/>
          <a:ext cx="6896454" cy="2330161"/>
        </a:xfrm>
        <a:prstGeom prst="rect">
          <a:avLst/>
        </a:prstGeom>
      </xdr:spPr>
    </xdr:pic>
    <xdr:clientData/>
  </xdr:twoCellAnchor>
  <xdr:twoCellAnchor editAs="oneCell">
    <xdr:from>
      <xdr:col>0</xdr:col>
      <xdr:colOff>261258</xdr:colOff>
      <xdr:row>3</xdr:row>
      <xdr:rowOff>141514</xdr:rowOff>
    </xdr:from>
    <xdr:to>
      <xdr:col>42</xdr:col>
      <xdr:colOff>21772</xdr:colOff>
      <xdr:row>19</xdr:row>
      <xdr:rowOff>40344</xdr:rowOff>
    </xdr:to>
    <xdr:pic>
      <xdr:nvPicPr>
        <xdr:cNvPr id="6" name="図 5">
          <a:extLst>
            <a:ext uri="{FF2B5EF4-FFF2-40B4-BE49-F238E27FC236}">
              <a16:creationId xmlns:a16="http://schemas.microsoft.com/office/drawing/2014/main" id="{666212CE-D182-122D-D25A-D3EA95B21BB1}"/>
            </a:ext>
          </a:extLst>
        </xdr:cNvPr>
        <xdr:cNvPicPr>
          <a:picLocks noChangeAspect="1"/>
        </xdr:cNvPicPr>
      </xdr:nvPicPr>
      <xdr:blipFill>
        <a:blip xmlns:r="http://schemas.openxmlformats.org/officeDocument/2006/relationships" r:embed="rId4"/>
        <a:stretch>
          <a:fillRect/>
        </a:stretch>
      </xdr:blipFill>
      <xdr:spPr>
        <a:xfrm>
          <a:off x="261258" y="1164771"/>
          <a:ext cx="11190514" cy="41986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197971</xdr:colOff>
      <xdr:row>4</xdr:row>
      <xdr:rowOff>141941</xdr:rowOff>
    </xdr:from>
    <xdr:to>
      <xdr:col>14</xdr:col>
      <xdr:colOff>369795</xdr:colOff>
      <xdr:row>29</xdr:row>
      <xdr:rowOff>159552</xdr:rowOff>
    </xdr:to>
    <xdr:pic>
      <xdr:nvPicPr>
        <xdr:cNvPr id="2" name="図 1">
          <a:extLst>
            <a:ext uri="{FF2B5EF4-FFF2-40B4-BE49-F238E27FC236}">
              <a16:creationId xmlns:a16="http://schemas.microsoft.com/office/drawing/2014/main" id="{8F5C7DE1-555A-BC11-EE48-AEA931B207F5}"/>
            </a:ext>
          </a:extLst>
        </xdr:cNvPr>
        <xdr:cNvPicPr>
          <a:picLocks noChangeAspect="1"/>
        </xdr:cNvPicPr>
      </xdr:nvPicPr>
      <xdr:blipFill>
        <a:blip xmlns:r="http://schemas.openxmlformats.org/officeDocument/2006/relationships" r:embed="rId1"/>
        <a:stretch>
          <a:fillRect/>
        </a:stretch>
      </xdr:blipFill>
      <xdr:spPr>
        <a:xfrm>
          <a:off x="197971" y="1038412"/>
          <a:ext cx="9431058" cy="56237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6" name="四角形: 角を丸くする 5">
          <a:extLst>
            <a:ext uri="{FF2B5EF4-FFF2-40B4-BE49-F238E27FC236}">
              <a16:creationId xmlns:a16="http://schemas.microsoft.com/office/drawing/2014/main" id="{FDA5CFC3-CF5F-4865-9AF0-1B1DF751C8D9}"/>
            </a:ext>
          </a:extLst>
        </xdr:cNvPr>
        <xdr:cNvSpPr/>
      </xdr:nvSpPr>
      <xdr:spPr>
        <a:xfrm>
          <a:off x="7852833" y="8233834"/>
          <a:ext cx="6589485" cy="1280584"/>
        </a:xfrm>
        <a:prstGeom prst="roundRect">
          <a:avLst>
            <a:gd name="adj" fmla="val 0"/>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63349</xdr:rowOff>
    </xdr:from>
    <xdr:to>
      <xdr:col>49</xdr:col>
      <xdr:colOff>240241</xdr:colOff>
      <xdr:row>37</xdr:row>
      <xdr:rowOff>116417</xdr:rowOff>
    </xdr:to>
    <xdr:sp macro="" textlink="">
      <xdr:nvSpPr>
        <xdr:cNvPr id="7" name="矢印: 右 6">
          <a:extLst>
            <a:ext uri="{FF2B5EF4-FFF2-40B4-BE49-F238E27FC236}">
              <a16:creationId xmlns:a16="http://schemas.microsoft.com/office/drawing/2014/main" id="{9122F115-5D5C-4BF6-A9A5-3BC08E534D76}"/>
            </a:ext>
          </a:extLst>
        </xdr:cNvPr>
        <xdr:cNvSpPr/>
      </xdr:nvSpPr>
      <xdr:spPr>
        <a:xfrm rot="5400000">
          <a:off x="12717990" y="7886096"/>
          <a:ext cx="869497" cy="845004"/>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651C2EC8-5264-4DD2-B897-0EAD0001EF4F}"/>
            </a:ext>
          </a:extLst>
        </xdr:cNvPr>
        <xdr:cNvSpPr/>
      </xdr:nvSpPr>
      <xdr:spPr>
        <a:xfrm>
          <a:off x="7914216" y="8297334"/>
          <a:ext cx="6642402" cy="1291167"/>
        </a:xfrm>
        <a:prstGeom prst="roundRect">
          <a:avLst>
            <a:gd name="adj" fmla="val 0"/>
          </a:avLst>
        </a:prstGeom>
        <a:noFill/>
        <a:ln w="3810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36134</xdr:rowOff>
    </xdr:from>
    <xdr:to>
      <xdr:col>49</xdr:col>
      <xdr:colOff>240241</xdr:colOff>
      <xdr:row>37</xdr:row>
      <xdr:rowOff>89202</xdr:rowOff>
    </xdr:to>
    <xdr:sp macro="" textlink="">
      <xdr:nvSpPr>
        <xdr:cNvPr id="3" name="矢印: 右 2">
          <a:extLst>
            <a:ext uri="{FF2B5EF4-FFF2-40B4-BE49-F238E27FC236}">
              <a16:creationId xmlns:a16="http://schemas.microsoft.com/office/drawing/2014/main" id="{D2F15E57-1C76-4E31-937F-496A23C19E15}"/>
            </a:ext>
          </a:extLst>
        </xdr:cNvPr>
        <xdr:cNvSpPr/>
      </xdr:nvSpPr>
      <xdr:spPr>
        <a:xfrm rot="5400000">
          <a:off x="12717990" y="7858881"/>
          <a:ext cx="869497" cy="845004"/>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58</xdr:col>
      <xdr:colOff>64498</xdr:colOff>
      <xdr:row>11</xdr:row>
      <xdr:rowOff>216534</xdr:rowOff>
    </xdr:from>
    <xdr:to>
      <xdr:col>81</xdr:col>
      <xdr:colOff>64498</xdr:colOff>
      <xdr:row>19</xdr:row>
      <xdr:rowOff>113664</xdr:rowOff>
    </xdr:to>
    <xdr:sp macro="" textlink="">
      <xdr:nvSpPr>
        <xdr:cNvPr id="4" name="テキスト ボックス 4">
          <a:extLst>
            <a:ext uri="{FF2B5EF4-FFF2-40B4-BE49-F238E27FC236}">
              <a16:creationId xmlns:a16="http://schemas.microsoft.com/office/drawing/2014/main" id="{811007B1-8604-4F33-8FBD-9DCB5D8E7888}"/>
            </a:ext>
            <a:ext uri="{147F2762-F138-4A5C-976F-8EAC2B608ADB}">
              <a16:predDERef xmlns:a16="http://schemas.microsoft.com/office/drawing/2014/main" pred="{D2F15E57-1C76-4E31-937F-496A23C19E15}"/>
            </a:ext>
          </a:extLst>
        </xdr:cNvPr>
        <xdr:cNvSpPr txBox="1"/>
      </xdr:nvSpPr>
      <xdr:spPr>
        <a:xfrm>
          <a:off x="15539448" y="3386454"/>
          <a:ext cx="6134100" cy="2030730"/>
        </a:xfrm>
        <a:prstGeom prst="rect">
          <a:avLst/>
        </a:prstGeom>
        <a:solidFill>
          <a:srgbClr val="D9D9D9">
            <a:alpha val="94902"/>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600" b="1" i="0" u="none" strike="noStrike" baseline="0">
              <a:ln>
                <a:noFill/>
              </a:ln>
              <a:solidFill>
                <a:srgbClr val="FF9933"/>
              </a:solidFill>
              <a:effectLst>
                <a:glow rad="139700">
                  <a:schemeClr val="bg1">
                    <a:alpha val="40000"/>
                  </a:schemeClr>
                </a:glow>
              </a:effectLst>
              <a:latin typeface="游ゴシック"/>
              <a:ea typeface="游ゴシック"/>
            </a:rPr>
            <a:t>10</a:t>
          </a:r>
          <a:r>
            <a:rPr kumimoji="1" lang="ja-JP" altLang="en-US" sz="3600" b="1" i="0" u="none" strike="noStrike" baseline="0">
              <a:ln>
                <a:noFill/>
              </a:ln>
              <a:solidFill>
                <a:srgbClr val="FF9933"/>
              </a:solidFill>
              <a:effectLst>
                <a:glow rad="139700">
                  <a:schemeClr val="bg1">
                    <a:alpha val="40000"/>
                  </a:schemeClr>
                </a:glow>
              </a:effectLst>
              <a:latin typeface="游ゴシック"/>
              <a:ea typeface="游ゴシック"/>
            </a:rPr>
            <a:t>年間は</a:t>
          </a:r>
          <a:endParaRPr kumimoji="1" lang="en-US" altLang="ja-JP" sz="3600" b="1" i="0" u="none" strike="noStrike" baseline="0">
            <a:ln>
              <a:noFill/>
            </a:ln>
            <a:solidFill>
              <a:srgbClr val="FF9933"/>
            </a:solidFill>
            <a:effectLst>
              <a:glow rad="139700">
                <a:schemeClr val="bg1">
                  <a:alpha val="40000"/>
                </a:schemeClr>
              </a:glow>
            </a:effectLst>
            <a:latin typeface="游ゴシック"/>
            <a:ea typeface="游ゴシック"/>
          </a:endParaRPr>
        </a:p>
        <a:p>
          <a:pPr algn="ctr"/>
          <a:r>
            <a:rPr kumimoji="1" lang="ja-JP" altLang="en-US" sz="3600" b="1" i="0" u="none" strike="noStrike" baseline="0">
              <a:ln>
                <a:noFill/>
              </a:ln>
              <a:solidFill>
                <a:srgbClr val="FF9933"/>
              </a:solidFill>
              <a:effectLst>
                <a:glow rad="139700">
                  <a:schemeClr val="bg1">
                    <a:alpha val="40000"/>
                  </a:schemeClr>
                </a:glow>
              </a:effectLst>
              <a:latin typeface="游ゴシック"/>
              <a:ea typeface="游ゴシック"/>
            </a:rPr>
            <a:t>交換費用一切不要</a:t>
          </a:r>
          <a:endParaRPr kumimoji="1" lang="en-US" altLang="en-US" sz="3600" b="1" i="0" u="none" strike="noStrike" baseline="0">
            <a:ln>
              <a:noFill/>
            </a:ln>
            <a:solidFill>
              <a:srgbClr val="FF9933"/>
            </a:solidFill>
            <a:effectLst>
              <a:glow rad="139700">
                <a:schemeClr val="bg1">
                  <a:alpha val="40000"/>
                </a:schemeClr>
              </a:glow>
            </a:effectLst>
            <a:latin typeface="游ゴシック"/>
            <a:ea typeface="游ゴシック"/>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55</xdr:col>
      <xdr:colOff>68036</xdr:colOff>
      <xdr:row>20</xdr:row>
      <xdr:rowOff>95252</xdr:rowOff>
    </xdr:from>
    <xdr:to>
      <xdr:col>58</xdr:col>
      <xdr:colOff>96611</xdr:colOff>
      <xdr:row>24</xdr:row>
      <xdr:rowOff>224120</xdr:rowOff>
    </xdr:to>
    <xdr:sp macro="" textlink="">
      <xdr:nvSpPr>
        <xdr:cNvPr id="4" name="矢印: 右 3">
          <a:extLst>
            <a:ext uri="{FF2B5EF4-FFF2-40B4-BE49-F238E27FC236}">
              <a16:creationId xmlns:a16="http://schemas.microsoft.com/office/drawing/2014/main" id="{73E26C5E-A0BA-4120-A53D-543DE1B44E3E}"/>
            </a:ext>
          </a:extLst>
        </xdr:cNvPr>
        <xdr:cNvSpPr/>
      </xdr:nvSpPr>
      <xdr:spPr>
        <a:xfrm rot="5400000">
          <a:off x="14675183" y="5855917"/>
          <a:ext cx="1204633" cy="835398"/>
        </a:xfrm>
        <a:prstGeom prst="rightArrow">
          <a:avLst/>
        </a:prstGeom>
        <a:solidFill>
          <a:srgbClr val="FF99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259977</xdr:colOff>
      <xdr:row>20</xdr:row>
      <xdr:rowOff>89648</xdr:rowOff>
    </xdr:from>
    <xdr:to>
      <xdr:col>45</xdr:col>
      <xdr:colOff>19610</xdr:colOff>
      <xdr:row>24</xdr:row>
      <xdr:rowOff>218516</xdr:rowOff>
    </xdr:to>
    <xdr:sp macro="" textlink="">
      <xdr:nvSpPr>
        <xdr:cNvPr id="5" name="矢印: 右 4">
          <a:extLst>
            <a:ext uri="{FF2B5EF4-FFF2-40B4-BE49-F238E27FC236}">
              <a16:creationId xmlns:a16="http://schemas.microsoft.com/office/drawing/2014/main" id="{D91621B8-BA61-44F9-B514-03D48C2DCF92}"/>
            </a:ext>
          </a:extLst>
        </xdr:cNvPr>
        <xdr:cNvSpPr/>
      </xdr:nvSpPr>
      <xdr:spPr>
        <a:xfrm rot="5400000">
          <a:off x="11101947" y="5850313"/>
          <a:ext cx="1204633" cy="835398"/>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251012</xdr:colOff>
      <xdr:row>20</xdr:row>
      <xdr:rowOff>89649</xdr:rowOff>
    </xdr:from>
    <xdr:to>
      <xdr:col>32</xdr:col>
      <xdr:colOff>10645</xdr:colOff>
      <xdr:row>24</xdr:row>
      <xdr:rowOff>218517</xdr:rowOff>
    </xdr:to>
    <xdr:sp macro="" textlink="">
      <xdr:nvSpPr>
        <xdr:cNvPr id="6" name="矢印: 右 5">
          <a:extLst>
            <a:ext uri="{FF2B5EF4-FFF2-40B4-BE49-F238E27FC236}">
              <a16:creationId xmlns:a16="http://schemas.microsoft.com/office/drawing/2014/main" id="{0654AD45-6D13-4BC0-A419-0F68E31B11C1}"/>
            </a:ext>
          </a:extLst>
        </xdr:cNvPr>
        <xdr:cNvSpPr/>
      </xdr:nvSpPr>
      <xdr:spPr>
        <a:xfrm rot="5400000">
          <a:off x="7596747" y="5850314"/>
          <a:ext cx="1204633" cy="835398"/>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235325</xdr:colOff>
      <xdr:row>4</xdr:row>
      <xdr:rowOff>74377</xdr:rowOff>
    </xdr:from>
    <xdr:to>
      <xdr:col>14</xdr:col>
      <xdr:colOff>190500</xdr:colOff>
      <xdr:row>29</xdr:row>
      <xdr:rowOff>190043</xdr:rowOff>
    </xdr:to>
    <xdr:pic>
      <xdr:nvPicPr>
        <xdr:cNvPr id="4" name="図 3">
          <a:extLst>
            <a:ext uri="{FF2B5EF4-FFF2-40B4-BE49-F238E27FC236}">
              <a16:creationId xmlns:a16="http://schemas.microsoft.com/office/drawing/2014/main" id="{D50E6080-C136-4A67-BB80-5923A474765C}"/>
            </a:ext>
          </a:extLst>
        </xdr:cNvPr>
        <xdr:cNvPicPr>
          <a:picLocks noChangeAspect="1"/>
        </xdr:cNvPicPr>
      </xdr:nvPicPr>
      <xdr:blipFill>
        <a:blip xmlns:r="http://schemas.openxmlformats.org/officeDocument/2006/relationships" r:embed="rId1"/>
        <a:stretch>
          <a:fillRect/>
        </a:stretch>
      </xdr:blipFill>
      <xdr:spPr>
        <a:xfrm>
          <a:off x="235325" y="970848"/>
          <a:ext cx="9211234" cy="571860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F38EBA7E-0E88-4E61-AF8B-FC7FC8A076E3}"/>
            </a:ext>
          </a:extLst>
        </xdr:cNvPr>
        <xdr:cNvSpPr/>
      </xdr:nvSpPr>
      <xdr:spPr>
        <a:xfrm>
          <a:off x="7917391" y="8979959"/>
          <a:ext cx="6639227" cy="1297517"/>
        </a:xfrm>
        <a:prstGeom prst="roundRect">
          <a:avLst>
            <a:gd name="adj" fmla="val 0"/>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63349</xdr:rowOff>
    </xdr:from>
    <xdr:to>
      <xdr:col>49</xdr:col>
      <xdr:colOff>240241</xdr:colOff>
      <xdr:row>37</xdr:row>
      <xdr:rowOff>116417</xdr:rowOff>
    </xdr:to>
    <xdr:sp macro="" textlink="">
      <xdr:nvSpPr>
        <xdr:cNvPr id="3" name="矢印: 右 2">
          <a:extLst>
            <a:ext uri="{FF2B5EF4-FFF2-40B4-BE49-F238E27FC236}">
              <a16:creationId xmlns:a16="http://schemas.microsoft.com/office/drawing/2014/main" id="{FBE341E0-C79D-4611-A578-80FE5C6D0678}"/>
            </a:ext>
          </a:extLst>
        </xdr:cNvPr>
        <xdr:cNvSpPr/>
      </xdr:nvSpPr>
      <xdr:spPr>
        <a:xfrm rot="5400000">
          <a:off x="12467619" y="8060721"/>
          <a:ext cx="849993" cy="825500"/>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A62F3435-09AE-4991-AF4B-FD95F4C24C8D}"/>
            </a:ext>
          </a:extLst>
        </xdr:cNvPr>
        <xdr:cNvSpPr/>
      </xdr:nvSpPr>
      <xdr:spPr>
        <a:xfrm>
          <a:off x="7917391" y="8979959"/>
          <a:ext cx="6639227" cy="1297517"/>
        </a:xfrm>
        <a:prstGeom prst="roundRect">
          <a:avLst>
            <a:gd name="adj" fmla="val 0"/>
          </a:avLst>
        </a:prstGeom>
        <a:noFill/>
        <a:ln w="3810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36134</xdr:rowOff>
    </xdr:from>
    <xdr:to>
      <xdr:col>49</xdr:col>
      <xdr:colOff>240241</xdr:colOff>
      <xdr:row>37</xdr:row>
      <xdr:rowOff>89202</xdr:rowOff>
    </xdr:to>
    <xdr:sp macro="" textlink="">
      <xdr:nvSpPr>
        <xdr:cNvPr id="3" name="矢印: 右 2">
          <a:extLst>
            <a:ext uri="{FF2B5EF4-FFF2-40B4-BE49-F238E27FC236}">
              <a16:creationId xmlns:a16="http://schemas.microsoft.com/office/drawing/2014/main" id="{BF5143B4-F14E-4B7A-A412-E9B92B224FFB}"/>
            </a:ext>
          </a:extLst>
        </xdr:cNvPr>
        <xdr:cNvSpPr/>
      </xdr:nvSpPr>
      <xdr:spPr>
        <a:xfrm rot="5400000">
          <a:off x="12467619" y="8030331"/>
          <a:ext cx="849993" cy="825500"/>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55</xdr:col>
      <xdr:colOff>68036</xdr:colOff>
      <xdr:row>20</xdr:row>
      <xdr:rowOff>95252</xdr:rowOff>
    </xdr:from>
    <xdr:to>
      <xdr:col>58</xdr:col>
      <xdr:colOff>96611</xdr:colOff>
      <xdr:row>24</xdr:row>
      <xdr:rowOff>224120</xdr:rowOff>
    </xdr:to>
    <xdr:sp macro="" textlink="">
      <xdr:nvSpPr>
        <xdr:cNvPr id="2" name="矢印: 右 1">
          <a:extLst>
            <a:ext uri="{FF2B5EF4-FFF2-40B4-BE49-F238E27FC236}">
              <a16:creationId xmlns:a16="http://schemas.microsoft.com/office/drawing/2014/main" id="{CF65A2F0-DABE-480B-96CB-FB7B1EC1BB8A}"/>
            </a:ext>
          </a:extLst>
        </xdr:cNvPr>
        <xdr:cNvSpPr/>
      </xdr:nvSpPr>
      <xdr:spPr>
        <a:xfrm rot="5400000">
          <a:off x="14553039" y="5809599"/>
          <a:ext cx="1192493" cy="831850"/>
        </a:xfrm>
        <a:prstGeom prst="rightArrow">
          <a:avLst/>
        </a:prstGeom>
        <a:solidFill>
          <a:srgbClr val="FF99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259977</xdr:colOff>
      <xdr:row>20</xdr:row>
      <xdr:rowOff>89648</xdr:rowOff>
    </xdr:from>
    <xdr:to>
      <xdr:col>45</xdr:col>
      <xdr:colOff>19610</xdr:colOff>
      <xdr:row>24</xdr:row>
      <xdr:rowOff>218516</xdr:rowOff>
    </xdr:to>
    <xdr:sp macro="" textlink="">
      <xdr:nvSpPr>
        <xdr:cNvPr id="3" name="矢印: 右 2">
          <a:extLst>
            <a:ext uri="{FF2B5EF4-FFF2-40B4-BE49-F238E27FC236}">
              <a16:creationId xmlns:a16="http://schemas.microsoft.com/office/drawing/2014/main" id="{70CA0A91-DCEA-4123-BA82-1796FAEDFB4F}"/>
            </a:ext>
          </a:extLst>
        </xdr:cNvPr>
        <xdr:cNvSpPr/>
      </xdr:nvSpPr>
      <xdr:spPr>
        <a:xfrm rot="5400000">
          <a:off x="11005297" y="5806703"/>
          <a:ext cx="1202018" cy="829608"/>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251012</xdr:colOff>
      <xdr:row>20</xdr:row>
      <xdr:rowOff>89649</xdr:rowOff>
    </xdr:from>
    <xdr:to>
      <xdr:col>32</xdr:col>
      <xdr:colOff>10645</xdr:colOff>
      <xdr:row>24</xdr:row>
      <xdr:rowOff>218517</xdr:rowOff>
    </xdr:to>
    <xdr:sp macro="" textlink="">
      <xdr:nvSpPr>
        <xdr:cNvPr id="4" name="矢印: 右 3">
          <a:extLst>
            <a:ext uri="{FF2B5EF4-FFF2-40B4-BE49-F238E27FC236}">
              <a16:creationId xmlns:a16="http://schemas.microsoft.com/office/drawing/2014/main" id="{16BFFF25-C513-475E-8BE2-EDFB8FEA090B}"/>
            </a:ext>
          </a:extLst>
        </xdr:cNvPr>
        <xdr:cNvSpPr/>
      </xdr:nvSpPr>
      <xdr:spPr>
        <a:xfrm rot="5400000">
          <a:off x="7530820" y="5811466"/>
          <a:ext cx="1202018" cy="82008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120650</xdr:colOff>
      <xdr:row>9</xdr:row>
      <xdr:rowOff>47625</xdr:rowOff>
    </xdr:from>
    <xdr:to>
      <xdr:col>11</xdr:col>
      <xdr:colOff>619125</xdr:colOff>
      <xdr:row>43</xdr:row>
      <xdr:rowOff>1</xdr:rowOff>
    </xdr:to>
    <xdr:graphicFrame macro="">
      <xdr:nvGraphicFramePr>
        <xdr:cNvPr id="4" name="グラフ 3">
          <a:extLst>
            <a:ext uri="{FF2B5EF4-FFF2-40B4-BE49-F238E27FC236}">
              <a16:creationId xmlns:a16="http://schemas.microsoft.com/office/drawing/2014/main" id="{90A8C829-00BD-4358-B3BA-8AEDFC1CA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31</xdr:col>
      <xdr:colOff>48079</xdr:colOff>
      <xdr:row>9</xdr:row>
      <xdr:rowOff>29479</xdr:rowOff>
    </xdr:from>
    <xdr:to>
      <xdr:col>50</xdr:col>
      <xdr:colOff>1</xdr:colOff>
      <xdr:row>25</xdr:row>
      <xdr:rowOff>0</xdr:rowOff>
    </xdr:to>
    <xdr:graphicFrame macro="">
      <xdr:nvGraphicFramePr>
        <xdr:cNvPr id="12" name="グラフ 1">
          <a:extLst>
            <a:ext uri="{FF2B5EF4-FFF2-40B4-BE49-F238E27FC236}">
              <a16:creationId xmlns:a16="http://schemas.microsoft.com/office/drawing/2014/main" id="{12172674-6701-42B1-A16E-F10ADB094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30163</xdr:colOff>
      <xdr:row>9</xdr:row>
      <xdr:rowOff>30389</xdr:rowOff>
    </xdr:from>
    <xdr:to>
      <xdr:col>29</xdr:col>
      <xdr:colOff>122464</xdr:colOff>
      <xdr:row>24</xdr:row>
      <xdr:rowOff>241299</xdr:rowOff>
    </xdr:to>
    <xdr:graphicFrame macro="">
      <xdr:nvGraphicFramePr>
        <xdr:cNvPr id="3" name="グラフ 2">
          <a:extLst>
            <a:ext uri="{FF2B5EF4-FFF2-40B4-BE49-F238E27FC236}">
              <a16:creationId xmlns:a16="http://schemas.microsoft.com/office/drawing/2014/main" id="{7F48B972-E444-4B58-AFF6-5206A6A3A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12472</xdr:colOff>
      <xdr:row>9</xdr:row>
      <xdr:rowOff>12356</xdr:rowOff>
    </xdr:from>
    <xdr:to>
      <xdr:col>8</xdr:col>
      <xdr:colOff>63839</xdr:colOff>
      <xdr:row>10</xdr:row>
      <xdr:rowOff>116223</xdr:rowOff>
    </xdr:to>
    <xdr:sp macro="" textlink="">
      <xdr:nvSpPr>
        <xdr:cNvPr id="4" name="テキスト ボックス 3">
          <a:extLst>
            <a:ext uri="{FF2B5EF4-FFF2-40B4-BE49-F238E27FC236}">
              <a16:creationId xmlns:a16="http://schemas.microsoft.com/office/drawing/2014/main" id="{6251276E-0D20-4950-B8D8-E1AC4CB509E7}"/>
            </a:ext>
          </a:extLst>
        </xdr:cNvPr>
        <xdr:cNvSpPr txBox="1"/>
      </xdr:nvSpPr>
      <xdr:spPr>
        <a:xfrm>
          <a:off x="564922" y="2707931"/>
          <a:ext cx="1708717" cy="380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1699</xdr:colOff>
      <xdr:row>8</xdr:row>
      <xdr:rowOff>236197</xdr:rowOff>
    </xdr:from>
    <xdr:to>
      <xdr:col>19</xdr:col>
      <xdr:colOff>160335</xdr:colOff>
      <xdr:row>10</xdr:row>
      <xdr:rowOff>198553</xdr:rowOff>
    </xdr:to>
    <xdr:sp macro="" textlink="">
      <xdr:nvSpPr>
        <xdr:cNvPr id="5" name="テキスト ボックス 4">
          <a:extLst>
            <a:ext uri="{FF2B5EF4-FFF2-40B4-BE49-F238E27FC236}">
              <a16:creationId xmlns:a16="http://schemas.microsoft.com/office/drawing/2014/main" id="{6417780F-FA49-44D8-B18B-90C9D557C86A}"/>
            </a:ext>
          </a:extLst>
        </xdr:cNvPr>
        <xdr:cNvSpPr txBox="1"/>
      </xdr:nvSpPr>
      <xdr:spPr>
        <a:xfrm>
          <a:off x="2763949" y="2655547"/>
          <a:ext cx="2644661" cy="514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10</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86066</xdr:colOff>
      <xdr:row>8</xdr:row>
      <xdr:rowOff>219639</xdr:rowOff>
    </xdr:from>
    <xdr:to>
      <xdr:col>29</xdr:col>
      <xdr:colOff>7484</xdr:colOff>
      <xdr:row>10</xdr:row>
      <xdr:rowOff>104776</xdr:rowOff>
    </xdr:to>
    <xdr:sp macro="" textlink="">
      <xdr:nvSpPr>
        <xdr:cNvPr id="6" name="テキスト ボックス 5">
          <a:extLst>
            <a:ext uri="{FF2B5EF4-FFF2-40B4-BE49-F238E27FC236}">
              <a16:creationId xmlns:a16="http://schemas.microsoft.com/office/drawing/2014/main" id="{B9EF7E1A-8381-4520-9E5F-91A975C5678B}"/>
            </a:ext>
          </a:extLst>
        </xdr:cNvPr>
        <xdr:cNvSpPr txBox="1"/>
      </xdr:nvSpPr>
      <xdr:spPr>
        <a:xfrm>
          <a:off x="5610566" y="2638989"/>
          <a:ext cx="2407443" cy="437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0" i="0" u="none" strike="noStrike" baseline="0">
              <a:solidFill>
                <a:schemeClr val="tx1"/>
              </a:solidFill>
              <a:latin typeface="メイリオ"/>
              <a:ea typeface="メイリオ"/>
              <a:cs typeface="メイリオ"/>
            </a:rPr>
            <a:t>11</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23</xdr:row>
      <xdr:rowOff>76314</xdr:rowOff>
    </xdr:from>
    <xdr:to>
      <xdr:col>24</xdr:col>
      <xdr:colOff>0</xdr:colOff>
      <xdr:row>24</xdr:row>
      <xdr:rowOff>258081</xdr:rowOff>
    </xdr:to>
    <xdr:sp macro="" textlink="">
      <xdr:nvSpPr>
        <xdr:cNvPr id="7" name="テキスト ボックス 6">
          <a:extLst>
            <a:ext uri="{FF2B5EF4-FFF2-40B4-BE49-F238E27FC236}">
              <a16:creationId xmlns:a16="http://schemas.microsoft.com/office/drawing/2014/main" id="{7766A898-E315-4C5F-B470-D05CA932196E}"/>
            </a:ext>
          </a:extLst>
        </xdr:cNvPr>
        <xdr:cNvSpPr txBox="1"/>
      </xdr:nvSpPr>
      <xdr:spPr>
        <a:xfrm>
          <a:off x="1354932" y="6639039"/>
          <a:ext cx="5274468" cy="454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10</xdr:row>
      <xdr:rowOff>196848</xdr:rowOff>
    </xdr:from>
    <xdr:to>
      <xdr:col>29</xdr:col>
      <xdr:colOff>0</xdr:colOff>
      <xdr:row>16</xdr:row>
      <xdr:rowOff>102506</xdr:rowOff>
    </xdr:to>
    <xdr:sp macro="" textlink="">
      <xdr:nvSpPr>
        <xdr:cNvPr id="8" name="四角形: 角を丸くする 7">
          <a:extLst>
            <a:ext uri="{FF2B5EF4-FFF2-40B4-BE49-F238E27FC236}">
              <a16:creationId xmlns:a16="http://schemas.microsoft.com/office/drawing/2014/main" id="{C3D64698-257B-4D87-BE57-3B1A508986A3}"/>
            </a:ext>
          </a:extLst>
        </xdr:cNvPr>
        <xdr:cNvSpPr/>
      </xdr:nvSpPr>
      <xdr:spPr>
        <a:xfrm>
          <a:off x="5544452" y="3171823"/>
          <a:ext cx="2466073" cy="1563008"/>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19</xdr:col>
      <xdr:colOff>257630</xdr:colOff>
      <xdr:row>11</xdr:row>
      <xdr:rowOff>1362</xdr:rowOff>
    </xdr:from>
    <xdr:to>
      <xdr:col>25</xdr:col>
      <xdr:colOff>207283</xdr:colOff>
      <xdr:row>16</xdr:row>
      <xdr:rowOff>48078</xdr:rowOff>
    </xdr:to>
    <xdr:sp macro="" textlink="">
      <xdr:nvSpPr>
        <xdr:cNvPr id="9" name="テキスト ボックス 8">
          <a:extLst>
            <a:ext uri="{FF2B5EF4-FFF2-40B4-BE49-F238E27FC236}">
              <a16:creationId xmlns:a16="http://schemas.microsoft.com/office/drawing/2014/main" id="{4510F038-4571-4EC2-9001-6A816A6D4F9F}"/>
            </a:ext>
          </a:extLst>
        </xdr:cNvPr>
        <xdr:cNvSpPr txBox="1"/>
      </xdr:nvSpPr>
      <xdr:spPr>
        <a:xfrm>
          <a:off x="5505905" y="3249387"/>
          <a:ext cx="1607003" cy="1427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200" b="1" i="0" u="none" strike="noStrike" baseline="0">
              <a:solidFill>
                <a:srgbClr val="FF9933"/>
              </a:solidFill>
              <a:latin typeface="游ゴシック"/>
              <a:ea typeface="游ゴシック"/>
            </a:rPr>
            <a:t>★リース期間中の</a:t>
          </a:r>
          <a:endParaRPr kumimoji="1" lang="en-US" altLang="ja-JP"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毎月の削減金額：</a:t>
          </a:r>
          <a:endParaRPr kumimoji="1" lang="en-US" altLang="ja-JP" sz="1200" b="1" i="0" u="none" strike="noStrike" baseline="0">
            <a:solidFill>
              <a:srgbClr val="FF9933"/>
            </a:solidFill>
            <a:latin typeface="游ゴシック"/>
            <a:ea typeface="游ゴシック"/>
          </a:endParaRPr>
        </a:p>
        <a:p>
          <a:pPr algn="l"/>
          <a:endParaRPr kumimoji="1" lang="en-US" altLang="en-US"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★リース期間後の</a:t>
          </a:r>
          <a:endParaRPr kumimoji="1" lang="en-US" altLang="ja-JP"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毎月の削減金額：</a:t>
          </a:r>
          <a:endParaRPr kumimoji="1" lang="en-US" altLang="en-US" sz="1200" b="1" i="0" u="none" strike="noStrike" baseline="0">
            <a:solidFill>
              <a:srgbClr val="FF9933"/>
            </a:solidFill>
            <a:latin typeface="游ゴシック"/>
            <a:ea typeface="游ゴシック"/>
          </a:endParaRPr>
        </a:p>
      </xdr:txBody>
    </xdr:sp>
    <xdr:clientData/>
  </xdr:twoCellAnchor>
  <xdr:twoCellAnchor editAs="absolute">
    <xdr:from>
      <xdr:col>23</xdr:col>
      <xdr:colOff>78468</xdr:colOff>
      <xdr:row>11</xdr:row>
      <xdr:rowOff>172812</xdr:rowOff>
    </xdr:from>
    <xdr:to>
      <xdr:col>29</xdr:col>
      <xdr:colOff>58510</xdr:colOff>
      <xdr:row>13</xdr:row>
      <xdr:rowOff>31298</xdr:rowOff>
    </xdr:to>
    <xdr:sp macro="" textlink="LED計算式!J23">
      <xdr:nvSpPr>
        <xdr:cNvPr id="10" name="テキスト ボックス 9">
          <a:extLst>
            <a:ext uri="{FF2B5EF4-FFF2-40B4-BE49-F238E27FC236}">
              <a16:creationId xmlns:a16="http://schemas.microsoft.com/office/drawing/2014/main" id="{D943D908-E2AF-4972-A591-62AD23F5F643}"/>
            </a:ext>
          </a:extLst>
        </xdr:cNvPr>
        <xdr:cNvSpPr txBox="1"/>
      </xdr:nvSpPr>
      <xdr:spPr>
        <a:xfrm>
          <a:off x="6431643" y="3420837"/>
          <a:ext cx="1637392" cy="410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C6049B8-FEB2-437D-A730-6FB678FF0E2F}"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23</xdr:col>
      <xdr:colOff>78467</xdr:colOff>
      <xdr:row>14</xdr:row>
      <xdr:rowOff>122463</xdr:rowOff>
    </xdr:from>
    <xdr:to>
      <xdr:col>29</xdr:col>
      <xdr:colOff>68035</xdr:colOff>
      <xdr:row>15</xdr:row>
      <xdr:rowOff>268966</xdr:rowOff>
    </xdr:to>
    <xdr:sp macro="" textlink="LED計算式!K23">
      <xdr:nvSpPr>
        <xdr:cNvPr id="11" name="テキスト ボックス 10">
          <a:extLst>
            <a:ext uri="{FF2B5EF4-FFF2-40B4-BE49-F238E27FC236}">
              <a16:creationId xmlns:a16="http://schemas.microsoft.com/office/drawing/2014/main" id="{18877E2D-19F2-4BE8-8555-07B52D10F28D}"/>
            </a:ext>
          </a:extLst>
        </xdr:cNvPr>
        <xdr:cNvSpPr txBox="1"/>
      </xdr:nvSpPr>
      <xdr:spPr>
        <a:xfrm>
          <a:off x="6431642" y="4199163"/>
          <a:ext cx="1646918" cy="422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90E8201-6872-4FD5-9D5F-F80A8B8EFC10}"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31</xdr:col>
      <xdr:colOff>44904</xdr:colOff>
      <xdr:row>13</xdr:row>
      <xdr:rowOff>26304</xdr:rowOff>
    </xdr:from>
    <xdr:to>
      <xdr:col>50</xdr:col>
      <xdr:colOff>1</xdr:colOff>
      <xdr:row>27</xdr:row>
      <xdr:rowOff>258535</xdr:rowOff>
    </xdr:to>
    <xdr:graphicFrame macro="">
      <xdr:nvGraphicFramePr>
        <xdr:cNvPr id="12" name="グラフ 1">
          <a:extLst>
            <a:ext uri="{FF2B5EF4-FFF2-40B4-BE49-F238E27FC236}">
              <a16:creationId xmlns:a16="http://schemas.microsoft.com/office/drawing/2014/main" id="{C27614AA-28D2-4F2F-BDD0-7E194F70A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26988</xdr:colOff>
      <xdr:row>13</xdr:row>
      <xdr:rowOff>27214</xdr:rowOff>
    </xdr:from>
    <xdr:to>
      <xdr:col>29</xdr:col>
      <xdr:colOff>125639</xdr:colOff>
      <xdr:row>28</xdr:row>
      <xdr:rowOff>0</xdr:rowOff>
    </xdr:to>
    <xdr:graphicFrame macro="">
      <xdr:nvGraphicFramePr>
        <xdr:cNvPr id="3" name="グラフ 2">
          <a:extLst>
            <a:ext uri="{FF2B5EF4-FFF2-40B4-BE49-F238E27FC236}">
              <a16:creationId xmlns:a16="http://schemas.microsoft.com/office/drawing/2014/main" id="{3EF53F54-D80E-478D-97A5-7EF3E2646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29255</xdr:colOff>
      <xdr:row>13</xdr:row>
      <xdr:rowOff>36395</xdr:rowOff>
    </xdr:from>
    <xdr:to>
      <xdr:col>8</xdr:col>
      <xdr:colOff>74272</xdr:colOff>
      <xdr:row>14</xdr:row>
      <xdr:rowOff>149788</xdr:rowOff>
    </xdr:to>
    <xdr:sp macro="" textlink="">
      <xdr:nvSpPr>
        <xdr:cNvPr id="4" name="テキスト ボックス 3">
          <a:extLst>
            <a:ext uri="{FF2B5EF4-FFF2-40B4-BE49-F238E27FC236}">
              <a16:creationId xmlns:a16="http://schemas.microsoft.com/office/drawing/2014/main" id="{03AE8CE2-8994-4796-939F-61F935D0443D}"/>
            </a:ext>
          </a:extLst>
        </xdr:cNvPr>
        <xdr:cNvSpPr txBox="1"/>
      </xdr:nvSpPr>
      <xdr:spPr>
        <a:xfrm>
          <a:off x="573541" y="3805574"/>
          <a:ext cx="1681049" cy="385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12132</xdr:colOff>
      <xdr:row>12</xdr:row>
      <xdr:rowOff>266586</xdr:rowOff>
    </xdr:from>
    <xdr:to>
      <xdr:col>19</xdr:col>
      <xdr:colOff>180293</xdr:colOff>
      <xdr:row>14</xdr:row>
      <xdr:rowOff>216243</xdr:rowOff>
    </xdr:to>
    <xdr:sp macro="" textlink="">
      <xdr:nvSpPr>
        <xdr:cNvPr id="5" name="テキスト ボックス 4">
          <a:extLst>
            <a:ext uri="{FF2B5EF4-FFF2-40B4-BE49-F238E27FC236}">
              <a16:creationId xmlns:a16="http://schemas.microsoft.com/office/drawing/2014/main" id="{CD46E5FE-2CE6-4155-AAEE-65B4149705A0}"/>
            </a:ext>
          </a:extLst>
        </xdr:cNvPr>
        <xdr:cNvSpPr txBox="1"/>
      </xdr:nvSpPr>
      <xdr:spPr>
        <a:xfrm>
          <a:off x="2733561" y="3763622"/>
          <a:ext cx="2611096" cy="500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5</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106024</xdr:colOff>
      <xdr:row>12</xdr:row>
      <xdr:rowOff>240503</xdr:rowOff>
    </xdr:from>
    <xdr:to>
      <xdr:col>29</xdr:col>
      <xdr:colOff>17917</xdr:colOff>
      <xdr:row>14</xdr:row>
      <xdr:rowOff>122466</xdr:rowOff>
    </xdr:to>
    <xdr:sp macro="" textlink="">
      <xdr:nvSpPr>
        <xdr:cNvPr id="6" name="テキスト ボックス 5">
          <a:extLst>
            <a:ext uri="{FF2B5EF4-FFF2-40B4-BE49-F238E27FC236}">
              <a16:creationId xmlns:a16="http://schemas.microsoft.com/office/drawing/2014/main" id="{8029F0E3-0C08-4930-B40D-6A50F1AE17AF}"/>
            </a:ext>
          </a:extLst>
        </xdr:cNvPr>
        <xdr:cNvSpPr txBox="1"/>
      </xdr:nvSpPr>
      <xdr:spPr>
        <a:xfrm>
          <a:off x="5545706" y="3737539"/>
          <a:ext cx="2367529" cy="43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600" b="0" i="0" u="none" strike="noStrike" baseline="0">
              <a:solidFill>
                <a:schemeClr val="tx1"/>
              </a:solidFill>
              <a:latin typeface="メイリオ"/>
              <a:ea typeface="メイリオ"/>
              <a:cs typeface="メイリオ"/>
            </a:rPr>
            <a:t>6</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26</xdr:row>
      <xdr:rowOff>117136</xdr:rowOff>
    </xdr:from>
    <xdr:to>
      <xdr:col>24</xdr:col>
      <xdr:colOff>0</xdr:colOff>
      <xdr:row>28</xdr:row>
      <xdr:rowOff>23585</xdr:rowOff>
    </xdr:to>
    <xdr:sp macro="" textlink="">
      <xdr:nvSpPr>
        <xdr:cNvPr id="7" name="テキスト ボックス 6">
          <a:extLst>
            <a:ext uri="{FF2B5EF4-FFF2-40B4-BE49-F238E27FC236}">
              <a16:creationId xmlns:a16="http://schemas.microsoft.com/office/drawing/2014/main" id="{F7A006E4-B757-4EC3-8FB5-B68384961046}"/>
            </a:ext>
          </a:extLst>
        </xdr:cNvPr>
        <xdr:cNvSpPr txBox="1"/>
      </xdr:nvSpPr>
      <xdr:spPr>
        <a:xfrm>
          <a:off x="1338603" y="7424172"/>
          <a:ext cx="5192826" cy="450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14</xdr:row>
      <xdr:rowOff>203199</xdr:rowOff>
    </xdr:from>
    <xdr:to>
      <xdr:col>29</xdr:col>
      <xdr:colOff>0</xdr:colOff>
      <xdr:row>18</xdr:row>
      <xdr:rowOff>190501</xdr:rowOff>
    </xdr:to>
    <xdr:sp macro="" textlink="">
      <xdr:nvSpPr>
        <xdr:cNvPr id="8" name="四角形: 角を丸くする 7">
          <a:extLst>
            <a:ext uri="{FF2B5EF4-FFF2-40B4-BE49-F238E27FC236}">
              <a16:creationId xmlns:a16="http://schemas.microsoft.com/office/drawing/2014/main" id="{FBF4E36A-89B4-4CEA-A91B-3E024FEACB63}"/>
            </a:ext>
          </a:extLst>
        </xdr:cNvPr>
        <xdr:cNvSpPr/>
      </xdr:nvSpPr>
      <xdr:spPr>
        <a:xfrm>
          <a:off x="5462809" y="4244520"/>
          <a:ext cx="2429334" cy="1075874"/>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57603</xdr:colOff>
      <xdr:row>14</xdr:row>
      <xdr:rowOff>226334</xdr:rowOff>
    </xdr:from>
    <xdr:to>
      <xdr:col>29</xdr:col>
      <xdr:colOff>142421</xdr:colOff>
      <xdr:row>18</xdr:row>
      <xdr:rowOff>264886</xdr:rowOff>
    </xdr:to>
    <xdr:sp macro="" textlink="">
      <xdr:nvSpPr>
        <xdr:cNvPr id="9" name="テキスト ボックス 8">
          <a:extLst>
            <a:ext uri="{FF2B5EF4-FFF2-40B4-BE49-F238E27FC236}">
              <a16:creationId xmlns:a16="http://schemas.microsoft.com/office/drawing/2014/main" id="{48829F42-7F68-4221-8725-8899086319B5}"/>
            </a:ext>
          </a:extLst>
        </xdr:cNvPr>
        <xdr:cNvSpPr txBox="1"/>
      </xdr:nvSpPr>
      <xdr:spPr>
        <a:xfrm>
          <a:off x="5497285" y="4267655"/>
          <a:ext cx="2530929" cy="1127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b="1" i="0" u="none" strike="noStrike" baseline="0">
              <a:solidFill>
                <a:srgbClr val="FF9933"/>
              </a:solidFill>
              <a:latin typeface="游ゴシック"/>
              <a:ea typeface="游ゴシック"/>
            </a:rPr>
            <a:t>★リース期間中の毎月の削減金額：</a:t>
          </a:r>
          <a:endParaRPr kumimoji="1" lang="en-US" altLang="ja-JP" sz="1100" b="1" i="0" u="none" strike="noStrike" baseline="0">
            <a:solidFill>
              <a:srgbClr val="FF9933"/>
            </a:solidFill>
            <a:latin typeface="游ゴシック"/>
            <a:ea typeface="游ゴシック"/>
          </a:endParaRPr>
        </a:p>
        <a:p>
          <a:pPr algn="l"/>
          <a:endParaRPr kumimoji="1" lang="en-US" altLang="en-US" sz="1100" b="1" i="0" u="none" strike="noStrike" baseline="0">
            <a:solidFill>
              <a:srgbClr val="FF9933"/>
            </a:solidFill>
            <a:latin typeface="游ゴシック"/>
            <a:ea typeface="游ゴシック"/>
          </a:endParaRPr>
        </a:p>
        <a:p>
          <a:pPr algn="l"/>
          <a:r>
            <a:rPr kumimoji="1" lang="ja-JP" altLang="en-US" sz="1100" b="1" i="0" u="none" strike="noStrike" baseline="0">
              <a:solidFill>
                <a:srgbClr val="FF9933"/>
              </a:solidFill>
              <a:latin typeface="游ゴシック"/>
              <a:ea typeface="游ゴシック"/>
            </a:rPr>
            <a:t>★リース期間後の毎月の削減金額：</a:t>
          </a:r>
          <a:endParaRPr kumimoji="1" lang="en-US" altLang="en-US" sz="1100" b="1" i="0" u="none" strike="noStrike" baseline="0">
            <a:solidFill>
              <a:srgbClr val="FF9933"/>
            </a:solidFill>
            <a:latin typeface="游ゴシック"/>
            <a:ea typeface="游ゴシック"/>
          </a:endParaRPr>
        </a:p>
      </xdr:txBody>
    </xdr:sp>
    <xdr:clientData/>
  </xdr:twoCellAnchor>
  <xdr:twoCellAnchor editAs="absolute">
    <xdr:from>
      <xdr:col>22</xdr:col>
      <xdr:colOff>257629</xdr:colOff>
      <xdr:row>15</xdr:row>
      <xdr:rowOff>93438</xdr:rowOff>
    </xdr:from>
    <xdr:to>
      <xdr:col>28</xdr:col>
      <xdr:colOff>218621</xdr:colOff>
      <xdr:row>16</xdr:row>
      <xdr:rowOff>179616</xdr:rowOff>
    </xdr:to>
    <xdr:sp macro="" textlink="LED計算式!J36">
      <xdr:nvSpPr>
        <xdr:cNvPr id="10" name="テキスト ボックス 9">
          <a:extLst>
            <a:ext uri="{FF2B5EF4-FFF2-40B4-BE49-F238E27FC236}">
              <a16:creationId xmlns:a16="http://schemas.microsoft.com/office/drawing/2014/main" id="{48EEABDF-4231-4895-B545-EB4E955D1185}"/>
            </a:ext>
          </a:extLst>
        </xdr:cNvPr>
        <xdr:cNvSpPr txBox="1"/>
      </xdr:nvSpPr>
      <xdr:spPr>
        <a:xfrm>
          <a:off x="6244772" y="4406902"/>
          <a:ext cx="1593849" cy="35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236F779-E44C-408B-A764-C8CAA55781B9}"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22</xdr:col>
      <xdr:colOff>244928</xdr:colOff>
      <xdr:row>17</xdr:row>
      <xdr:rowOff>50346</xdr:rowOff>
    </xdr:from>
    <xdr:to>
      <xdr:col>28</xdr:col>
      <xdr:colOff>218621</xdr:colOff>
      <xdr:row>18</xdr:row>
      <xdr:rowOff>174624</xdr:rowOff>
    </xdr:to>
    <xdr:sp macro="" textlink="LED計算式!K36">
      <xdr:nvSpPr>
        <xdr:cNvPr id="11" name="テキスト ボックス 10">
          <a:extLst>
            <a:ext uri="{FF2B5EF4-FFF2-40B4-BE49-F238E27FC236}">
              <a16:creationId xmlns:a16="http://schemas.microsoft.com/office/drawing/2014/main" id="{DDE77018-93CC-4AB8-93DE-1F08E59026A5}"/>
            </a:ext>
          </a:extLst>
        </xdr:cNvPr>
        <xdr:cNvSpPr txBox="1"/>
      </xdr:nvSpPr>
      <xdr:spPr>
        <a:xfrm>
          <a:off x="6232071" y="4908096"/>
          <a:ext cx="1609725" cy="396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F1C6A57D-EE41-4304-914C-06BEC47C65FD}"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xdr:from>
      <xdr:col>1</xdr:col>
      <xdr:colOff>77561</xdr:colOff>
      <xdr:row>36</xdr:row>
      <xdr:rowOff>101601</xdr:rowOff>
    </xdr:from>
    <xdr:to>
      <xdr:col>38</xdr:col>
      <xdr:colOff>77561</xdr:colOff>
      <xdr:row>38</xdr:row>
      <xdr:rowOff>214539</xdr:rowOff>
    </xdr:to>
    <xdr:sp macro="" textlink="">
      <xdr:nvSpPr>
        <xdr:cNvPr id="15" name="四角形: 角を丸くする 14">
          <a:extLst>
            <a:ext uri="{FF2B5EF4-FFF2-40B4-BE49-F238E27FC236}">
              <a16:creationId xmlns:a16="http://schemas.microsoft.com/office/drawing/2014/main" id="{E886E0A0-8FEA-4B67-91A0-B4487B7B7661}"/>
            </a:ext>
          </a:extLst>
        </xdr:cNvPr>
        <xdr:cNvSpPr/>
      </xdr:nvSpPr>
      <xdr:spPr>
        <a:xfrm>
          <a:off x="349704" y="8769351"/>
          <a:ext cx="10069286" cy="657224"/>
        </a:xfrm>
        <a:prstGeom prst="roundRect">
          <a:avLst>
            <a:gd name="adj" fmla="val 0"/>
          </a:avLst>
        </a:prstGeom>
        <a:solidFill>
          <a:schemeClr val="bg1"/>
        </a:solid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xdr:col>
      <xdr:colOff>146049</xdr:colOff>
      <xdr:row>36</xdr:row>
      <xdr:rowOff>106136</xdr:rowOff>
    </xdr:from>
    <xdr:to>
      <xdr:col>38</xdr:col>
      <xdr:colOff>76200</xdr:colOff>
      <xdr:row>39</xdr:row>
      <xdr:rowOff>187779</xdr:rowOff>
    </xdr:to>
    <xdr:sp macro="" textlink="">
      <xdr:nvSpPr>
        <xdr:cNvPr id="16" name="テキスト ボックス 15">
          <a:extLst>
            <a:ext uri="{FF2B5EF4-FFF2-40B4-BE49-F238E27FC236}">
              <a16:creationId xmlns:a16="http://schemas.microsoft.com/office/drawing/2014/main" id="{867F09FB-7152-40BF-806B-3ED63C6DE9D5}"/>
            </a:ext>
          </a:extLst>
        </xdr:cNvPr>
        <xdr:cNvSpPr txBox="1"/>
      </xdr:nvSpPr>
      <xdr:spPr>
        <a:xfrm>
          <a:off x="431799" y="9173936"/>
          <a:ext cx="10502901" cy="938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400" b="1" i="0" u="none" strike="noStrike" baseline="0">
              <a:solidFill>
                <a:srgbClr val="FF0000"/>
              </a:solidFill>
              <a:latin typeface="游ゴシック"/>
              <a:ea typeface="游ゴシック"/>
            </a:rPr>
            <a:t>※</a:t>
          </a:r>
          <a:r>
            <a:rPr kumimoji="1" lang="ja-JP" altLang="en-US" sz="1400" b="1" i="0" u="none" strike="noStrike" baseline="0">
              <a:solidFill>
                <a:srgbClr val="FF0000"/>
              </a:solidFill>
              <a:latin typeface="游ゴシック"/>
              <a:ea typeface="游ゴシック"/>
            </a:rPr>
            <a:t>新電力セットプランの適応条件に関しては、営業担当までお問合せください。</a:t>
          </a:r>
          <a:endParaRPr kumimoji="1" lang="en-US" altLang="ja-JP" sz="1400" b="1" i="0" u="none" strike="noStrike" baseline="0">
            <a:solidFill>
              <a:srgbClr val="FF0000"/>
            </a:solidFill>
            <a:latin typeface="游ゴシック"/>
            <a:ea typeface="游ゴシック"/>
          </a:endParaRPr>
        </a:p>
        <a:p>
          <a:pPr algn="l"/>
          <a:r>
            <a:rPr kumimoji="1" lang="ja-JP" altLang="en-US" sz="1400" b="1" i="0" u="none" strike="noStrike" baseline="0">
              <a:solidFill>
                <a:srgbClr val="FF0000"/>
              </a:solidFill>
              <a:latin typeface="游ゴシック"/>
              <a:ea typeface="游ゴシック"/>
            </a:rPr>
            <a:t>　契約電力のプランや契約容量、使用量などの確認が必要ですので、電気明細（検針票）のご提出をお願い致します。</a:t>
          </a:r>
          <a:endParaRPr kumimoji="1" lang="en-US" altLang="en-US" sz="1400" b="1" i="0" u="none" strike="noStrike" baseline="0">
            <a:solidFill>
              <a:srgbClr val="FF0000"/>
            </a:solidFill>
            <a:latin typeface="游ゴシック"/>
            <a:ea typeface="游ゴシック"/>
          </a:endParaRPr>
        </a:p>
      </xdr:txBody>
    </xdr:sp>
    <xdr:clientData/>
  </xdr:twoCellAnchor>
  <xdr:twoCellAnchor>
    <xdr:from>
      <xdr:col>13</xdr:col>
      <xdr:colOff>159319</xdr:colOff>
      <xdr:row>6</xdr:row>
      <xdr:rowOff>60777</xdr:rowOff>
    </xdr:from>
    <xdr:to>
      <xdr:col>16</xdr:col>
      <xdr:colOff>54429</xdr:colOff>
      <xdr:row>7</xdr:row>
      <xdr:rowOff>163285</xdr:rowOff>
    </xdr:to>
    <xdr:sp macro="" textlink="">
      <xdr:nvSpPr>
        <xdr:cNvPr id="14" name="矢印: 右 13">
          <a:extLst>
            <a:ext uri="{FF2B5EF4-FFF2-40B4-BE49-F238E27FC236}">
              <a16:creationId xmlns:a16="http://schemas.microsoft.com/office/drawing/2014/main" id="{840C1BA8-0C22-4089-815E-A092C5675489}"/>
            </a:ext>
          </a:extLst>
        </xdr:cNvPr>
        <xdr:cNvSpPr/>
      </xdr:nvSpPr>
      <xdr:spPr>
        <a:xfrm>
          <a:off x="3697176" y="1924956"/>
          <a:ext cx="711539" cy="374650"/>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149678</xdr:colOff>
      <xdr:row>6</xdr:row>
      <xdr:rowOff>81642</xdr:rowOff>
    </xdr:from>
    <xdr:to>
      <xdr:col>42</xdr:col>
      <xdr:colOff>41613</xdr:colOff>
      <xdr:row>7</xdr:row>
      <xdr:rowOff>187325</xdr:rowOff>
    </xdr:to>
    <xdr:sp macro="" textlink="">
      <xdr:nvSpPr>
        <xdr:cNvPr id="17" name="矢印: 右 16">
          <a:extLst>
            <a:ext uri="{FF2B5EF4-FFF2-40B4-BE49-F238E27FC236}">
              <a16:creationId xmlns:a16="http://schemas.microsoft.com/office/drawing/2014/main" id="{1346F2DD-DE89-48C5-9917-67C4C4974F26}"/>
            </a:ext>
          </a:extLst>
        </xdr:cNvPr>
        <xdr:cNvSpPr/>
      </xdr:nvSpPr>
      <xdr:spPr>
        <a:xfrm>
          <a:off x="10763249" y="1945821"/>
          <a:ext cx="708364" cy="377825"/>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31</xdr:col>
      <xdr:colOff>48079</xdr:colOff>
      <xdr:row>9</xdr:row>
      <xdr:rowOff>29479</xdr:rowOff>
    </xdr:from>
    <xdr:to>
      <xdr:col>50</xdr:col>
      <xdr:colOff>1</xdr:colOff>
      <xdr:row>25</xdr:row>
      <xdr:rowOff>0</xdr:rowOff>
    </xdr:to>
    <xdr:graphicFrame macro="">
      <xdr:nvGraphicFramePr>
        <xdr:cNvPr id="3" name="グラフ 12">
          <a:extLst>
            <a:ext uri="{FF2B5EF4-FFF2-40B4-BE49-F238E27FC236}">
              <a16:creationId xmlns:a16="http://schemas.microsoft.com/office/drawing/2014/main" id="{3031AD4E-A90F-4AF0-845E-5E830321F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30163</xdr:colOff>
      <xdr:row>9</xdr:row>
      <xdr:rowOff>30389</xdr:rowOff>
    </xdr:from>
    <xdr:to>
      <xdr:col>29</xdr:col>
      <xdr:colOff>122464</xdr:colOff>
      <xdr:row>24</xdr:row>
      <xdr:rowOff>241299</xdr:rowOff>
    </xdr:to>
    <xdr:graphicFrame macro="">
      <xdr:nvGraphicFramePr>
        <xdr:cNvPr id="23" name="グラフ 22">
          <a:extLst>
            <a:ext uri="{FF2B5EF4-FFF2-40B4-BE49-F238E27FC236}">
              <a16:creationId xmlns:a16="http://schemas.microsoft.com/office/drawing/2014/main" id="{925633CB-11FD-4A87-BAA3-2A9083991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12472</xdr:colOff>
      <xdr:row>9</xdr:row>
      <xdr:rowOff>12356</xdr:rowOff>
    </xdr:from>
    <xdr:to>
      <xdr:col>8</xdr:col>
      <xdr:colOff>63839</xdr:colOff>
      <xdr:row>10</xdr:row>
      <xdr:rowOff>116223</xdr:rowOff>
    </xdr:to>
    <xdr:sp macro="" textlink="">
      <xdr:nvSpPr>
        <xdr:cNvPr id="29" name="テキスト ボックス 28">
          <a:extLst>
            <a:ext uri="{FF2B5EF4-FFF2-40B4-BE49-F238E27FC236}">
              <a16:creationId xmlns:a16="http://schemas.microsoft.com/office/drawing/2014/main" id="{AEA72DE4-1950-4519-8B31-4AD21253B2B7}"/>
            </a:ext>
          </a:extLst>
        </xdr:cNvPr>
        <xdr:cNvSpPr txBox="1"/>
      </xdr:nvSpPr>
      <xdr:spPr>
        <a:xfrm>
          <a:off x="553583" y="2682531"/>
          <a:ext cx="1690574" cy="372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1699</xdr:colOff>
      <xdr:row>8</xdr:row>
      <xdr:rowOff>236197</xdr:rowOff>
    </xdr:from>
    <xdr:to>
      <xdr:col>19</xdr:col>
      <xdr:colOff>160335</xdr:colOff>
      <xdr:row>10</xdr:row>
      <xdr:rowOff>198553</xdr:rowOff>
    </xdr:to>
    <xdr:sp macro="" textlink="">
      <xdr:nvSpPr>
        <xdr:cNvPr id="34" name="テキスト ボックス 33">
          <a:extLst>
            <a:ext uri="{FF2B5EF4-FFF2-40B4-BE49-F238E27FC236}">
              <a16:creationId xmlns:a16="http://schemas.microsoft.com/office/drawing/2014/main" id="{81F75D2F-D676-4126-AFA4-81B63A0CA617}"/>
            </a:ext>
          </a:extLst>
        </xdr:cNvPr>
        <xdr:cNvSpPr txBox="1"/>
      </xdr:nvSpPr>
      <xdr:spPr>
        <a:xfrm>
          <a:off x="2723128" y="2634229"/>
          <a:ext cx="2604746" cy="506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5</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86066</xdr:colOff>
      <xdr:row>8</xdr:row>
      <xdr:rowOff>219639</xdr:rowOff>
    </xdr:from>
    <xdr:to>
      <xdr:col>29</xdr:col>
      <xdr:colOff>7484</xdr:colOff>
      <xdr:row>10</xdr:row>
      <xdr:rowOff>104776</xdr:rowOff>
    </xdr:to>
    <xdr:sp macro="" textlink="">
      <xdr:nvSpPr>
        <xdr:cNvPr id="35" name="テキスト ボックス 34">
          <a:extLst>
            <a:ext uri="{FF2B5EF4-FFF2-40B4-BE49-F238E27FC236}">
              <a16:creationId xmlns:a16="http://schemas.microsoft.com/office/drawing/2014/main" id="{71AFC9FD-6FD8-41B0-8054-1734C16BF9AD}"/>
            </a:ext>
          </a:extLst>
        </xdr:cNvPr>
        <xdr:cNvSpPr txBox="1"/>
      </xdr:nvSpPr>
      <xdr:spPr>
        <a:xfrm>
          <a:off x="5525748" y="2617671"/>
          <a:ext cx="2377054" cy="429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600" b="0" i="0" u="none" strike="noStrike" baseline="0">
              <a:solidFill>
                <a:schemeClr val="tx1"/>
              </a:solidFill>
              <a:latin typeface="メイリオ"/>
              <a:ea typeface="メイリオ"/>
              <a:cs typeface="メイリオ"/>
            </a:rPr>
            <a:t>6</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23</xdr:row>
      <xdr:rowOff>76314</xdr:rowOff>
    </xdr:from>
    <xdr:to>
      <xdr:col>24</xdr:col>
      <xdr:colOff>0</xdr:colOff>
      <xdr:row>24</xdr:row>
      <xdr:rowOff>258081</xdr:rowOff>
    </xdr:to>
    <xdr:sp macro="" textlink="">
      <xdr:nvSpPr>
        <xdr:cNvPr id="2" name="テキスト ボックス 1">
          <a:extLst>
            <a:ext uri="{FF2B5EF4-FFF2-40B4-BE49-F238E27FC236}">
              <a16:creationId xmlns:a16="http://schemas.microsoft.com/office/drawing/2014/main" id="{B057F495-CDD6-4346-B6F4-6872BF1C0999}"/>
            </a:ext>
          </a:extLst>
        </xdr:cNvPr>
        <xdr:cNvSpPr txBox="1"/>
      </xdr:nvSpPr>
      <xdr:spPr>
        <a:xfrm>
          <a:off x="7096126" y="6589033"/>
          <a:ext cx="5226843" cy="455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10</xdr:row>
      <xdr:rowOff>196848</xdr:rowOff>
    </xdr:from>
    <xdr:to>
      <xdr:col>29</xdr:col>
      <xdr:colOff>0</xdr:colOff>
      <xdr:row>16</xdr:row>
      <xdr:rowOff>102506</xdr:rowOff>
    </xdr:to>
    <xdr:sp macro="" textlink="">
      <xdr:nvSpPr>
        <xdr:cNvPr id="8" name="四角形: 角を丸くする 7">
          <a:extLst>
            <a:ext uri="{FF2B5EF4-FFF2-40B4-BE49-F238E27FC236}">
              <a16:creationId xmlns:a16="http://schemas.microsoft.com/office/drawing/2014/main" id="{4FF486BE-2A9D-4D73-9B40-F953C2140208}"/>
            </a:ext>
          </a:extLst>
        </xdr:cNvPr>
        <xdr:cNvSpPr/>
      </xdr:nvSpPr>
      <xdr:spPr>
        <a:xfrm>
          <a:off x="5462809" y="3135991"/>
          <a:ext cx="2429334" cy="1538515"/>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19</xdr:col>
      <xdr:colOff>257630</xdr:colOff>
      <xdr:row>11</xdr:row>
      <xdr:rowOff>1362</xdr:rowOff>
    </xdr:from>
    <xdr:to>
      <xdr:col>25</xdr:col>
      <xdr:colOff>207283</xdr:colOff>
      <xdr:row>16</xdr:row>
      <xdr:rowOff>48078</xdr:rowOff>
    </xdr:to>
    <xdr:sp macro="" textlink="">
      <xdr:nvSpPr>
        <xdr:cNvPr id="9" name="テキスト ボックス 8">
          <a:extLst>
            <a:ext uri="{FF2B5EF4-FFF2-40B4-BE49-F238E27FC236}">
              <a16:creationId xmlns:a16="http://schemas.microsoft.com/office/drawing/2014/main" id="{77919642-76AC-42CA-B045-A668594EE04C}"/>
            </a:ext>
          </a:extLst>
        </xdr:cNvPr>
        <xdr:cNvSpPr txBox="1"/>
      </xdr:nvSpPr>
      <xdr:spPr>
        <a:xfrm>
          <a:off x="5522357" y="3257180"/>
          <a:ext cx="1612199" cy="1432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200" b="1" i="0" u="none" strike="noStrike" baseline="0">
              <a:solidFill>
                <a:srgbClr val="FF9933"/>
              </a:solidFill>
              <a:latin typeface="游ゴシック"/>
              <a:ea typeface="游ゴシック"/>
            </a:rPr>
            <a:t>★リース期間中の</a:t>
          </a:r>
          <a:endParaRPr kumimoji="1" lang="en-US" altLang="ja-JP"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毎月の削減金額：</a:t>
          </a:r>
          <a:endParaRPr kumimoji="1" lang="en-US" altLang="ja-JP" sz="1200" b="1" i="0" u="none" strike="noStrike" baseline="0">
            <a:solidFill>
              <a:srgbClr val="FF9933"/>
            </a:solidFill>
            <a:latin typeface="游ゴシック"/>
            <a:ea typeface="游ゴシック"/>
          </a:endParaRPr>
        </a:p>
        <a:p>
          <a:pPr algn="l"/>
          <a:endParaRPr kumimoji="1" lang="en-US" altLang="en-US"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★リース期間後の</a:t>
          </a:r>
          <a:endParaRPr kumimoji="1" lang="en-US" altLang="ja-JP"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毎月の削減金額：</a:t>
          </a:r>
          <a:endParaRPr kumimoji="1" lang="en-US" altLang="en-US" sz="1200" b="1" i="0" u="none" strike="noStrike" baseline="0">
            <a:solidFill>
              <a:srgbClr val="FF9933"/>
            </a:solidFill>
            <a:latin typeface="游ゴシック"/>
            <a:ea typeface="游ゴシック"/>
          </a:endParaRPr>
        </a:p>
      </xdr:txBody>
    </xdr:sp>
    <xdr:clientData/>
  </xdr:twoCellAnchor>
  <xdr:twoCellAnchor editAs="absolute">
    <xdr:from>
      <xdr:col>23</xdr:col>
      <xdr:colOff>78468</xdr:colOff>
      <xdr:row>11</xdr:row>
      <xdr:rowOff>172812</xdr:rowOff>
    </xdr:from>
    <xdr:to>
      <xdr:col>29</xdr:col>
      <xdr:colOff>58510</xdr:colOff>
      <xdr:row>13</xdr:row>
      <xdr:rowOff>31298</xdr:rowOff>
    </xdr:to>
    <xdr:sp macro="" textlink="LED計算式!J23">
      <xdr:nvSpPr>
        <xdr:cNvPr id="10" name="テキスト ボックス 9">
          <a:extLst>
            <a:ext uri="{FF2B5EF4-FFF2-40B4-BE49-F238E27FC236}">
              <a16:creationId xmlns:a16="http://schemas.microsoft.com/office/drawing/2014/main" id="{1EE94A76-C18A-4C9E-8737-1D42844A2EFA}"/>
            </a:ext>
          </a:extLst>
        </xdr:cNvPr>
        <xdr:cNvSpPr txBox="1"/>
      </xdr:nvSpPr>
      <xdr:spPr>
        <a:xfrm>
          <a:off x="6337754" y="3384098"/>
          <a:ext cx="1612899" cy="4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C6049B8-FEB2-437D-A730-6FB678FF0E2F}"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23</xdr:col>
      <xdr:colOff>78467</xdr:colOff>
      <xdr:row>14</xdr:row>
      <xdr:rowOff>122463</xdr:rowOff>
    </xdr:from>
    <xdr:to>
      <xdr:col>29</xdr:col>
      <xdr:colOff>68035</xdr:colOff>
      <xdr:row>15</xdr:row>
      <xdr:rowOff>268966</xdr:rowOff>
    </xdr:to>
    <xdr:sp macro="" textlink="LED計算式!K23">
      <xdr:nvSpPr>
        <xdr:cNvPr id="11" name="テキスト ボックス 10">
          <a:extLst>
            <a:ext uri="{FF2B5EF4-FFF2-40B4-BE49-F238E27FC236}">
              <a16:creationId xmlns:a16="http://schemas.microsoft.com/office/drawing/2014/main" id="{5DC35AE4-484B-4D79-9624-EF6DD4F4AD62}"/>
            </a:ext>
          </a:extLst>
        </xdr:cNvPr>
        <xdr:cNvSpPr txBox="1"/>
      </xdr:nvSpPr>
      <xdr:spPr>
        <a:xfrm>
          <a:off x="6337753" y="4147002"/>
          <a:ext cx="1619250" cy="42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90E8201-6872-4FD5-9D5F-F80A8B8EFC10}"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31</xdr:col>
      <xdr:colOff>44904</xdr:colOff>
      <xdr:row>13</xdr:row>
      <xdr:rowOff>26305</xdr:rowOff>
    </xdr:from>
    <xdr:to>
      <xdr:col>50</xdr:col>
      <xdr:colOff>1</xdr:colOff>
      <xdr:row>27</xdr:row>
      <xdr:rowOff>244929</xdr:rowOff>
    </xdr:to>
    <xdr:graphicFrame macro="">
      <xdr:nvGraphicFramePr>
        <xdr:cNvPr id="12" name="グラフ 1">
          <a:extLst>
            <a:ext uri="{FF2B5EF4-FFF2-40B4-BE49-F238E27FC236}">
              <a16:creationId xmlns:a16="http://schemas.microsoft.com/office/drawing/2014/main" id="{5877AF7F-4E71-47E5-A78B-97E7BCE5E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26988</xdr:colOff>
      <xdr:row>13</xdr:row>
      <xdr:rowOff>27214</xdr:rowOff>
    </xdr:from>
    <xdr:to>
      <xdr:col>29</xdr:col>
      <xdr:colOff>125639</xdr:colOff>
      <xdr:row>27</xdr:row>
      <xdr:rowOff>258535</xdr:rowOff>
    </xdr:to>
    <xdr:graphicFrame macro="">
      <xdr:nvGraphicFramePr>
        <xdr:cNvPr id="3" name="グラフ 2">
          <a:extLst>
            <a:ext uri="{FF2B5EF4-FFF2-40B4-BE49-F238E27FC236}">
              <a16:creationId xmlns:a16="http://schemas.microsoft.com/office/drawing/2014/main" id="{AEAFF60A-A2B8-40AC-9686-3CCAC255A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267833</xdr:colOff>
      <xdr:row>13</xdr:row>
      <xdr:rowOff>9180</xdr:rowOff>
    </xdr:from>
    <xdr:to>
      <xdr:col>8</xdr:col>
      <xdr:colOff>47057</xdr:colOff>
      <xdr:row>14</xdr:row>
      <xdr:rowOff>103523</xdr:rowOff>
    </xdr:to>
    <xdr:sp macro="" textlink="">
      <xdr:nvSpPr>
        <xdr:cNvPr id="4" name="テキスト ボックス 3">
          <a:extLst>
            <a:ext uri="{FF2B5EF4-FFF2-40B4-BE49-F238E27FC236}">
              <a16:creationId xmlns:a16="http://schemas.microsoft.com/office/drawing/2014/main" id="{B686E20D-4225-465B-8354-7CFA65A1F2A2}"/>
            </a:ext>
          </a:extLst>
        </xdr:cNvPr>
        <xdr:cNvSpPr txBox="1"/>
      </xdr:nvSpPr>
      <xdr:spPr>
        <a:xfrm>
          <a:off x="539976" y="3784709"/>
          <a:ext cx="1684224" cy="366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260235</xdr:colOff>
      <xdr:row>12</xdr:row>
      <xdr:rowOff>239371</xdr:rowOff>
    </xdr:from>
    <xdr:to>
      <xdr:col>19</xdr:col>
      <xdr:colOff>149903</xdr:colOff>
      <xdr:row>14</xdr:row>
      <xdr:rowOff>220778</xdr:rowOff>
    </xdr:to>
    <xdr:sp macro="" textlink="">
      <xdr:nvSpPr>
        <xdr:cNvPr id="5" name="テキスト ボックス 4">
          <a:extLst>
            <a:ext uri="{FF2B5EF4-FFF2-40B4-BE49-F238E27FC236}">
              <a16:creationId xmlns:a16="http://schemas.microsoft.com/office/drawing/2014/main" id="{748C1A0C-B1EB-40A2-94D4-F980F5E7595A}"/>
            </a:ext>
          </a:extLst>
        </xdr:cNvPr>
        <xdr:cNvSpPr txBox="1"/>
      </xdr:nvSpPr>
      <xdr:spPr>
        <a:xfrm>
          <a:off x="2709521" y="3730057"/>
          <a:ext cx="2611096" cy="525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5</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69284</xdr:colOff>
      <xdr:row>12</xdr:row>
      <xdr:rowOff>225988</xdr:rowOff>
    </xdr:from>
    <xdr:to>
      <xdr:col>28</xdr:col>
      <xdr:colOff>269195</xdr:colOff>
      <xdr:row>14</xdr:row>
      <xdr:rowOff>111126</xdr:rowOff>
    </xdr:to>
    <xdr:sp macro="" textlink="">
      <xdr:nvSpPr>
        <xdr:cNvPr id="6" name="テキスト ボックス 5">
          <a:extLst>
            <a:ext uri="{FF2B5EF4-FFF2-40B4-BE49-F238E27FC236}">
              <a16:creationId xmlns:a16="http://schemas.microsoft.com/office/drawing/2014/main" id="{4A397004-79F6-44B2-AB77-37C7A08BB5C3}"/>
            </a:ext>
          </a:extLst>
        </xdr:cNvPr>
        <xdr:cNvSpPr txBox="1"/>
      </xdr:nvSpPr>
      <xdr:spPr>
        <a:xfrm>
          <a:off x="5512141" y="3723024"/>
          <a:ext cx="2377054" cy="429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600" b="0" i="0" u="none" strike="noStrike" baseline="0">
              <a:solidFill>
                <a:schemeClr val="tx1"/>
              </a:solidFill>
              <a:latin typeface="メイリオ"/>
              <a:ea typeface="メイリオ"/>
              <a:cs typeface="メイリオ"/>
            </a:rPr>
            <a:t>6</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26</xdr:row>
      <xdr:rowOff>79489</xdr:rowOff>
    </xdr:from>
    <xdr:to>
      <xdr:col>24</xdr:col>
      <xdr:colOff>0</xdr:colOff>
      <xdr:row>27</xdr:row>
      <xdr:rowOff>241753</xdr:rowOff>
    </xdr:to>
    <xdr:sp macro="" textlink="">
      <xdr:nvSpPr>
        <xdr:cNvPr id="7" name="テキスト ボックス 6">
          <a:extLst>
            <a:ext uri="{FF2B5EF4-FFF2-40B4-BE49-F238E27FC236}">
              <a16:creationId xmlns:a16="http://schemas.microsoft.com/office/drawing/2014/main" id="{F76A1C9E-BA3F-4E0E-9B7C-CD63B39AE8A1}"/>
            </a:ext>
          </a:extLst>
        </xdr:cNvPr>
        <xdr:cNvSpPr txBox="1"/>
      </xdr:nvSpPr>
      <xdr:spPr>
        <a:xfrm>
          <a:off x="1338603" y="7386525"/>
          <a:ext cx="5192826" cy="4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14</xdr:row>
      <xdr:rowOff>200023</xdr:rowOff>
    </xdr:from>
    <xdr:to>
      <xdr:col>29</xdr:col>
      <xdr:colOff>0</xdr:colOff>
      <xdr:row>18</xdr:row>
      <xdr:rowOff>176893</xdr:rowOff>
    </xdr:to>
    <xdr:sp macro="" textlink="">
      <xdr:nvSpPr>
        <xdr:cNvPr id="8" name="四角形: 角を丸くする 7">
          <a:extLst>
            <a:ext uri="{FF2B5EF4-FFF2-40B4-BE49-F238E27FC236}">
              <a16:creationId xmlns:a16="http://schemas.microsoft.com/office/drawing/2014/main" id="{9CB9CE34-1CA4-45CA-92C6-FB3102CE5F58}"/>
            </a:ext>
          </a:extLst>
        </xdr:cNvPr>
        <xdr:cNvSpPr/>
      </xdr:nvSpPr>
      <xdr:spPr>
        <a:xfrm>
          <a:off x="5462809" y="4241344"/>
          <a:ext cx="2429334" cy="1065442"/>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0</xdr:colOff>
      <xdr:row>14</xdr:row>
      <xdr:rowOff>225425</xdr:rowOff>
    </xdr:from>
    <xdr:to>
      <xdr:col>29</xdr:col>
      <xdr:colOff>102506</xdr:colOff>
      <xdr:row>20</xdr:row>
      <xdr:rowOff>3172</xdr:rowOff>
    </xdr:to>
    <xdr:sp macro="" textlink="">
      <xdr:nvSpPr>
        <xdr:cNvPr id="9" name="テキスト ボックス 8">
          <a:extLst>
            <a:ext uri="{FF2B5EF4-FFF2-40B4-BE49-F238E27FC236}">
              <a16:creationId xmlns:a16="http://schemas.microsoft.com/office/drawing/2014/main" id="{2CDC00A5-07B7-42B3-88D9-09E0CF945A0F}"/>
            </a:ext>
          </a:extLst>
        </xdr:cNvPr>
        <xdr:cNvSpPr txBox="1"/>
      </xdr:nvSpPr>
      <xdr:spPr>
        <a:xfrm>
          <a:off x="5442857" y="4266746"/>
          <a:ext cx="2558142" cy="1407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b="1" i="0" u="none" strike="noStrike" baseline="0">
              <a:solidFill>
                <a:srgbClr val="FF9933"/>
              </a:solidFill>
              <a:latin typeface="游ゴシック"/>
              <a:ea typeface="游ゴシック"/>
            </a:rPr>
            <a:t>★リース期間中の毎月の削減金額：</a:t>
          </a:r>
          <a:endParaRPr kumimoji="1" lang="en-US" altLang="ja-JP" sz="1100" b="1" i="0" u="none" strike="noStrike" baseline="0">
            <a:solidFill>
              <a:srgbClr val="FF9933"/>
            </a:solidFill>
            <a:latin typeface="游ゴシック"/>
            <a:ea typeface="游ゴシック"/>
          </a:endParaRPr>
        </a:p>
        <a:p>
          <a:pPr algn="l"/>
          <a:endParaRPr kumimoji="1" lang="en-US" altLang="en-US" sz="1100" b="1" i="0" u="none" strike="noStrike" baseline="0">
            <a:solidFill>
              <a:srgbClr val="FF9933"/>
            </a:solidFill>
            <a:latin typeface="游ゴシック"/>
            <a:ea typeface="游ゴシック"/>
          </a:endParaRPr>
        </a:p>
        <a:p>
          <a:pPr algn="l"/>
          <a:r>
            <a:rPr kumimoji="1" lang="ja-JP" altLang="en-US" sz="1100" b="1" i="0" u="none" strike="noStrike" baseline="0">
              <a:solidFill>
                <a:srgbClr val="FF9933"/>
              </a:solidFill>
              <a:latin typeface="游ゴシック"/>
              <a:ea typeface="游ゴシック"/>
            </a:rPr>
            <a:t>★リース期間後の毎月の削減金額：</a:t>
          </a:r>
          <a:endParaRPr kumimoji="1" lang="en-US" altLang="en-US" sz="1100" b="1" i="0" u="none" strike="noStrike" baseline="0">
            <a:solidFill>
              <a:srgbClr val="FF9933"/>
            </a:solidFill>
            <a:latin typeface="游ゴシック"/>
            <a:ea typeface="游ゴシック"/>
          </a:endParaRPr>
        </a:p>
      </xdr:txBody>
    </xdr:sp>
    <xdr:clientData/>
  </xdr:twoCellAnchor>
  <xdr:twoCellAnchor editAs="absolute">
    <xdr:from>
      <xdr:col>22</xdr:col>
      <xdr:colOff>207283</xdr:colOff>
      <xdr:row>15</xdr:row>
      <xdr:rowOff>104778</xdr:rowOff>
    </xdr:from>
    <xdr:to>
      <xdr:col>28</xdr:col>
      <xdr:colOff>187325</xdr:colOff>
      <xdr:row>16</xdr:row>
      <xdr:rowOff>238581</xdr:rowOff>
    </xdr:to>
    <xdr:sp macro="" textlink="LED計算式!J36">
      <xdr:nvSpPr>
        <xdr:cNvPr id="10" name="テキスト ボックス 9">
          <a:extLst>
            <a:ext uri="{FF2B5EF4-FFF2-40B4-BE49-F238E27FC236}">
              <a16:creationId xmlns:a16="http://schemas.microsoft.com/office/drawing/2014/main" id="{526FAA07-0A24-4A51-8116-0A9BF6B61B3B}"/>
            </a:ext>
          </a:extLst>
        </xdr:cNvPr>
        <xdr:cNvSpPr txBox="1"/>
      </xdr:nvSpPr>
      <xdr:spPr>
        <a:xfrm>
          <a:off x="6194426" y="4411892"/>
          <a:ext cx="1612899" cy="4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7F106545-6A24-4EBA-9817-6DEFC64C3778}"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22</xdr:col>
      <xdr:colOff>219982</xdr:colOff>
      <xdr:row>17</xdr:row>
      <xdr:rowOff>26305</xdr:rowOff>
    </xdr:from>
    <xdr:to>
      <xdr:col>28</xdr:col>
      <xdr:colOff>187325</xdr:colOff>
      <xdr:row>18</xdr:row>
      <xdr:rowOff>160108</xdr:rowOff>
    </xdr:to>
    <xdr:sp macro="" textlink="LED計算式!K36">
      <xdr:nvSpPr>
        <xdr:cNvPr id="11" name="テキスト ボックス 10">
          <a:extLst>
            <a:ext uri="{FF2B5EF4-FFF2-40B4-BE49-F238E27FC236}">
              <a16:creationId xmlns:a16="http://schemas.microsoft.com/office/drawing/2014/main" id="{5FDFCBF5-B043-4760-BDC8-93F2C5E8D285}"/>
            </a:ext>
          </a:extLst>
        </xdr:cNvPr>
        <xdr:cNvSpPr txBox="1"/>
      </xdr:nvSpPr>
      <xdr:spPr>
        <a:xfrm>
          <a:off x="6200775" y="4884055"/>
          <a:ext cx="1606550" cy="4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42C4724-8082-476E-A952-0E03F4E1CF93}"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xdr:from>
      <xdr:col>1</xdr:col>
      <xdr:colOff>68036</xdr:colOff>
      <xdr:row>36</xdr:row>
      <xdr:rowOff>101601</xdr:rowOff>
    </xdr:from>
    <xdr:to>
      <xdr:col>38</xdr:col>
      <xdr:colOff>68036</xdr:colOff>
      <xdr:row>38</xdr:row>
      <xdr:rowOff>211364</xdr:rowOff>
    </xdr:to>
    <xdr:sp macro="" textlink="">
      <xdr:nvSpPr>
        <xdr:cNvPr id="14" name="四角形: 角を丸くする 13">
          <a:extLst>
            <a:ext uri="{FF2B5EF4-FFF2-40B4-BE49-F238E27FC236}">
              <a16:creationId xmlns:a16="http://schemas.microsoft.com/office/drawing/2014/main" id="{7E953BAB-B919-441F-859A-B3250CF66B97}"/>
            </a:ext>
          </a:extLst>
        </xdr:cNvPr>
        <xdr:cNvSpPr/>
      </xdr:nvSpPr>
      <xdr:spPr>
        <a:xfrm>
          <a:off x="340179" y="8769351"/>
          <a:ext cx="10069286" cy="654049"/>
        </a:xfrm>
        <a:prstGeom prst="roundRect">
          <a:avLst>
            <a:gd name="adj" fmla="val 0"/>
          </a:avLst>
        </a:prstGeom>
        <a:solidFill>
          <a:schemeClr val="bg1"/>
        </a:solid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xdr:col>
      <xdr:colOff>9524</xdr:colOff>
      <xdr:row>35</xdr:row>
      <xdr:rowOff>160111</xdr:rowOff>
    </xdr:from>
    <xdr:to>
      <xdr:col>41</xdr:col>
      <xdr:colOff>160110</xdr:colOff>
      <xdr:row>38</xdr:row>
      <xdr:rowOff>248104</xdr:rowOff>
    </xdr:to>
    <xdr:sp macro="" textlink="">
      <xdr:nvSpPr>
        <xdr:cNvPr id="15" name="テキスト ボックス 14">
          <a:extLst>
            <a:ext uri="{FF2B5EF4-FFF2-40B4-BE49-F238E27FC236}">
              <a16:creationId xmlns:a16="http://schemas.microsoft.com/office/drawing/2014/main" id="{376AE3F9-3178-43A1-B5DF-524EEBC8738A}"/>
            </a:ext>
          </a:extLst>
        </xdr:cNvPr>
        <xdr:cNvSpPr txBox="1"/>
      </xdr:nvSpPr>
      <xdr:spPr>
        <a:xfrm>
          <a:off x="550635" y="8558893"/>
          <a:ext cx="10770507" cy="901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kumimoji="1" lang="en-US" altLang="ja-JP" sz="1400" b="1" i="0" u="none" strike="noStrike" baseline="0">
              <a:solidFill>
                <a:srgbClr val="FF0000"/>
              </a:solidFill>
              <a:latin typeface="游ゴシック"/>
              <a:ea typeface="游ゴシック"/>
            </a:rPr>
            <a:t>※</a:t>
          </a:r>
          <a:r>
            <a:rPr kumimoji="1" lang="ja-JP" altLang="en-US" sz="1400" b="1" i="0" u="none" strike="noStrike" baseline="0">
              <a:solidFill>
                <a:srgbClr val="FF0000"/>
              </a:solidFill>
              <a:latin typeface="游ゴシック"/>
              <a:ea typeface="游ゴシック"/>
            </a:rPr>
            <a:t>新電力セットプランの適応条件に関しては、営業担当までお問合せください。</a:t>
          </a:r>
          <a:endParaRPr kumimoji="1" lang="en-US" altLang="ja-JP" sz="1400" b="1" i="0" u="none" strike="noStrike" baseline="0">
            <a:solidFill>
              <a:srgbClr val="FF0000"/>
            </a:solidFill>
            <a:latin typeface="游ゴシック"/>
            <a:ea typeface="游ゴシック"/>
          </a:endParaRPr>
        </a:p>
        <a:p>
          <a:pPr algn="l"/>
          <a:r>
            <a:rPr kumimoji="1" lang="ja-JP" altLang="en-US" sz="1400" b="1" i="0" u="none" strike="noStrike" baseline="0">
              <a:solidFill>
                <a:srgbClr val="FF0000"/>
              </a:solidFill>
              <a:latin typeface="游ゴシック"/>
              <a:ea typeface="游ゴシック"/>
            </a:rPr>
            <a:t>　契約電力のプランや契約容量、使用量などの確認が必要ですので、電気明細（検針票）のご提出をお願い致します。</a:t>
          </a:r>
          <a:endParaRPr kumimoji="1" lang="en-US" altLang="en-US" sz="1400" b="1" i="0" u="none" strike="noStrike" baseline="0">
            <a:solidFill>
              <a:srgbClr val="FF0000"/>
            </a:solidFill>
            <a:latin typeface="游ゴシック"/>
            <a:ea typeface="游ゴシック"/>
          </a:endParaRPr>
        </a:p>
      </xdr:txBody>
    </xdr:sp>
    <xdr:clientData/>
  </xdr:twoCellAnchor>
  <xdr:twoCellAnchor>
    <xdr:from>
      <xdr:col>13</xdr:col>
      <xdr:colOff>159319</xdr:colOff>
      <xdr:row>6</xdr:row>
      <xdr:rowOff>60777</xdr:rowOff>
    </xdr:from>
    <xdr:to>
      <xdr:col>16</xdr:col>
      <xdr:colOff>54429</xdr:colOff>
      <xdr:row>7</xdr:row>
      <xdr:rowOff>163285</xdr:rowOff>
    </xdr:to>
    <xdr:sp macro="" textlink="">
      <xdr:nvSpPr>
        <xdr:cNvPr id="16" name="矢印: 右 15">
          <a:extLst>
            <a:ext uri="{FF2B5EF4-FFF2-40B4-BE49-F238E27FC236}">
              <a16:creationId xmlns:a16="http://schemas.microsoft.com/office/drawing/2014/main" id="{D0B31051-D574-4BFA-A49C-DAC8E23F9DC0}"/>
            </a:ext>
          </a:extLst>
        </xdr:cNvPr>
        <xdr:cNvSpPr/>
      </xdr:nvSpPr>
      <xdr:spPr>
        <a:xfrm>
          <a:off x="3753419" y="1940377"/>
          <a:ext cx="720610" cy="37238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149678</xdr:colOff>
      <xdr:row>6</xdr:row>
      <xdr:rowOff>81642</xdr:rowOff>
    </xdr:from>
    <xdr:to>
      <xdr:col>42</xdr:col>
      <xdr:colOff>41613</xdr:colOff>
      <xdr:row>7</xdr:row>
      <xdr:rowOff>187325</xdr:rowOff>
    </xdr:to>
    <xdr:sp macro="" textlink="">
      <xdr:nvSpPr>
        <xdr:cNvPr id="17" name="矢印: 右 16">
          <a:extLst>
            <a:ext uri="{FF2B5EF4-FFF2-40B4-BE49-F238E27FC236}">
              <a16:creationId xmlns:a16="http://schemas.microsoft.com/office/drawing/2014/main" id="{9CF9E95B-B21D-4652-A73E-6FCA7670BADE}"/>
            </a:ext>
          </a:extLst>
        </xdr:cNvPr>
        <xdr:cNvSpPr/>
      </xdr:nvSpPr>
      <xdr:spPr>
        <a:xfrm>
          <a:off x="10922453" y="1961242"/>
          <a:ext cx="723785" cy="37873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99175</xdr:colOff>
      <xdr:row>4</xdr:row>
      <xdr:rowOff>182843</xdr:rowOff>
    </xdr:from>
    <xdr:to>
      <xdr:col>14</xdr:col>
      <xdr:colOff>152401</xdr:colOff>
      <xdr:row>11</xdr:row>
      <xdr:rowOff>94969</xdr:rowOff>
    </xdr:to>
    <xdr:graphicFrame macro="">
      <xdr:nvGraphicFramePr>
        <xdr:cNvPr id="52" name="グラフ 1">
          <a:extLst>
            <a:ext uri="{FF2B5EF4-FFF2-40B4-BE49-F238E27FC236}">
              <a16:creationId xmlns:a16="http://schemas.microsoft.com/office/drawing/2014/main" id="{09187B32-BE67-42DC-9518-1F695B619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89661</xdr:colOff>
      <xdr:row>4</xdr:row>
      <xdr:rowOff>179294</xdr:rowOff>
    </xdr:from>
    <xdr:to>
      <xdr:col>42</xdr:col>
      <xdr:colOff>152415</xdr:colOff>
      <xdr:row>11</xdr:row>
      <xdr:rowOff>107577</xdr:rowOff>
    </xdr:to>
    <xdr:graphicFrame macro="">
      <xdr:nvGraphicFramePr>
        <xdr:cNvPr id="3" name="グラフ 2">
          <a:extLst>
            <a:ext uri="{FF2B5EF4-FFF2-40B4-BE49-F238E27FC236}">
              <a16:creationId xmlns:a16="http://schemas.microsoft.com/office/drawing/2014/main" id="{9D20F81C-1C4B-49D5-A88D-4D6173F3A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84111</xdr:colOff>
      <xdr:row>22</xdr:row>
      <xdr:rowOff>137273</xdr:rowOff>
    </xdr:from>
    <xdr:to>
      <xdr:col>14</xdr:col>
      <xdr:colOff>134469</xdr:colOff>
      <xdr:row>29</xdr:row>
      <xdr:rowOff>268942</xdr:rowOff>
    </xdr:to>
    <xdr:graphicFrame macro="">
      <xdr:nvGraphicFramePr>
        <xdr:cNvPr id="4" name="グラフ 3">
          <a:extLst>
            <a:ext uri="{FF2B5EF4-FFF2-40B4-BE49-F238E27FC236}">
              <a16:creationId xmlns:a16="http://schemas.microsoft.com/office/drawing/2014/main" id="{12B065EF-0760-4EA4-AECB-3946B1E31C26}"/>
            </a:ext>
            <a:ext uri="{147F2762-F138-4A5C-976F-8EAC2B608ADB}">
              <a16:predDERef xmlns:a16="http://schemas.microsoft.com/office/drawing/2014/main" pred="{32525D61-E961-47C0-897C-60FBDFAD8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93141</xdr:colOff>
      <xdr:row>22</xdr:row>
      <xdr:rowOff>174248</xdr:rowOff>
    </xdr:from>
    <xdr:to>
      <xdr:col>42</xdr:col>
      <xdr:colOff>134471</xdr:colOff>
      <xdr:row>29</xdr:row>
      <xdr:rowOff>367553</xdr:rowOff>
    </xdr:to>
    <xdr:graphicFrame macro="">
      <xdr:nvGraphicFramePr>
        <xdr:cNvPr id="5" name="グラフ 4">
          <a:extLst>
            <a:ext uri="{FF2B5EF4-FFF2-40B4-BE49-F238E27FC236}">
              <a16:creationId xmlns:a16="http://schemas.microsoft.com/office/drawing/2014/main" id="{CE07C4C8-EFAE-44B4-8701-00348B40C8E7}"/>
            </a:ext>
            <a:ext uri="{147F2762-F138-4A5C-976F-8EAC2B608ADB}">
              <a16:predDERef xmlns:a16="http://schemas.microsoft.com/office/drawing/2014/main" pred="{20EB4B61-CF4A-4CCD-9AAD-8B8AC926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26147</xdr:colOff>
      <xdr:row>10</xdr:row>
      <xdr:rowOff>112058</xdr:rowOff>
    </xdr:from>
    <xdr:to>
      <xdr:col>4</xdr:col>
      <xdr:colOff>126253</xdr:colOff>
      <xdr:row>11</xdr:row>
      <xdr:rowOff>123264</xdr:rowOff>
    </xdr:to>
    <xdr:sp macro="" textlink="">
      <xdr:nvSpPr>
        <xdr:cNvPr id="6" name="テキスト ボックス 5">
          <a:extLst>
            <a:ext uri="{FF2B5EF4-FFF2-40B4-BE49-F238E27FC236}">
              <a16:creationId xmlns:a16="http://schemas.microsoft.com/office/drawing/2014/main" id="{9E6FBBC1-479C-486E-8725-5A2CBE954F7A}"/>
            </a:ext>
            <a:ext uri="{147F2762-F138-4A5C-976F-8EAC2B608ADB}">
              <a16:predDERef xmlns:a16="http://schemas.microsoft.com/office/drawing/2014/main" pred="{975C4859-6303-457F-B08F-45A8643BFF17}"/>
            </a:ext>
          </a:extLst>
        </xdr:cNvPr>
        <xdr:cNvSpPr txBox="1"/>
      </xdr:nvSpPr>
      <xdr:spPr>
        <a:xfrm>
          <a:off x="310403" y="3258670"/>
          <a:ext cx="921124" cy="316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266138</xdr:colOff>
      <xdr:row>10</xdr:row>
      <xdr:rowOff>115980</xdr:rowOff>
    </xdr:from>
    <xdr:to>
      <xdr:col>13</xdr:col>
      <xdr:colOff>235696</xdr:colOff>
      <xdr:row>11</xdr:row>
      <xdr:rowOff>107576</xdr:rowOff>
    </xdr:to>
    <xdr:sp macro="" textlink="">
      <xdr:nvSpPr>
        <xdr:cNvPr id="7" name="テキスト ボックス 6">
          <a:extLst>
            <a:ext uri="{FF2B5EF4-FFF2-40B4-BE49-F238E27FC236}">
              <a16:creationId xmlns:a16="http://schemas.microsoft.com/office/drawing/2014/main" id="{8F1D5278-D6E6-4005-B885-0D709F29DDDB}"/>
            </a:ext>
            <a:ext uri="{147F2762-F138-4A5C-976F-8EAC2B608ADB}">
              <a16:predDERef xmlns:a16="http://schemas.microsoft.com/office/drawing/2014/main" pred="{67487457-2CBE-4FE4-ADFC-D6D9929F6534}"/>
            </a:ext>
          </a:extLst>
        </xdr:cNvPr>
        <xdr:cNvSpPr txBox="1"/>
      </xdr:nvSpPr>
      <xdr:spPr>
        <a:xfrm>
          <a:off x="2767291" y="3262592"/>
          <a:ext cx="1087531" cy="296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27</xdr:col>
      <xdr:colOff>191062</xdr:colOff>
      <xdr:row>10</xdr:row>
      <xdr:rowOff>126585</xdr:rowOff>
    </xdr:from>
    <xdr:to>
      <xdr:col>34</xdr:col>
      <xdr:colOff>18463</xdr:colOff>
      <xdr:row>11</xdr:row>
      <xdr:rowOff>221980</xdr:rowOff>
    </xdr:to>
    <xdr:sp macro="" textlink="">
      <xdr:nvSpPr>
        <xdr:cNvPr id="8" name="テキスト ボックス 7">
          <a:extLst>
            <a:ext uri="{FF2B5EF4-FFF2-40B4-BE49-F238E27FC236}">
              <a16:creationId xmlns:a16="http://schemas.microsoft.com/office/drawing/2014/main" id="{E7193753-ED03-47E7-82A4-AFBB3CC4663E}"/>
            </a:ext>
            <a:ext uri="{147F2762-F138-4A5C-976F-8EAC2B608ADB}">
              <a16:predDERef xmlns:a16="http://schemas.microsoft.com/office/drawing/2014/main" pred="{7013EABA-EB16-4B4E-8AE0-9FAC0B6855F6}"/>
            </a:ext>
          </a:extLst>
        </xdr:cNvPr>
        <xdr:cNvSpPr txBox="1"/>
      </xdr:nvSpPr>
      <xdr:spPr>
        <a:xfrm>
          <a:off x="7676591" y="3266847"/>
          <a:ext cx="1763778" cy="400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33</xdr:col>
      <xdr:colOff>45461</xdr:colOff>
      <xdr:row>10</xdr:row>
      <xdr:rowOff>143932</xdr:rowOff>
    </xdr:from>
    <xdr:to>
      <xdr:col>37</xdr:col>
      <xdr:colOff>188259</xdr:colOff>
      <xdr:row>11</xdr:row>
      <xdr:rowOff>134471</xdr:rowOff>
    </xdr:to>
    <xdr:sp macro="" textlink="">
      <xdr:nvSpPr>
        <xdr:cNvPr id="9" name="テキスト ボックス 8">
          <a:extLst>
            <a:ext uri="{FF2B5EF4-FFF2-40B4-BE49-F238E27FC236}">
              <a16:creationId xmlns:a16="http://schemas.microsoft.com/office/drawing/2014/main" id="{CEC86C74-24EC-41B4-818C-255921A7D549}"/>
            </a:ext>
            <a:ext uri="{147F2762-F138-4A5C-976F-8EAC2B608ADB}">
              <a16:predDERef xmlns:a16="http://schemas.microsoft.com/office/drawing/2014/main" pred="{C9114BED-C367-4D2F-AA27-A9BF58223572}"/>
            </a:ext>
          </a:extLst>
        </xdr:cNvPr>
        <xdr:cNvSpPr txBox="1"/>
      </xdr:nvSpPr>
      <xdr:spPr>
        <a:xfrm>
          <a:off x="9195811" y="3284194"/>
          <a:ext cx="1248072" cy="301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38</xdr:col>
      <xdr:colOff>114580</xdr:colOff>
      <xdr:row>10</xdr:row>
      <xdr:rowOff>145304</xdr:rowOff>
    </xdr:from>
    <xdr:to>
      <xdr:col>41</xdr:col>
      <xdr:colOff>197222</xdr:colOff>
      <xdr:row>11</xdr:row>
      <xdr:rowOff>125507</xdr:rowOff>
    </xdr:to>
    <xdr:sp macro="" textlink="">
      <xdr:nvSpPr>
        <xdr:cNvPr id="10" name="テキスト ボックス 9">
          <a:extLst>
            <a:ext uri="{FF2B5EF4-FFF2-40B4-BE49-F238E27FC236}">
              <a16:creationId xmlns:a16="http://schemas.microsoft.com/office/drawing/2014/main" id="{608C77AC-9C99-4DED-9BA0-DD6FCCCA25D8}"/>
            </a:ext>
            <a:ext uri="{147F2762-F138-4A5C-976F-8EAC2B608ADB}">
              <a16:predDERef xmlns:a16="http://schemas.microsoft.com/office/drawing/2014/main" pred="{1807A592-6785-47BD-8EF4-3C3911BE7E9C}"/>
            </a:ext>
          </a:extLst>
        </xdr:cNvPr>
        <xdr:cNvSpPr txBox="1"/>
      </xdr:nvSpPr>
      <xdr:spPr>
        <a:xfrm>
          <a:off x="10648109" y="3291916"/>
          <a:ext cx="916360" cy="285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29</xdr:col>
      <xdr:colOff>104964</xdr:colOff>
      <xdr:row>29</xdr:row>
      <xdr:rowOff>180189</xdr:rowOff>
    </xdr:from>
    <xdr:to>
      <xdr:col>32</xdr:col>
      <xdr:colOff>69104</xdr:colOff>
      <xdr:row>29</xdr:row>
      <xdr:rowOff>412379</xdr:rowOff>
    </xdr:to>
    <xdr:sp macro="" textlink="">
      <xdr:nvSpPr>
        <xdr:cNvPr id="11" name="テキスト ボックス 10">
          <a:extLst>
            <a:ext uri="{FF2B5EF4-FFF2-40B4-BE49-F238E27FC236}">
              <a16:creationId xmlns:a16="http://schemas.microsoft.com/office/drawing/2014/main" id="{28F46705-06D3-4DFD-AE5A-2040A02B921E}"/>
            </a:ext>
            <a:ext uri="{147F2762-F138-4A5C-976F-8EAC2B608ADB}">
              <a16:predDERef xmlns:a16="http://schemas.microsoft.com/office/drawing/2014/main" pred="{55B1A303-08AD-4CB2-A29A-48F5F0398DB1}"/>
            </a:ext>
          </a:extLst>
        </xdr:cNvPr>
        <xdr:cNvSpPr txBox="1"/>
      </xdr:nvSpPr>
      <xdr:spPr>
        <a:xfrm>
          <a:off x="8130990" y="8275318"/>
          <a:ext cx="797858"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32</xdr:col>
      <xdr:colOff>259977</xdr:colOff>
      <xdr:row>29</xdr:row>
      <xdr:rowOff>94813</xdr:rowOff>
    </xdr:from>
    <xdr:to>
      <xdr:col>37</xdr:col>
      <xdr:colOff>181633</xdr:colOff>
      <xdr:row>30</xdr:row>
      <xdr:rowOff>0</xdr:rowOff>
    </xdr:to>
    <xdr:sp macro="" textlink="">
      <xdr:nvSpPr>
        <xdr:cNvPr id="12" name="テキスト ボックス 11">
          <a:extLst>
            <a:ext uri="{FF2B5EF4-FFF2-40B4-BE49-F238E27FC236}">
              <a16:creationId xmlns:a16="http://schemas.microsoft.com/office/drawing/2014/main" id="{F02EF79A-24F4-4634-A291-83E13A5D350D}"/>
            </a:ext>
            <a:ext uri="{147F2762-F138-4A5C-976F-8EAC2B608ADB}">
              <a16:predDERef xmlns:a16="http://schemas.microsoft.com/office/drawing/2014/main" pred="{7EF74874-6FF6-4369-97B7-C6C8CC5C1E6E}"/>
            </a:ext>
          </a:extLst>
        </xdr:cNvPr>
        <xdr:cNvSpPr txBox="1"/>
      </xdr:nvSpPr>
      <xdr:spPr>
        <a:xfrm>
          <a:off x="9126071" y="8189942"/>
          <a:ext cx="1311186"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37</xdr:col>
      <xdr:colOff>259975</xdr:colOff>
      <xdr:row>29</xdr:row>
      <xdr:rowOff>93570</xdr:rowOff>
    </xdr:from>
    <xdr:to>
      <xdr:col>41</xdr:col>
      <xdr:colOff>240828</xdr:colOff>
      <xdr:row>29</xdr:row>
      <xdr:rowOff>409763</xdr:rowOff>
    </xdr:to>
    <xdr:sp macro="" textlink="">
      <xdr:nvSpPr>
        <xdr:cNvPr id="13" name="テキスト ボックス 12">
          <a:extLst>
            <a:ext uri="{FF2B5EF4-FFF2-40B4-BE49-F238E27FC236}">
              <a16:creationId xmlns:a16="http://schemas.microsoft.com/office/drawing/2014/main" id="{83A8A09D-B752-4805-B1DF-146F5FC1C9B9}"/>
            </a:ext>
            <a:ext uri="{147F2762-F138-4A5C-976F-8EAC2B608ADB}">
              <a16:predDERef xmlns:a16="http://schemas.microsoft.com/office/drawing/2014/main" pred="{4B0AD646-DCCB-4E62-A3CB-BF0957D8EF70}"/>
            </a:ext>
          </a:extLst>
        </xdr:cNvPr>
        <xdr:cNvSpPr txBox="1"/>
      </xdr:nvSpPr>
      <xdr:spPr>
        <a:xfrm>
          <a:off x="10515599" y="8188699"/>
          <a:ext cx="1092476"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4</xdr:col>
      <xdr:colOff>171451</xdr:colOff>
      <xdr:row>10</xdr:row>
      <xdr:rowOff>115420</xdr:rowOff>
    </xdr:from>
    <xdr:to>
      <xdr:col>9</xdr:col>
      <xdr:colOff>233083</xdr:colOff>
      <xdr:row>11</xdr:row>
      <xdr:rowOff>170329</xdr:rowOff>
    </xdr:to>
    <xdr:sp macro="" textlink="">
      <xdr:nvSpPr>
        <xdr:cNvPr id="14" name="テキスト ボックス 13">
          <a:extLst>
            <a:ext uri="{FF2B5EF4-FFF2-40B4-BE49-F238E27FC236}">
              <a16:creationId xmlns:a16="http://schemas.microsoft.com/office/drawing/2014/main" id="{C1AD0FB1-01F1-4E8E-88B9-0B606E72A6F8}"/>
            </a:ext>
            <a:ext uri="{147F2762-F138-4A5C-976F-8EAC2B608ADB}">
              <a16:predDERef xmlns:a16="http://schemas.microsoft.com/office/drawing/2014/main" pred="{44FB23F9-AC34-444F-B839-A87599090AF1}"/>
            </a:ext>
          </a:extLst>
        </xdr:cNvPr>
        <xdr:cNvSpPr txBox="1"/>
      </xdr:nvSpPr>
      <xdr:spPr>
        <a:xfrm>
          <a:off x="1283075" y="2984126"/>
          <a:ext cx="1451161" cy="359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050" b="0" i="0" u="none" strike="noStrike" baseline="0">
            <a:solidFill>
              <a:schemeClr val="tx1"/>
            </a:solidFill>
            <a:latin typeface="メイリオ"/>
            <a:ea typeface="メイリオ"/>
            <a:cs typeface="メイリオ"/>
          </a:endParaRPr>
        </a:p>
      </xdr:txBody>
    </xdr:sp>
    <xdr:clientData/>
  </xdr:twoCellAnchor>
  <xdr:twoCellAnchor>
    <xdr:from>
      <xdr:col>0</xdr:col>
      <xdr:colOff>221929</xdr:colOff>
      <xdr:row>12</xdr:row>
      <xdr:rowOff>8552</xdr:rowOff>
    </xdr:from>
    <xdr:to>
      <xdr:col>7</xdr:col>
      <xdr:colOff>137927</xdr:colOff>
      <xdr:row>17</xdr:row>
      <xdr:rowOff>107576</xdr:rowOff>
    </xdr:to>
    <xdr:sp macro="" textlink="">
      <xdr:nvSpPr>
        <xdr:cNvPr id="45" name="四角形: 角を丸くする 14">
          <a:extLst>
            <a:ext uri="{FF2B5EF4-FFF2-40B4-BE49-F238E27FC236}">
              <a16:creationId xmlns:a16="http://schemas.microsoft.com/office/drawing/2014/main" id="{E565B96C-1504-4AFE-B18D-A2D8198C5550}"/>
            </a:ext>
          </a:extLst>
        </xdr:cNvPr>
        <xdr:cNvSpPr/>
      </xdr:nvSpPr>
      <xdr:spPr>
        <a:xfrm>
          <a:off x="221929" y="3764764"/>
          <a:ext cx="1861339" cy="1129965"/>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257362</xdr:colOff>
      <xdr:row>12</xdr:row>
      <xdr:rowOff>79150</xdr:rowOff>
    </xdr:from>
    <xdr:to>
      <xdr:col>6</xdr:col>
      <xdr:colOff>94353</xdr:colOff>
      <xdr:row>17</xdr:row>
      <xdr:rowOff>85287</xdr:rowOff>
    </xdr:to>
    <xdr:sp macro="" textlink="">
      <xdr:nvSpPr>
        <xdr:cNvPr id="46" name="テキスト ボックス 15">
          <a:extLst>
            <a:ext uri="{FF2B5EF4-FFF2-40B4-BE49-F238E27FC236}">
              <a16:creationId xmlns:a16="http://schemas.microsoft.com/office/drawing/2014/main" id="{6A81CEF7-8628-4730-9B2A-6F1906886497}"/>
            </a:ext>
          </a:extLst>
        </xdr:cNvPr>
        <xdr:cNvSpPr txBox="1"/>
      </xdr:nvSpPr>
      <xdr:spPr>
        <a:xfrm>
          <a:off x="251012" y="3835362"/>
          <a:ext cx="1510776" cy="1046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197982</xdr:colOff>
      <xdr:row>13</xdr:row>
      <xdr:rowOff>6985</xdr:rowOff>
    </xdr:from>
    <xdr:to>
      <xdr:col>7</xdr:col>
      <xdr:colOff>141917</xdr:colOff>
      <xdr:row>14</xdr:row>
      <xdr:rowOff>142644</xdr:rowOff>
    </xdr:to>
    <xdr:sp macro="" textlink="LED計算式!D49">
      <xdr:nvSpPr>
        <xdr:cNvPr id="48" name="テキスト ボックス 16">
          <a:extLst>
            <a:ext uri="{FF2B5EF4-FFF2-40B4-BE49-F238E27FC236}">
              <a16:creationId xmlns:a16="http://schemas.microsoft.com/office/drawing/2014/main" id="{0E5884C8-B41E-4E20-9A91-8614B57B8313}"/>
            </a:ext>
          </a:extLst>
        </xdr:cNvPr>
        <xdr:cNvSpPr txBox="1"/>
      </xdr:nvSpPr>
      <xdr:spPr>
        <a:xfrm>
          <a:off x="1315956" y="3964129"/>
          <a:ext cx="777652" cy="362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C26AFF7-5400-46EB-A026-9C7DD0DC2168}"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211158</xdr:colOff>
      <xdr:row>15</xdr:row>
      <xdr:rowOff>97205</xdr:rowOff>
    </xdr:from>
    <xdr:to>
      <xdr:col>7</xdr:col>
      <xdr:colOff>155176</xdr:colOff>
      <xdr:row>17</xdr:row>
      <xdr:rowOff>27763</xdr:rowOff>
    </xdr:to>
    <xdr:sp macro="" textlink="LED計算式!E49">
      <xdr:nvSpPr>
        <xdr:cNvPr id="49" name="テキスト ボックス 17">
          <a:extLst>
            <a:ext uri="{FF2B5EF4-FFF2-40B4-BE49-F238E27FC236}">
              <a16:creationId xmlns:a16="http://schemas.microsoft.com/office/drawing/2014/main" id="{A261670D-0993-4AE3-BF9E-1E9D72260192}"/>
            </a:ext>
          </a:extLst>
        </xdr:cNvPr>
        <xdr:cNvSpPr txBox="1"/>
      </xdr:nvSpPr>
      <xdr:spPr>
        <a:xfrm>
          <a:off x="1044876" y="4480946"/>
          <a:ext cx="1055641" cy="349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3B7B5CB-01EB-4F17-8F53-5A39FF2E1E68}"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200778</xdr:colOff>
      <xdr:row>11</xdr:row>
      <xdr:rowOff>304799</xdr:rowOff>
    </xdr:from>
    <xdr:to>
      <xdr:col>35</xdr:col>
      <xdr:colOff>89648</xdr:colOff>
      <xdr:row>17</xdr:row>
      <xdr:rowOff>116541</xdr:rowOff>
    </xdr:to>
    <xdr:sp macro="" textlink="">
      <xdr:nvSpPr>
        <xdr:cNvPr id="19" name="四角形: 角を丸くする 18">
          <a:extLst>
            <a:ext uri="{FF2B5EF4-FFF2-40B4-BE49-F238E27FC236}">
              <a16:creationId xmlns:a16="http://schemas.microsoft.com/office/drawing/2014/main" id="{1B6283C7-2FA9-479F-BAEF-736B43AAE96F}"/>
            </a:ext>
          </a:extLst>
        </xdr:cNvPr>
        <xdr:cNvSpPr/>
      </xdr:nvSpPr>
      <xdr:spPr>
        <a:xfrm>
          <a:off x="7955249" y="3756211"/>
          <a:ext cx="1834211" cy="1147483"/>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217766</xdr:colOff>
      <xdr:row>12</xdr:row>
      <xdr:rowOff>66291</xdr:rowOff>
    </xdr:from>
    <xdr:to>
      <xdr:col>34</xdr:col>
      <xdr:colOff>168880</xdr:colOff>
      <xdr:row>17</xdr:row>
      <xdr:rowOff>87033</xdr:rowOff>
    </xdr:to>
    <xdr:sp macro="" textlink="">
      <xdr:nvSpPr>
        <xdr:cNvPr id="20" name="テキスト ボックス 19">
          <a:extLst>
            <a:ext uri="{FF2B5EF4-FFF2-40B4-BE49-F238E27FC236}">
              <a16:creationId xmlns:a16="http://schemas.microsoft.com/office/drawing/2014/main" id="{D6B430B0-B83A-4180-AB56-EA2CEFA57F91}"/>
            </a:ext>
          </a:extLst>
        </xdr:cNvPr>
        <xdr:cNvSpPr txBox="1"/>
      </xdr:nvSpPr>
      <xdr:spPr>
        <a:xfrm>
          <a:off x="7978587" y="3828853"/>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143436</xdr:colOff>
      <xdr:row>13</xdr:row>
      <xdr:rowOff>19973</xdr:rowOff>
    </xdr:from>
    <xdr:to>
      <xdr:col>35</xdr:col>
      <xdr:colOff>88566</xdr:colOff>
      <xdr:row>14</xdr:row>
      <xdr:rowOff>170330</xdr:rowOff>
    </xdr:to>
    <xdr:sp macro="" textlink="LED計算式!I49">
      <xdr:nvSpPr>
        <xdr:cNvPr id="21" name="テキスト ボックス 20">
          <a:extLst>
            <a:ext uri="{FF2B5EF4-FFF2-40B4-BE49-F238E27FC236}">
              <a16:creationId xmlns:a16="http://schemas.microsoft.com/office/drawing/2014/main" id="{B444D4DA-CAA7-49F3-867C-12947AB0C5AF}"/>
            </a:ext>
          </a:extLst>
        </xdr:cNvPr>
        <xdr:cNvSpPr txBox="1"/>
      </xdr:nvSpPr>
      <xdr:spPr>
        <a:xfrm>
          <a:off x="9009530" y="3991338"/>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16C44A4-DE72-497A-B81A-DC4ED5358E31}"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152399</xdr:colOff>
      <xdr:row>15</xdr:row>
      <xdr:rowOff>125928</xdr:rowOff>
    </xdr:from>
    <xdr:to>
      <xdr:col>35</xdr:col>
      <xdr:colOff>98089</xdr:colOff>
      <xdr:row>17</xdr:row>
      <xdr:rowOff>47437</xdr:rowOff>
    </xdr:to>
    <xdr:sp macro="" textlink="LED計算式!J49">
      <xdr:nvSpPr>
        <xdr:cNvPr id="22" name="テキスト ボックス 21">
          <a:extLst>
            <a:ext uri="{FF2B5EF4-FFF2-40B4-BE49-F238E27FC236}">
              <a16:creationId xmlns:a16="http://schemas.microsoft.com/office/drawing/2014/main" id="{6B095349-1FE0-48BA-8AF7-7FDB02C9CF5B}"/>
            </a:ext>
          </a:extLst>
        </xdr:cNvPr>
        <xdr:cNvSpPr txBox="1"/>
      </xdr:nvSpPr>
      <xdr:spPr>
        <a:xfrm>
          <a:off x="8740587" y="4503319"/>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D1271239-083D-45C3-9F2B-54621D408E85}"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173884</xdr:colOff>
      <xdr:row>30</xdr:row>
      <xdr:rowOff>80682</xdr:rowOff>
    </xdr:from>
    <xdr:to>
      <xdr:col>35</xdr:col>
      <xdr:colOff>89648</xdr:colOff>
      <xdr:row>35</xdr:row>
      <xdr:rowOff>125507</xdr:rowOff>
    </xdr:to>
    <xdr:sp macro="" textlink="">
      <xdr:nvSpPr>
        <xdr:cNvPr id="23" name="四角形: 角を丸くする 22">
          <a:extLst>
            <a:ext uri="{FF2B5EF4-FFF2-40B4-BE49-F238E27FC236}">
              <a16:creationId xmlns:a16="http://schemas.microsoft.com/office/drawing/2014/main" id="{49376B56-B9DC-41A2-AFD6-EEB8A35EF931}"/>
            </a:ext>
          </a:extLst>
        </xdr:cNvPr>
        <xdr:cNvSpPr/>
      </xdr:nvSpPr>
      <xdr:spPr>
        <a:xfrm>
          <a:off x="7928355" y="8624047"/>
          <a:ext cx="1861105" cy="1120589"/>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179293</xdr:colOff>
      <xdr:row>30</xdr:row>
      <xdr:rowOff>153322</xdr:rowOff>
    </xdr:from>
    <xdr:to>
      <xdr:col>34</xdr:col>
      <xdr:colOff>124057</xdr:colOff>
      <xdr:row>35</xdr:row>
      <xdr:rowOff>125506</xdr:rowOff>
    </xdr:to>
    <xdr:sp macro="" textlink="">
      <xdr:nvSpPr>
        <xdr:cNvPr id="24" name="テキスト ボックス 23">
          <a:extLst>
            <a:ext uri="{FF2B5EF4-FFF2-40B4-BE49-F238E27FC236}">
              <a16:creationId xmlns:a16="http://schemas.microsoft.com/office/drawing/2014/main" id="{ED5C4DE5-107C-473D-952E-416D1F491AB6}"/>
            </a:ext>
          </a:extLst>
        </xdr:cNvPr>
        <xdr:cNvSpPr txBox="1"/>
      </xdr:nvSpPr>
      <xdr:spPr>
        <a:xfrm>
          <a:off x="7933764" y="8696687"/>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152401</xdr:colOff>
      <xdr:row>31</xdr:row>
      <xdr:rowOff>107004</xdr:rowOff>
    </xdr:from>
    <xdr:to>
      <xdr:col>35</xdr:col>
      <xdr:colOff>97531</xdr:colOff>
      <xdr:row>33</xdr:row>
      <xdr:rowOff>26893</xdr:rowOff>
    </xdr:to>
    <xdr:sp macro="" textlink="LED計算式!S49">
      <xdr:nvSpPr>
        <xdr:cNvPr id="25" name="テキスト ボックス 24">
          <a:extLst>
            <a:ext uri="{FF2B5EF4-FFF2-40B4-BE49-F238E27FC236}">
              <a16:creationId xmlns:a16="http://schemas.microsoft.com/office/drawing/2014/main" id="{19A825B1-2D22-4434-A64E-9918F03C80F5}"/>
            </a:ext>
          </a:extLst>
        </xdr:cNvPr>
        <xdr:cNvSpPr txBox="1"/>
      </xdr:nvSpPr>
      <xdr:spPr>
        <a:xfrm>
          <a:off x="9018495" y="8859172"/>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5A912C4-DA43-44A0-84E3-5F4B9AA7BAE7}"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152400</xdr:colOff>
      <xdr:row>33</xdr:row>
      <xdr:rowOff>164400</xdr:rowOff>
    </xdr:from>
    <xdr:to>
      <xdr:col>35</xdr:col>
      <xdr:colOff>98090</xdr:colOff>
      <xdr:row>35</xdr:row>
      <xdr:rowOff>87031</xdr:rowOff>
    </xdr:to>
    <xdr:sp macro="" textlink="LED計算式!T49">
      <xdr:nvSpPr>
        <xdr:cNvPr id="26" name="テキスト ボックス 25">
          <a:extLst>
            <a:ext uri="{FF2B5EF4-FFF2-40B4-BE49-F238E27FC236}">
              <a16:creationId xmlns:a16="http://schemas.microsoft.com/office/drawing/2014/main" id="{32099357-B556-407A-9127-17A321DA8B07}"/>
            </a:ext>
          </a:extLst>
        </xdr:cNvPr>
        <xdr:cNvSpPr txBox="1"/>
      </xdr:nvSpPr>
      <xdr:spPr>
        <a:xfrm>
          <a:off x="8740588" y="9353224"/>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B968A9C-5BA3-4289-BF18-71FD3D106FAF}" type="TxLink">
            <a:rPr kumimoji="1" lang="en-US" altLang="en-US" sz="1100" b="1" i="0" u="none" strike="noStrike" baseline="0">
              <a:solidFill>
                <a:srgbClr val="FF0000"/>
              </a:solidFill>
              <a:latin typeface="メイリオ"/>
              <a:ea typeface="メイリオ"/>
            </a:rPr>
            <a:pPr algn="r"/>
            <a:t>0 円</a:t>
          </a:fld>
          <a:endParaRPr kumimoji="1" lang="en-US" altLang="en-US" sz="1100" b="1" i="0" u="none" strike="noStrike" baseline="0">
            <a:solidFill>
              <a:srgbClr val="FF0000"/>
            </a:solidFill>
            <a:latin typeface="メイリオ"/>
            <a:ea typeface="メイリオ"/>
          </a:endParaRPr>
        </a:p>
      </xdr:txBody>
    </xdr:sp>
    <xdr:clientData/>
  </xdr:twoCellAnchor>
  <xdr:twoCellAnchor editAs="absolute">
    <xdr:from>
      <xdr:col>1</xdr:col>
      <xdr:colOff>65367</xdr:colOff>
      <xdr:row>29</xdr:row>
      <xdr:rowOff>58481</xdr:rowOff>
    </xdr:from>
    <xdr:to>
      <xdr:col>4</xdr:col>
      <xdr:colOff>35857</xdr:colOff>
      <xdr:row>29</xdr:row>
      <xdr:rowOff>297021</xdr:rowOff>
    </xdr:to>
    <xdr:sp macro="" textlink="">
      <xdr:nvSpPr>
        <xdr:cNvPr id="27" name="テキスト ボックス 26">
          <a:extLst>
            <a:ext uri="{FF2B5EF4-FFF2-40B4-BE49-F238E27FC236}">
              <a16:creationId xmlns:a16="http://schemas.microsoft.com/office/drawing/2014/main" id="{05BE9914-0FA0-4FA7-8D82-F52D58803C59}"/>
            </a:ext>
            <a:ext uri="{147F2762-F138-4A5C-976F-8EAC2B608ADB}">
              <a16:predDERef xmlns:a16="http://schemas.microsoft.com/office/drawing/2014/main" pred="{55B1A303-08AD-4CB2-A29A-48F5F0398DB1}"/>
            </a:ext>
          </a:extLst>
        </xdr:cNvPr>
        <xdr:cNvSpPr txBox="1"/>
      </xdr:nvSpPr>
      <xdr:spPr>
        <a:xfrm>
          <a:off x="349623" y="8153610"/>
          <a:ext cx="797858"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4</xdr:col>
      <xdr:colOff>221503</xdr:colOff>
      <xdr:row>28</xdr:row>
      <xdr:rowOff>286873</xdr:rowOff>
    </xdr:from>
    <xdr:to>
      <xdr:col>9</xdr:col>
      <xdr:colOff>143160</xdr:colOff>
      <xdr:row>29</xdr:row>
      <xdr:rowOff>335496</xdr:rowOff>
    </xdr:to>
    <xdr:sp macro="" textlink="">
      <xdr:nvSpPr>
        <xdr:cNvPr id="28" name="テキスト ボックス 27">
          <a:extLst>
            <a:ext uri="{FF2B5EF4-FFF2-40B4-BE49-F238E27FC236}">
              <a16:creationId xmlns:a16="http://schemas.microsoft.com/office/drawing/2014/main" id="{9C216709-C9B4-4BD9-9C76-47E9C771C6E1}"/>
            </a:ext>
            <a:ext uri="{147F2762-F138-4A5C-976F-8EAC2B608ADB}">
              <a16:predDERef xmlns:a16="http://schemas.microsoft.com/office/drawing/2014/main" pred="{7EF74874-6FF6-4369-97B7-C6C8CC5C1E6E}"/>
            </a:ext>
          </a:extLst>
        </xdr:cNvPr>
        <xdr:cNvSpPr txBox="1"/>
      </xdr:nvSpPr>
      <xdr:spPr>
        <a:xfrm>
          <a:off x="1326777" y="8077202"/>
          <a:ext cx="1311186"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1679</xdr:colOff>
      <xdr:row>28</xdr:row>
      <xdr:rowOff>294593</xdr:rowOff>
    </xdr:from>
    <xdr:to>
      <xdr:col>13</xdr:col>
      <xdr:colOff>258757</xdr:colOff>
      <xdr:row>29</xdr:row>
      <xdr:rowOff>293286</xdr:rowOff>
    </xdr:to>
    <xdr:sp macro="" textlink="">
      <xdr:nvSpPr>
        <xdr:cNvPr id="29" name="テキスト ボックス 28">
          <a:extLst>
            <a:ext uri="{FF2B5EF4-FFF2-40B4-BE49-F238E27FC236}">
              <a16:creationId xmlns:a16="http://schemas.microsoft.com/office/drawing/2014/main" id="{15030C41-7465-44F1-B870-5C278F6624E3}"/>
            </a:ext>
            <a:ext uri="{147F2762-F138-4A5C-976F-8EAC2B608ADB}">
              <a16:predDERef xmlns:a16="http://schemas.microsoft.com/office/drawing/2014/main" pred="{4B0AD646-DCCB-4E62-A3CB-BF0957D8EF70}"/>
            </a:ext>
          </a:extLst>
        </xdr:cNvPr>
        <xdr:cNvSpPr txBox="1"/>
      </xdr:nvSpPr>
      <xdr:spPr>
        <a:xfrm>
          <a:off x="2779057" y="8084922"/>
          <a:ext cx="1092476"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0</xdr:col>
      <xdr:colOff>191815</xdr:colOff>
      <xdr:row>30</xdr:row>
      <xdr:rowOff>44823</xdr:rowOff>
    </xdr:from>
    <xdr:to>
      <xdr:col>7</xdr:col>
      <xdr:colOff>107578</xdr:colOff>
      <xdr:row>35</xdr:row>
      <xdr:rowOff>98611</xdr:rowOff>
    </xdr:to>
    <xdr:sp macro="" textlink="">
      <xdr:nvSpPr>
        <xdr:cNvPr id="32" name="四角形: 角を丸くする 31">
          <a:extLst>
            <a:ext uri="{FF2B5EF4-FFF2-40B4-BE49-F238E27FC236}">
              <a16:creationId xmlns:a16="http://schemas.microsoft.com/office/drawing/2014/main" id="{57874593-F6AB-4F4D-BBA6-494F537914CC}"/>
            </a:ext>
          </a:extLst>
        </xdr:cNvPr>
        <xdr:cNvSpPr/>
      </xdr:nvSpPr>
      <xdr:spPr>
        <a:xfrm>
          <a:off x="191815" y="8579223"/>
          <a:ext cx="1861104" cy="1183341"/>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199838</xdr:colOff>
      <xdr:row>30</xdr:row>
      <xdr:rowOff>135394</xdr:rowOff>
    </xdr:from>
    <xdr:to>
      <xdr:col>6</xdr:col>
      <xdr:colOff>150952</xdr:colOff>
      <xdr:row>35</xdr:row>
      <xdr:rowOff>107578</xdr:rowOff>
    </xdr:to>
    <xdr:sp macro="" textlink="">
      <xdr:nvSpPr>
        <xdr:cNvPr id="33" name="テキスト ボックス 32">
          <a:extLst>
            <a:ext uri="{FF2B5EF4-FFF2-40B4-BE49-F238E27FC236}">
              <a16:creationId xmlns:a16="http://schemas.microsoft.com/office/drawing/2014/main" id="{A59FDCB6-3907-4479-84EF-A48856604D05}"/>
            </a:ext>
          </a:extLst>
        </xdr:cNvPr>
        <xdr:cNvSpPr txBox="1"/>
      </xdr:nvSpPr>
      <xdr:spPr>
        <a:xfrm>
          <a:off x="206188" y="8678759"/>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179296</xdr:colOff>
      <xdr:row>31</xdr:row>
      <xdr:rowOff>73761</xdr:rowOff>
    </xdr:from>
    <xdr:to>
      <xdr:col>7</xdr:col>
      <xdr:colOff>124427</xdr:colOff>
      <xdr:row>33</xdr:row>
      <xdr:rowOff>0</xdr:rowOff>
    </xdr:to>
    <xdr:sp macro="" textlink="LED計算式!N49">
      <xdr:nvSpPr>
        <xdr:cNvPr id="34" name="テキスト ボックス 33">
          <a:extLst>
            <a:ext uri="{FF2B5EF4-FFF2-40B4-BE49-F238E27FC236}">
              <a16:creationId xmlns:a16="http://schemas.microsoft.com/office/drawing/2014/main" id="{BBB9DB18-E276-48AE-901A-53BB42F5E95E}"/>
            </a:ext>
          </a:extLst>
        </xdr:cNvPr>
        <xdr:cNvSpPr txBox="1"/>
      </xdr:nvSpPr>
      <xdr:spPr>
        <a:xfrm>
          <a:off x="1290920" y="8832279"/>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7A9453A-8ADB-4310-ADF9-093B5439323D}"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179294</xdr:colOff>
      <xdr:row>33</xdr:row>
      <xdr:rowOff>143857</xdr:rowOff>
    </xdr:from>
    <xdr:to>
      <xdr:col>7</xdr:col>
      <xdr:colOff>124985</xdr:colOff>
      <xdr:row>35</xdr:row>
      <xdr:rowOff>47438</xdr:rowOff>
    </xdr:to>
    <xdr:sp macro="" textlink="LED計算式!O49">
      <xdr:nvSpPr>
        <xdr:cNvPr id="35" name="テキスト ボックス 34">
          <a:extLst>
            <a:ext uri="{FF2B5EF4-FFF2-40B4-BE49-F238E27FC236}">
              <a16:creationId xmlns:a16="http://schemas.microsoft.com/office/drawing/2014/main" id="{55FF2206-CD25-4657-A71E-925FBF7E5B0A}"/>
            </a:ext>
          </a:extLst>
        </xdr:cNvPr>
        <xdr:cNvSpPr txBox="1"/>
      </xdr:nvSpPr>
      <xdr:spPr>
        <a:xfrm>
          <a:off x="1013012" y="9326331"/>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2881DA1-E819-40D1-B2B5-3572648FC9C3}" type="TxLink">
            <a:rPr kumimoji="1" lang="en-US" altLang="en-US" sz="1100" b="1" i="0" u="none" strike="noStrike" baseline="0">
              <a:solidFill>
                <a:srgbClr val="FF0000"/>
              </a:solidFill>
              <a:latin typeface="メイリオ"/>
              <a:ea typeface="メイリオ"/>
            </a:rPr>
            <a:pPr algn="r"/>
            <a:t>0 円</a:t>
          </a:fld>
          <a:endParaRPr kumimoji="1" lang="en-US" altLang="en-US" sz="1100" i="0" u="none" strike="noStrike" baseline="0">
            <a:latin typeface="メイリオ"/>
            <a:ea typeface="メイリオ"/>
          </a:endParaRPr>
        </a:p>
      </xdr:txBody>
    </xdr:sp>
    <xdr:clientData/>
  </xdr:twoCellAnchor>
  <xdr:twoCellAnchor>
    <xdr:from>
      <xdr:col>15</xdr:col>
      <xdr:colOff>67235</xdr:colOff>
      <xdr:row>4</xdr:row>
      <xdr:rowOff>95391</xdr:rowOff>
    </xdr:from>
    <xdr:to>
      <xdr:col>26</xdr:col>
      <xdr:colOff>226499</xdr:colOff>
      <xdr:row>11</xdr:row>
      <xdr:rowOff>217767</xdr:rowOff>
    </xdr:to>
    <xdr:graphicFrame macro="">
      <xdr:nvGraphicFramePr>
        <xdr:cNvPr id="53" name="グラフ 50">
          <a:extLst>
            <a:ext uri="{FF2B5EF4-FFF2-40B4-BE49-F238E27FC236}">
              <a16:creationId xmlns:a16="http://schemas.microsoft.com/office/drawing/2014/main" id="{E5872C58-C9BF-4F0A-9A20-905D2097E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56029</xdr:colOff>
      <xdr:row>4</xdr:row>
      <xdr:rowOff>89648</xdr:rowOff>
    </xdr:from>
    <xdr:to>
      <xdr:col>54</xdr:col>
      <xdr:colOff>207262</xdr:colOff>
      <xdr:row>11</xdr:row>
      <xdr:rowOff>212024</xdr:rowOff>
    </xdr:to>
    <xdr:graphicFrame macro="">
      <xdr:nvGraphicFramePr>
        <xdr:cNvPr id="39" name="グラフ 50">
          <a:extLst>
            <a:ext uri="{FF2B5EF4-FFF2-40B4-BE49-F238E27FC236}">
              <a16:creationId xmlns:a16="http://schemas.microsoft.com/office/drawing/2014/main" id="{DEBFF0E8-F6F7-4E17-88AE-971D6CA5E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67235</xdr:colOff>
      <xdr:row>22</xdr:row>
      <xdr:rowOff>145677</xdr:rowOff>
    </xdr:from>
    <xdr:to>
      <xdr:col>26</xdr:col>
      <xdr:colOff>229674</xdr:colOff>
      <xdr:row>29</xdr:row>
      <xdr:rowOff>268053</xdr:rowOff>
    </xdr:to>
    <xdr:graphicFrame macro="">
      <xdr:nvGraphicFramePr>
        <xdr:cNvPr id="16" name="グラフ 50">
          <a:extLst>
            <a:ext uri="{FF2B5EF4-FFF2-40B4-BE49-F238E27FC236}">
              <a16:creationId xmlns:a16="http://schemas.microsoft.com/office/drawing/2014/main" id="{47DF188C-287B-44B9-8D02-95107EE40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75266</xdr:colOff>
      <xdr:row>22</xdr:row>
      <xdr:rowOff>180975</xdr:rowOff>
    </xdr:from>
    <xdr:to>
      <xdr:col>54</xdr:col>
      <xdr:colOff>236024</xdr:colOff>
      <xdr:row>29</xdr:row>
      <xdr:rowOff>322401</xdr:rowOff>
    </xdr:to>
    <xdr:graphicFrame macro="">
      <xdr:nvGraphicFramePr>
        <xdr:cNvPr id="38" name="グラフ 50">
          <a:extLst>
            <a:ext uri="{FF2B5EF4-FFF2-40B4-BE49-F238E27FC236}">
              <a16:creationId xmlns:a16="http://schemas.microsoft.com/office/drawing/2014/main" id="{F5FD7A68-9137-4873-8771-80C180F32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28</xdr:col>
      <xdr:colOff>89661</xdr:colOff>
      <xdr:row>4</xdr:row>
      <xdr:rowOff>179294</xdr:rowOff>
    </xdr:from>
    <xdr:to>
      <xdr:col>42</xdr:col>
      <xdr:colOff>152415</xdr:colOff>
      <xdr:row>11</xdr:row>
      <xdr:rowOff>107577</xdr:rowOff>
    </xdr:to>
    <xdr:graphicFrame macro="">
      <xdr:nvGraphicFramePr>
        <xdr:cNvPr id="3" name="グラフ 2">
          <a:extLst>
            <a:ext uri="{FF2B5EF4-FFF2-40B4-BE49-F238E27FC236}">
              <a16:creationId xmlns:a16="http://schemas.microsoft.com/office/drawing/2014/main" id="{4F3CFFBE-C164-4CA0-B750-F9988DADC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84111</xdr:colOff>
      <xdr:row>22</xdr:row>
      <xdr:rowOff>137273</xdr:rowOff>
    </xdr:from>
    <xdr:to>
      <xdr:col>14</xdr:col>
      <xdr:colOff>134469</xdr:colOff>
      <xdr:row>29</xdr:row>
      <xdr:rowOff>268942</xdr:rowOff>
    </xdr:to>
    <xdr:graphicFrame macro="">
      <xdr:nvGraphicFramePr>
        <xdr:cNvPr id="4" name="グラフ 3">
          <a:extLst>
            <a:ext uri="{FF2B5EF4-FFF2-40B4-BE49-F238E27FC236}">
              <a16:creationId xmlns:a16="http://schemas.microsoft.com/office/drawing/2014/main" id="{F8336F26-EBB7-416F-A3D2-209C572DB84E}"/>
            </a:ext>
            <a:ext uri="{147F2762-F138-4A5C-976F-8EAC2B608ADB}">
              <a16:predDERef xmlns:a16="http://schemas.microsoft.com/office/drawing/2014/main" pred="{32525D61-E961-47C0-897C-60FBDFAD8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93141</xdr:colOff>
      <xdr:row>22</xdr:row>
      <xdr:rowOff>174248</xdr:rowOff>
    </xdr:from>
    <xdr:to>
      <xdr:col>42</xdr:col>
      <xdr:colOff>134471</xdr:colOff>
      <xdr:row>29</xdr:row>
      <xdr:rowOff>367553</xdr:rowOff>
    </xdr:to>
    <xdr:graphicFrame macro="">
      <xdr:nvGraphicFramePr>
        <xdr:cNvPr id="5" name="グラフ 4">
          <a:extLst>
            <a:ext uri="{FF2B5EF4-FFF2-40B4-BE49-F238E27FC236}">
              <a16:creationId xmlns:a16="http://schemas.microsoft.com/office/drawing/2014/main" id="{6DF0F82C-A298-47CA-94A1-9ADC9F6886D5}"/>
            </a:ext>
            <a:ext uri="{147F2762-F138-4A5C-976F-8EAC2B608ADB}">
              <a16:predDERef xmlns:a16="http://schemas.microsoft.com/office/drawing/2014/main" pred="{20EB4B61-CF4A-4CCD-9AAD-8B8AC926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26147</xdr:colOff>
      <xdr:row>10</xdr:row>
      <xdr:rowOff>112058</xdr:rowOff>
    </xdr:from>
    <xdr:to>
      <xdr:col>4</xdr:col>
      <xdr:colOff>126253</xdr:colOff>
      <xdr:row>11</xdr:row>
      <xdr:rowOff>123264</xdr:rowOff>
    </xdr:to>
    <xdr:sp macro="" textlink="">
      <xdr:nvSpPr>
        <xdr:cNvPr id="6" name="テキスト ボックス 5">
          <a:extLst>
            <a:ext uri="{FF2B5EF4-FFF2-40B4-BE49-F238E27FC236}">
              <a16:creationId xmlns:a16="http://schemas.microsoft.com/office/drawing/2014/main" id="{AF11EE62-C59F-4EAE-AB7F-21C82CB829E3}"/>
            </a:ext>
            <a:ext uri="{147F2762-F138-4A5C-976F-8EAC2B608ADB}">
              <a16:predDERef xmlns:a16="http://schemas.microsoft.com/office/drawing/2014/main" pred="{975C4859-6303-457F-B08F-45A8643BFF17}"/>
            </a:ext>
          </a:extLst>
        </xdr:cNvPr>
        <xdr:cNvSpPr txBox="1"/>
      </xdr:nvSpPr>
      <xdr:spPr>
        <a:xfrm>
          <a:off x="306817" y="3243878"/>
          <a:ext cx="910366" cy="316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266138</xdr:colOff>
      <xdr:row>10</xdr:row>
      <xdr:rowOff>115980</xdr:rowOff>
    </xdr:from>
    <xdr:to>
      <xdr:col>13</xdr:col>
      <xdr:colOff>235696</xdr:colOff>
      <xdr:row>11</xdr:row>
      <xdr:rowOff>107576</xdr:rowOff>
    </xdr:to>
    <xdr:sp macro="" textlink="">
      <xdr:nvSpPr>
        <xdr:cNvPr id="7" name="テキスト ボックス 6">
          <a:extLst>
            <a:ext uri="{FF2B5EF4-FFF2-40B4-BE49-F238E27FC236}">
              <a16:creationId xmlns:a16="http://schemas.microsoft.com/office/drawing/2014/main" id="{DCC9D816-995E-48A8-A0B3-3BB7E6ABFA4F}"/>
            </a:ext>
            <a:ext uri="{147F2762-F138-4A5C-976F-8EAC2B608ADB}">
              <a16:predDERef xmlns:a16="http://schemas.microsoft.com/office/drawing/2014/main" pred="{67487457-2CBE-4FE4-ADFC-D6D9929F6534}"/>
            </a:ext>
          </a:extLst>
        </xdr:cNvPr>
        <xdr:cNvSpPr txBox="1"/>
      </xdr:nvSpPr>
      <xdr:spPr>
        <a:xfrm>
          <a:off x="2735018" y="3247800"/>
          <a:ext cx="1073188" cy="296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27</xdr:col>
      <xdr:colOff>191062</xdr:colOff>
      <xdr:row>10</xdr:row>
      <xdr:rowOff>126585</xdr:rowOff>
    </xdr:from>
    <xdr:to>
      <xdr:col>34</xdr:col>
      <xdr:colOff>18463</xdr:colOff>
      <xdr:row>11</xdr:row>
      <xdr:rowOff>221980</xdr:rowOff>
    </xdr:to>
    <xdr:sp macro="" textlink="">
      <xdr:nvSpPr>
        <xdr:cNvPr id="8" name="テキスト ボックス 7">
          <a:extLst>
            <a:ext uri="{FF2B5EF4-FFF2-40B4-BE49-F238E27FC236}">
              <a16:creationId xmlns:a16="http://schemas.microsoft.com/office/drawing/2014/main" id="{D3B32201-AEAF-4099-B532-74CF7A050229}"/>
            </a:ext>
            <a:ext uri="{147F2762-F138-4A5C-976F-8EAC2B608ADB}">
              <a16:predDERef xmlns:a16="http://schemas.microsoft.com/office/drawing/2014/main" pred="{7013EABA-EB16-4B4E-8AE0-9FAC0B6855F6}"/>
            </a:ext>
          </a:extLst>
        </xdr:cNvPr>
        <xdr:cNvSpPr txBox="1"/>
      </xdr:nvSpPr>
      <xdr:spPr>
        <a:xfrm>
          <a:off x="7582462" y="3252055"/>
          <a:ext cx="1740021" cy="400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33</xdr:col>
      <xdr:colOff>45461</xdr:colOff>
      <xdr:row>10</xdr:row>
      <xdr:rowOff>143932</xdr:rowOff>
    </xdr:from>
    <xdr:to>
      <xdr:col>37</xdr:col>
      <xdr:colOff>188259</xdr:colOff>
      <xdr:row>11</xdr:row>
      <xdr:rowOff>134471</xdr:rowOff>
    </xdr:to>
    <xdr:sp macro="" textlink="">
      <xdr:nvSpPr>
        <xdr:cNvPr id="9" name="テキスト ボックス 8">
          <a:extLst>
            <a:ext uri="{FF2B5EF4-FFF2-40B4-BE49-F238E27FC236}">
              <a16:creationId xmlns:a16="http://schemas.microsoft.com/office/drawing/2014/main" id="{E0139015-66D9-46D9-8E9F-713EDF6A3038}"/>
            </a:ext>
            <a:ext uri="{147F2762-F138-4A5C-976F-8EAC2B608ADB}">
              <a16:predDERef xmlns:a16="http://schemas.microsoft.com/office/drawing/2014/main" pred="{C9114BED-C367-4D2F-AA27-A9BF58223572}"/>
            </a:ext>
          </a:extLst>
        </xdr:cNvPr>
        <xdr:cNvSpPr txBox="1"/>
      </xdr:nvSpPr>
      <xdr:spPr>
        <a:xfrm>
          <a:off x="9081511" y="3269402"/>
          <a:ext cx="1233728" cy="301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38</xdr:col>
      <xdr:colOff>114580</xdr:colOff>
      <xdr:row>10</xdr:row>
      <xdr:rowOff>145304</xdr:rowOff>
    </xdr:from>
    <xdr:to>
      <xdr:col>41</xdr:col>
      <xdr:colOff>197222</xdr:colOff>
      <xdr:row>11</xdr:row>
      <xdr:rowOff>125507</xdr:rowOff>
    </xdr:to>
    <xdr:sp macro="" textlink="">
      <xdr:nvSpPr>
        <xdr:cNvPr id="10" name="テキスト ボックス 9">
          <a:extLst>
            <a:ext uri="{FF2B5EF4-FFF2-40B4-BE49-F238E27FC236}">
              <a16:creationId xmlns:a16="http://schemas.microsoft.com/office/drawing/2014/main" id="{E4BD0281-1DF6-49F2-AE33-1FC950B89A54}"/>
            </a:ext>
            <a:ext uri="{147F2762-F138-4A5C-976F-8EAC2B608ADB}">
              <a16:predDERef xmlns:a16="http://schemas.microsoft.com/office/drawing/2014/main" pred="{1807A592-6785-47BD-8EF4-3C3911BE7E9C}"/>
            </a:ext>
          </a:extLst>
        </xdr:cNvPr>
        <xdr:cNvSpPr txBox="1"/>
      </xdr:nvSpPr>
      <xdr:spPr>
        <a:xfrm>
          <a:off x="10515880" y="3277124"/>
          <a:ext cx="905602" cy="285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29</xdr:col>
      <xdr:colOff>104964</xdr:colOff>
      <xdr:row>29</xdr:row>
      <xdr:rowOff>180189</xdr:rowOff>
    </xdr:from>
    <xdr:to>
      <xdr:col>32</xdr:col>
      <xdr:colOff>69104</xdr:colOff>
      <xdr:row>29</xdr:row>
      <xdr:rowOff>412379</xdr:rowOff>
    </xdr:to>
    <xdr:sp macro="" textlink="">
      <xdr:nvSpPr>
        <xdr:cNvPr id="11" name="テキスト ボックス 10">
          <a:extLst>
            <a:ext uri="{FF2B5EF4-FFF2-40B4-BE49-F238E27FC236}">
              <a16:creationId xmlns:a16="http://schemas.microsoft.com/office/drawing/2014/main" id="{CE0545DF-54FD-4EF0-B2B3-4B7DA2760743}"/>
            </a:ext>
            <a:ext uri="{147F2762-F138-4A5C-976F-8EAC2B608ADB}">
              <a16:predDERef xmlns:a16="http://schemas.microsoft.com/office/drawing/2014/main" pred="{55B1A303-08AD-4CB2-A29A-48F5F0398DB1}"/>
            </a:ext>
          </a:extLst>
        </xdr:cNvPr>
        <xdr:cNvSpPr txBox="1"/>
      </xdr:nvSpPr>
      <xdr:spPr>
        <a:xfrm>
          <a:off x="8031034" y="8242149"/>
          <a:ext cx="787100"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32</xdr:col>
      <xdr:colOff>259977</xdr:colOff>
      <xdr:row>29</xdr:row>
      <xdr:rowOff>94813</xdr:rowOff>
    </xdr:from>
    <xdr:to>
      <xdr:col>37</xdr:col>
      <xdr:colOff>181633</xdr:colOff>
      <xdr:row>30</xdr:row>
      <xdr:rowOff>0</xdr:rowOff>
    </xdr:to>
    <xdr:sp macro="" textlink="">
      <xdr:nvSpPr>
        <xdr:cNvPr id="12" name="テキスト ボックス 11">
          <a:extLst>
            <a:ext uri="{FF2B5EF4-FFF2-40B4-BE49-F238E27FC236}">
              <a16:creationId xmlns:a16="http://schemas.microsoft.com/office/drawing/2014/main" id="{8FC50B18-A336-4EAD-A90E-B87E9D7B62E6}"/>
            </a:ext>
            <a:ext uri="{147F2762-F138-4A5C-976F-8EAC2B608ADB}">
              <a16:predDERef xmlns:a16="http://schemas.microsoft.com/office/drawing/2014/main" pred="{7EF74874-6FF6-4369-97B7-C6C8CC5C1E6E}"/>
            </a:ext>
          </a:extLst>
        </xdr:cNvPr>
        <xdr:cNvSpPr txBox="1"/>
      </xdr:nvSpPr>
      <xdr:spPr>
        <a:xfrm>
          <a:off x="9015357" y="8156773"/>
          <a:ext cx="1293256" cy="354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37</xdr:col>
      <xdr:colOff>259975</xdr:colOff>
      <xdr:row>29</xdr:row>
      <xdr:rowOff>93570</xdr:rowOff>
    </xdr:from>
    <xdr:to>
      <xdr:col>41</xdr:col>
      <xdr:colOff>240828</xdr:colOff>
      <xdr:row>29</xdr:row>
      <xdr:rowOff>409763</xdr:rowOff>
    </xdr:to>
    <xdr:sp macro="" textlink="">
      <xdr:nvSpPr>
        <xdr:cNvPr id="13" name="テキスト ボックス 12">
          <a:extLst>
            <a:ext uri="{FF2B5EF4-FFF2-40B4-BE49-F238E27FC236}">
              <a16:creationId xmlns:a16="http://schemas.microsoft.com/office/drawing/2014/main" id="{569A94C5-5DE6-4C42-B6D2-9115A8CA7C85}"/>
            </a:ext>
            <a:ext uri="{147F2762-F138-4A5C-976F-8EAC2B608ADB}">
              <a16:predDERef xmlns:a16="http://schemas.microsoft.com/office/drawing/2014/main" pred="{4B0AD646-DCCB-4E62-A3CB-BF0957D8EF70}"/>
            </a:ext>
          </a:extLst>
        </xdr:cNvPr>
        <xdr:cNvSpPr txBox="1"/>
      </xdr:nvSpPr>
      <xdr:spPr>
        <a:xfrm>
          <a:off x="10386955" y="8155530"/>
          <a:ext cx="1078133"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4</xdr:col>
      <xdr:colOff>171451</xdr:colOff>
      <xdr:row>10</xdr:row>
      <xdr:rowOff>115420</xdr:rowOff>
    </xdr:from>
    <xdr:to>
      <xdr:col>9</xdr:col>
      <xdr:colOff>233083</xdr:colOff>
      <xdr:row>11</xdr:row>
      <xdr:rowOff>170329</xdr:rowOff>
    </xdr:to>
    <xdr:sp macro="" textlink="">
      <xdr:nvSpPr>
        <xdr:cNvPr id="14" name="テキスト ボックス 13">
          <a:extLst>
            <a:ext uri="{FF2B5EF4-FFF2-40B4-BE49-F238E27FC236}">
              <a16:creationId xmlns:a16="http://schemas.microsoft.com/office/drawing/2014/main" id="{FCBB4BB2-6EF2-4801-B244-62AF0C2D2280}"/>
            </a:ext>
            <a:ext uri="{147F2762-F138-4A5C-976F-8EAC2B608ADB}">
              <a16:predDERef xmlns:a16="http://schemas.microsoft.com/office/drawing/2014/main" pred="{44FB23F9-AC34-444F-B839-A87599090AF1}"/>
            </a:ext>
          </a:extLst>
        </xdr:cNvPr>
        <xdr:cNvSpPr txBox="1"/>
      </xdr:nvSpPr>
      <xdr:spPr>
        <a:xfrm>
          <a:off x="1268731" y="3247240"/>
          <a:ext cx="1433232" cy="359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050" b="0" i="0" u="none" strike="noStrike" baseline="0">
            <a:solidFill>
              <a:schemeClr val="tx1"/>
            </a:solidFill>
            <a:latin typeface="メイリオ"/>
            <a:ea typeface="メイリオ"/>
            <a:cs typeface="メイリオ"/>
          </a:endParaRPr>
        </a:p>
      </xdr:txBody>
    </xdr:sp>
    <xdr:clientData/>
  </xdr:twoCellAnchor>
  <xdr:twoCellAnchor>
    <xdr:from>
      <xdr:col>0</xdr:col>
      <xdr:colOff>221929</xdr:colOff>
      <xdr:row>12</xdr:row>
      <xdr:rowOff>8552</xdr:rowOff>
    </xdr:from>
    <xdr:to>
      <xdr:col>7</xdr:col>
      <xdr:colOff>137927</xdr:colOff>
      <xdr:row>17</xdr:row>
      <xdr:rowOff>107576</xdr:rowOff>
    </xdr:to>
    <xdr:sp macro="" textlink="">
      <xdr:nvSpPr>
        <xdr:cNvPr id="15" name="四角形: 角を丸くする 14">
          <a:extLst>
            <a:ext uri="{FF2B5EF4-FFF2-40B4-BE49-F238E27FC236}">
              <a16:creationId xmlns:a16="http://schemas.microsoft.com/office/drawing/2014/main" id="{AC2DFEED-67EA-4009-B885-ABB3F5CF535C}"/>
            </a:ext>
          </a:extLst>
        </xdr:cNvPr>
        <xdr:cNvSpPr/>
      </xdr:nvSpPr>
      <xdr:spPr>
        <a:xfrm>
          <a:off x="221929" y="3749972"/>
          <a:ext cx="1836238" cy="1135344"/>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257362</xdr:colOff>
      <xdr:row>12</xdr:row>
      <xdr:rowOff>79150</xdr:rowOff>
    </xdr:from>
    <xdr:to>
      <xdr:col>6</xdr:col>
      <xdr:colOff>94353</xdr:colOff>
      <xdr:row>17</xdr:row>
      <xdr:rowOff>85287</xdr:rowOff>
    </xdr:to>
    <xdr:sp macro="" textlink="">
      <xdr:nvSpPr>
        <xdr:cNvPr id="16" name="テキスト ボックス 15">
          <a:extLst>
            <a:ext uri="{FF2B5EF4-FFF2-40B4-BE49-F238E27FC236}">
              <a16:creationId xmlns:a16="http://schemas.microsoft.com/office/drawing/2014/main" id="{EB2C801F-557B-4EDA-851A-94AD5CDD10A7}"/>
            </a:ext>
          </a:extLst>
        </xdr:cNvPr>
        <xdr:cNvSpPr txBox="1"/>
      </xdr:nvSpPr>
      <xdr:spPr>
        <a:xfrm>
          <a:off x="251012" y="3820570"/>
          <a:ext cx="1489261" cy="1042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197982</xdr:colOff>
      <xdr:row>13</xdr:row>
      <xdr:rowOff>6985</xdr:rowOff>
    </xdr:from>
    <xdr:to>
      <xdr:col>7</xdr:col>
      <xdr:colOff>141917</xdr:colOff>
      <xdr:row>14</xdr:row>
      <xdr:rowOff>142644</xdr:rowOff>
    </xdr:to>
    <xdr:sp macro="" textlink="LED計算式!D60">
      <xdr:nvSpPr>
        <xdr:cNvPr id="17" name="テキスト ボックス 16">
          <a:extLst>
            <a:ext uri="{FF2B5EF4-FFF2-40B4-BE49-F238E27FC236}">
              <a16:creationId xmlns:a16="http://schemas.microsoft.com/office/drawing/2014/main" id="{C2776426-AF2B-4BDF-8BF9-5B30097C770D}"/>
            </a:ext>
          </a:extLst>
        </xdr:cNvPr>
        <xdr:cNvSpPr txBox="1"/>
      </xdr:nvSpPr>
      <xdr:spPr>
        <a:xfrm>
          <a:off x="1301612" y="3949337"/>
          <a:ext cx="766895" cy="360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82C0741-D42B-4072-86E5-C26870090747}"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211158</xdr:colOff>
      <xdr:row>15</xdr:row>
      <xdr:rowOff>97205</xdr:rowOff>
    </xdr:from>
    <xdr:to>
      <xdr:col>7</xdr:col>
      <xdr:colOff>155176</xdr:colOff>
      <xdr:row>17</xdr:row>
      <xdr:rowOff>27763</xdr:rowOff>
    </xdr:to>
    <xdr:sp macro="" textlink="LED計算式!E60">
      <xdr:nvSpPr>
        <xdr:cNvPr id="18" name="テキスト ボックス 17">
          <a:extLst>
            <a:ext uri="{FF2B5EF4-FFF2-40B4-BE49-F238E27FC236}">
              <a16:creationId xmlns:a16="http://schemas.microsoft.com/office/drawing/2014/main" id="{9AF23DF2-D001-46E8-84FB-D68C3BE8F9D8}"/>
            </a:ext>
          </a:extLst>
        </xdr:cNvPr>
        <xdr:cNvSpPr txBox="1"/>
      </xdr:nvSpPr>
      <xdr:spPr>
        <a:xfrm>
          <a:off x="1034118" y="4463465"/>
          <a:ext cx="1041298" cy="348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3117A8A7-AA4A-42F8-89AD-451ABDBC18E0}"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200778</xdr:colOff>
      <xdr:row>11</xdr:row>
      <xdr:rowOff>304799</xdr:rowOff>
    </xdr:from>
    <xdr:to>
      <xdr:col>35</xdr:col>
      <xdr:colOff>89648</xdr:colOff>
      <xdr:row>17</xdr:row>
      <xdr:rowOff>116541</xdr:rowOff>
    </xdr:to>
    <xdr:sp macro="" textlink="">
      <xdr:nvSpPr>
        <xdr:cNvPr id="19" name="四角形: 角を丸くする 18">
          <a:extLst>
            <a:ext uri="{FF2B5EF4-FFF2-40B4-BE49-F238E27FC236}">
              <a16:creationId xmlns:a16="http://schemas.microsoft.com/office/drawing/2014/main" id="{7DBC9825-8AA4-4A90-B9D9-399B2EF47054}"/>
            </a:ext>
          </a:extLst>
        </xdr:cNvPr>
        <xdr:cNvSpPr/>
      </xdr:nvSpPr>
      <xdr:spPr>
        <a:xfrm>
          <a:off x="7858878" y="3741419"/>
          <a:ext cx="1809110" cy="1152862"/>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217766</xdr:colOff>
      <xdr:row>12</xdr:row>
      <xdr:rowOff>66291</xdr:rowOff>
    </xdr:from>
    <xdr:to>
      <xdr:col>34</xdr:col>
      <xdr:colOff>168880</xdr:colOff>
      <xdr:row>17</xdr:row>
      <xdr:rowOff>87033</xdr:rowOff>
    </xdr:to>
    <xdr:sp macro="" textlink="">
      <xdr:nvSpPr>
        <xdr:cNvPr id="20" name="テキスト ボックス 19">
          <a:extLst>
            <a:ext uri="{FF2B5EF4-FFF2-40B4-BE49-F238E27FC236}">
              <a16:creationId xmlns:a16="http://schemas.microsoft.com/office/drawing/2014/main" id="{FB99A469-C798-40F6-9217-B92BB7661B38}"/>
            </a:ext>
          </a:extLst>
        </xdr:cNvPr>
        <xdr:cNvSpPr txBox="1"/>
      </xdr:nvSpPr>
      <xdr:spPr>
        <a:xfrm>
          <a:off x="7882216" y="3814061"/>
          <a:ext cx="1590684" cy="1044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143436</xdr:colOff>
      <xdr:row>13</xdr:row>
      <xdr:rowOff>19973</xdr:rowOff>
    </xdr:from>
    <xdr:to>
      <xdr:col>35</xdr:col>
      <xdr:colOff>88566</xdr:colOff>
      <xdr:row>14</xdr:row>
      <xdr:rowOff>170330</xdr:rowOff>
    </xdr:to>
    <xdr:sp macro="" textlink="LED計算式!I60">
      <xdr:nvSpPr>
        <xdr:cNvPr id="21" name="テキスト ボックス 20">
          <a:extLst>
            <a:ext uri="{FF2B5EF4-FFF2-40B4-BE49-F238E27FC236}">
              <a16:creationId xmlns:a16="http://schemas.microsoft.com/office/drawing/2014/main" id="{B88758D8-4878-404E-BFFB-5D685B1EDFE5}"/>
            </a:ext>
          </a:extLst>
        </xdr:cNvPr>
        <xdr:cNvSpPr txBox="1"/>
      </xdr:nvSpPr>
      <xdr:spPr>
        <a:xfrm>
          <a:off x="8898816" y="3974753"/>
          <a:ext cx="768090" cy="356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B0630DB-541C-420D-966C-89EDADDCCFA0}"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152399</xdr:colOff>
      <xdr:row>15</xdr:row>
      <xdr:rowOff>125928</xdr:rowOff>
    </xdr:from>
    <xdr:to>
      <xdr:col>35</xdr:col>
      <xdr:colOff>98089</xdr:colOff>
      <xdr:row>17</xdr:row>
      <xdr:rowOff>47437</xdr:rowOff>
    </xdr:to>
    <xdr:sp macro="" textlink="LED計算式!J60">
      <xdr:nvSpPr>
        <xdr:cNvPr id="22" name="テキスト ボックス 21">
          <a:extLst>
            <a:ext uri="{FF2B5EF4-FFF2-40B4-BE49-F238E27FC236}">
              <a16:creationId xmlns:a16="http://schemas.microsoft.com/office/drawing/2014/main" id="{F55213F0-E89C-4D88-9D2B-EE4B9A2ED998}"/>
            </a:ext>
          </a:extLst>
        </xdr:cNvPr>
        <xdr:cNvSpPr txBox="1"/>
      </xdr:nvSpPr>
      <xdr:spPr>
        <a:xfrm>
          <a:off x="8633459" y="4485838"/>
          <a:ext cx="1042970" cy="345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42F1876-A790-494A-B50C-156658763D17}"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173884</xdr:colOff>
      <xdr:row>30</xdr:row>
      <xdr:rowOff>80682</xdr:rowOff>
    </xdr:from>
    <xdr:to>
      <xdr:col>35</xdr:col>
      <xdr:colOff>89648</xdr:colOff>
      <xdr:row>35</xdr:row>
      <xdr:rowOff>125507</xdr:rowOff>
    </xdr:to>
    <xdr:sp macro="" textlink="">
      <xdr:nvSpPr>
        <xdr:cNvPr id="23" name="四角形: 角を丸くする 22">
          <a:extLst>
            <a:ext uri="{FF2B5EF4-FFF2-40B4-BE49-F238E27FC236}">
              <a16:creationId xmlns:a16="http://schemas.microsoft.com/office/drawing/2014/main" id="{29133BCF-7AFC-480B-A3F4-205752397056}"/>
            </a:ext>
          </a:extLst>
        </xdr:cNvPr>
        <xdr:cNvSpPr/>
      </xdr:nvSpPr>
      <xdr:spPr>
        <a:xfrm>
          <a:off x="7831984" y="8592222"/>
          <a:ext cx="1836004" cy="1111625"/>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179293</xdr:colOff>
      <xdr:row>30</xdr:row>
      <xdr:rowOff>153322</xdr:rowOff>
    </xdr:from>
    <xdr:to>
      <xdr:col>34</xdr:col>
      <xdr:colOff>124057</xdr:colOff>
      <xdr:row>35</xdr:row>
      <xdr:rowOff>125506</xdr:rowOff>
    </xdr:to>
    <xdr:sp macro="" textlink="">
      <xdr:nvSpPr>
        <xdr:cNvPr id="24" name="テキスト ボックス 23">
          <a:extLst>
            <a:ext uri="{FF2B5EF4-FFF2-40B4-BE49-F238E27FC236}">
              <a16:creationId xmlns:a16="http://schemas.microsoft.com/office/drawing/2014/main" id="{50451AE0-CF8F-4063-87DC-9C8EB184062A}"/>
            </a:ext>
          </a:extLst>
        </xdr:cNvPr>
        <xdr:cNvSpPr txBox="1"/>
      </xdr:nvSpPr>
      <xdr:spPr>
        <a:xfrm>
          <a:off x="7837393" y="8664862"/>
          <a:ext cx="1590684" cy="1038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152401</xdr:colOff>
      <xdr:row>31</xdr:row>
      <xdr:rowOff>107004</xdr:rowOff>
    </xdr:from>
    <xdr:to>
      <xdr:col>35</xdr:col>
      <xdr:colOff>97531</xdr:colOff>
      <xdr:row>33</xdr:row>
      <xdr:rowOff>26893</xdr:rowOff>
    </xdr:to>
    <xdr:sp macro="" textlink="LED計算式!S60">
      <xdr:nvSpPr>
        <xdr:cNvPr id="25" name="テキスト ボックス 24">
          <a:extLst>
            <a:ext uri="{FF2B5EF4-FFF2-40B4-BE49-F238E27FC236}">
              <a16:creationId xmlns:a16="http://schemas.microsoft.com/office/drawing/2014/main" id="{768A67DF-E793-4905-8BFE-19554A335755}"/>
            </a:ext>
          </a:extLst>
        </xdr:cNvPr>
        <xdr:cNvSpPr txBox="1"/>
      </xdr:nvSpPr>
      <xdr:spPr>
        <a:xfrm>
          <a:off x="8907781" y="8825554"/>
          <a:ext cx="768090" cy="352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7118E9D-0E2E-44DD-9062-C58AA03E3E7C}"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152400</xdr:colOff>
      <xdr:row>33</xdr:row>
      <xdr:rowOff>164400</xdr:rowOff>
    </xdr:from>
    <xdr:to>
      <xdr:col>35</xdr:col>
      <xdr:colOff>98090</xdr:colOff>
      <xdr:row>35</xdr:row>
      <xdr:rowOff>87031</xdr:rowOff>
    </xdr:to>
    <xdr:sp macro="" textlink="LED計算式!T60">
      <xdr:nvSpPr>
        <xdr:cNvPr id="26" name="テキスト ボックス 25">
          <a:extLst>
            <a:ext uri="{FF2B5EF4-FFF2-40B4-BE49-F238E27FC236}">
              <a16:creationId xmlns:a16="http://schemas.microsoft.com/office/drawing/2014/main" id="{8D79E34E-F391-4CF4-B98D-24B1A9B5F260}"/>
            </a:ext>
          </a:extLst>
        </xdr:cNvPr>
        <xdr:cNvSpPr txBox="1"/>
      </xdr:nvSpPr>
      <xdr:spPr>
        <a:xfrm>
          <a:off x="8633460" y="9316020"/>
          <a:ext cx="1042970" cy="343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856A74A-B2E0-4D38-8590-9B99F6D9F8F9}" type="TxLink">
            <a:rPr kumimoji="1" lang="en-US" altLang="en-US" sz="1100" b="1" i="0" u="none" strike="noStrike" baseline="0">
              <a:solidFill>
                <a:srgbClr val="FF0000"/>
              </a:solidFill>
              <a:latin typeface="メイリオ"/>
              <a:ea typeface="メイリオ"/>
            </a:rPr>
            <a:pPr algn="r"/>
            <a:t>0 円</a:t>
          </a:fld>
          <a:endParaRPr kumimoji="1" lang="en-US" altLang="en-US" sz="1100" b="1" i="0" u="none" strike="noStrike" baseline="0">
            <a:solidFill>
              <a:srgbClr val="FF0000"/>
            </a:solidFill>
            <a:latin typeface="メイリオ"/>
            <a:ea typeface="メイリオ"/>
          </a:endParaRPr>
        </a:p>
      </xdr:txBody>
    </xdr:sp>
    <xdr:clientData/>
  </xdr:twoCellAnchor>
  <xdr:twoCellAnchor editAs="absolute">
    <xdr:from>
      <xdr:col>1</xdr:col>
      <xdr:colOff>65367</xdr:colOff>
      <xdr:row>29</xdr:row>
      <xdr:rowOff>58481</xdr:rowOff>
    </xdr:from>
    <xdr:to>
      <xdr:col>4</xdr:col>
      <xdr:colOff>35857</xdr:colOff>
      <xdr:row>29</xdr:row>
      <xdr:rowOff>297021</xdr:rowOff>
    </xdr:to>
    <xdr:sp macro="" textlink="">
      <xdr:nvSpPr>
        <xdr:cNvPr id="27" name="テキスト ボックス 26">
          <a:extLst>
            <a:ext uri="{FF2B5EF4-FFF2-40B4-BE49-F238E27FC236}">
              <a16:creationId xmlns:a16="http://schemas.microsoft.com/office/drawing/2014/main" id="{79D75208-7EAE-4EF7-A2A2-81513BD142FC}"/>
            </a:ext>
            <a:ext uri="{147F2762-F138-4A5C-976F-8EAC2B608ADB}">
              <a16:predDERef xmlns:a16="http://schemas.microsoft.com/office/drawing/2014/main" pred="{55B1A303-08AD-4CB2-A29A-48F5F0398DB1}"/>
            </a:ext>
          </a:extLst>
        </xdr:cNvPr>
        <xdr:cNvSpPr txBox="1"/>
      </xdr:nvSpPr>
      <xdr:spPr>
        <a:xfrm>
          <a:off x="346037" y="8120441"/>
          <a:ext cx="787100"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4</xdr:col>
      <xdr:colOff>221503</xdr:colOff>
      <xdr:row>28</xdr:row>
      <xdr:rowOff>286873</xdr:rowOff>
    </xdr:from>
    <xdr:to>
      <xdr:col>9</xdr:col>
      <xdr:colOff>143160</xdr:colOff>
      <xdr:row>29</xdr:row>
      <xdr:rowOff>335496</xdr:rowOff>
    </xdr:to>
    <xdr:sp macro="" textlink="">
      <xdr:nvSpPr>
        <xdr:cNvPr id="28" name="テキスト ボックス 27">
          <a:extLst>
            <a:ext uri="{FF2B5EF4-FFF2-40B4-BE49-F238E27FC236}">
              <a16:creationId xmlns:a16="http://schemas.microsoft.com/office/drawing/2014/main" id="{8A162A0C-3378-4D95-9B4C-82C822EC923D}"/>
            </a:ext>
            <a:ext uri="{147F2762-F138-4A5C-976F-8EAC2B608ADB}">
              <a16:predDERef xmlns:a16="http://schemas.microsoft.com/office/drawing/2014/main" pred="{7EF74874-6FF6-4369-97B7-C6C8CC5C1E6E}"/>
            </a:ext>
          </a:extLst>
        </xdr:cNvPr>
        <xdr:cNvSpPr txBox="1"/>
      </xdr:nvSpPr>
      <xdr:spPr>
        <a:xfrm>
          <a:off x="1312433" y="8044033"/>
          <a:ext cx="1293257"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1679</xdr:colOff>
      <xdr:row>28</xdr:row>
      <xdr:rowOff>294593</xdr:rowOff>
    </xdr:from>
    <xdr:to>
      <xdr:col>13</xdr:col>
      <xdr:colOff>258757</xdr:colOff>
      <xdr:row>29</xdr:row>
      <xdr:rowOff>293286</xdr:rowOff>
    </xdr:to>
    <xdr:sp macro="" textlink="">
      <xdr:nvSpPr>
        <xdr:cNvPr id="29" name="テキスト ボックス 28">
          <a:extLst>
            <a:ext uri="{FF2B5EF4-FFF2-40B4-BE49-F238E27FC236}">
              <a16:creationId xmlns:a16="http://schemas.microsoft.com/office/drawing/2014/main" id="{E7D446D4-9500-4A2D-90CC-43E2E54E1450}"/>
            </a:ext>
            <a:ext uri="{147F2762-F138-4A5C-976F-8EAC2B608ADB}">
              <a16:predDERef xmlns:a16="http://schemas.microsoft.com/office/drawing/2014/main" pred="{4B0AD646-DCCB-4E62-A3CB-BF0957D8EF70}"/>
            </a:ext>
          </a:extLst>
        </xdr:cNvPr>
        <xdr:cNvSpPr txBox="1"/>
      </xdr:nvSpPr>
      <xdr:spPr>
        <a:xfrm>
          <a:off x="2746784" y="8051753"/>
          <a:ext cx="1078133"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0</xdr:col>
      <xdr:colOff>191815</xdr:colOff>
      <xdr:row>30</xdr:row>
      <xdr:rowOff>44823</xdr:rowOff>
    </xdr:from>
    <xdr:to>
      <xdr:col>7</xdr:col>
      <xdr:colOff>107578</xdr:colOff>
      <xdr:row>35</xdr:row>
      <xdr:rowOff>98611</xdr:rowOff>
    </xdr:to>
    <xdr:sp macro="" textlink="">
      <xdr:nvSpPr>
        <xdr:cNvPr id="30" name="四角形: 角を丸くする 29">
          <a:extLst>
            <a:ext uri="{FF2B5EF4-FFF2-40B4-BE49-F238E27FC236}">
              <a16:creationId xmlns:a16="http://schemas.microsoft.com/office/drawing/2014/main" id="{CB0DB8E8-B16E-48AF-AF4D-EB056A542176}"/>
            </a:ext>
          </a:extLst>
        </xdr:cNvPr>
        <xdr:cNvSpPr/>
      </xdr:nvSpPr>
      <xdr:spPr>
        <a:xfrm>
          <a:off x="191815" y="8556363"/>
          <a:ext cx="1836003" cy="1120588"/>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199838</xdr:colOff>
      <xdr:row>30</xdr:row>
      <xdr:rowOff>135394</xdr:rowOff>
    </xdr:from>
    <xdr:to>
      <xdr:col>6</xdr:col>
      <xdr:colOff>150952</xdr:colOff>
      <xdr:row>35</xdr:row>
      <xdr:rowOff>107578</xdr:rowOff>
    </xdr:to>
    <xdr:sp macro="" textlink="">
      <xdr:nvSpPr>
        <xdr:cNvPr id="31" name="テキスト ボックス 30">
          <a:extLst>
            <a:ext uri="{FF2B5EF4-FFF2-40B4-BE49-F238E27FC236}">
              <a16:creationId xmlns:a16="http://schemas.microsoft.com/office/drawing/2014/main" id="{978E6871-B566-407A-B50D-3A194B0723D8}"/>
            </a:ext>
          </a:extLst>
        </xdr:cNvPr>
        <xdr:cNvSpPr txBox="1"/>
      </xdr:nvSpPr>
      <xdr:spPr>
        <a:xfrm>
          <a:off x="206188" y="8646934"/>
          <a:ext cx="1590684" cy="1038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179296</xdr:colOff>
      <xdr:row>31</xdr:row>
      <xdr:rowOff>73761</xdr:rowOff>
    </xdr:from>
    <xdr:to>
      <xdr:col>7</xdr:col>
      <xdr:colOff>124427</xdr:colOff>
      <xdr:row>33</xdr:row>
      <xdr:rowOff>0</xdr:rowOff>
    </xdr:to>
    <xdr:sp macro="" textlink="LED計算式!N60">
      <xdr:nvSpPr>
        <xdr:cNvPr id="32" name="テキスト ボックス 31">
          <a:extLst>
            <a:ext uri="{FF2B5EF4-FFF2-40B4-BE49-F238E27FC236}">
              <a16:creationId xmlns:a16="http://schemas.microsoft.com/office/drawing/2014/main" id="{C8619817-48D1-4747-B37A-189CC6EEC120}"/>
            </a:ext>
          </a:extLst>
        </xdr:cNvPr>
        <xdr:cNvSpPr txBox="1"/>
      </xdr:nvSpPr>
      <xdr:spPr>
        <a:xfrm>
          <a:off x="1276576" y="8798661"/>
          <a:ext cx="768091" cy="352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5052A955-D462-4003-97CF-67C112608504}"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179294</xdr:colOff>
      <xdr:row>33</xdr:row>
      <xdr:rowOff>143857</xdr:rowOff>
    </xdr:from>
    <xdr:to>
      <xdr:col>7</xdr:col>
      <xdr:colOff>124985</xdr:colOff>
      <xdr:row>35</xdr:row>
      <xdr:rowOff>47438</xdr:rowOff>
    </xdr:to>
    <xdr:sp macro="" textlink="LED計算式!O60">
      <xdr:nvSpPr>
        <xdr:cNvPr id="33" name="テキスト ボックス 32">
          <a:extLst>
            <a:ext uri="{FF2B5EF4-FFF2-40B4-BE49-F238E27FC236}">
              <a16:creationId xmlns:a16="http://schemas.microsoft.com/office/drawing/2014/main" id="{202A0E6B-D140-490A-9895-80809E512C22}"/>
            </a:ext>
          </a:extLst>
        </xdr:cNvPr>
        <xdr:cNvSpPr txBox="1"/>
      </xdr:nvSpPr>
      <xdr:spPr>
        <a:xfrm>
          <a:off x="1002254" y="9289127"/>
          <a:ext cx="1042971" cy="343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5964CCC-C706-4052-9A7A-7D9A3162D618}" type="TxLink">
            <a:rPr kumimoji="1" lang="en-US" altLang="en-US" sz="1100" b="1" i="0" u="none" strike="noStrike" baseline="0">
              <a:solidFill>
                <a:srgbClr val="FF0000"/>
              </a:solidFill>
              <a:latin typeface="メイリオ"/>
              <a:ea typeface="メイリオ"/>
            </a:rPr>
            <a:pPr algn="r"/>
            <a:t>0 円</a:t>
          </a:fld>
          <a:endParaRPr kumimoji="1" lang="en-US" altLang="en-US" sz="1100" i="0" u="none" strike="noStrike" baseline="0">
            <a:latin typeface="メイリオ"/>
            <a:ea typeface="メイリオ"/>
          </a:endParaRPr>
        </a:p>
      </xdr:txBody>
    </xdr:sp>
    <xdr:clientData/>
  </xdr:twoCellAnchor>
  <xdr:twoCellAnchor>
    <xdr:from>
      <xdr:col>15</xdr:col>
      <xdr:colOff>71719</xdr:colOff>
      <xdr:row>4</xdr:row>
      <xdr:rowOff>95391</xdr:rowOff>
    </xdr:from>
    <xdr:to>
      <xdr:col>26</xdr:col>
      <xdr:colOff>226499</xdr:colOff>
      <xdr:row>11</xdr:row>
      <xdr:rowOff>224117</xdr:rowOff>
    </xdr:to>
    <xdr:graphicFrame macro="">
      <xdr:nvGraphicFramePr>
        <xdr:cNvPr id="2" name="グラフ 50">
          <a:extLst>
            <a:ext uri="{FF2B5EF4-FFF2-40B4-BE49-F238E27FC236}">
              <a16:creationId xmlns:a16="http://schemas.microsoft.com/office/drawing/2014/main" id="{E00AEAC3-CD5E-4367-8DF9-B789A98C5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116541</xdr:colOff>
      <xdr:row>4</xdr:row>
      <xdr:rowOff>179294</xdr:rowOff>
    </xdr:from>
    <xdr:to>
      <xdr:col>14</xdr:col>
      <xdr:colOff>169767</xdr:colOff>
      <xdr:row>11</xdr:row>
      <xdr:rowOff>91420</xdr:rowOff>
    </xdr:to>
    <xdr:graphicFrame macro="">
      <xdr:nvGraphicFramePr>
        <xdr:cNvPr id="37" name="グラフ 36">
          <a:extLst>
            <a:ext uri="{FF2B5EF4-FFF2-40B4-BE49-F238E27FC236}">
              <a16:creationId xmlns:a16="http://schemas.microsoft.com/office/drawing/2014/main" id="{D2D170FA-AC84-4551-A47A-2A7FD705D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62753</xdr:colOff>
      <xdr:row>4</xdr:row>
      <xdr:rowOff>89647</xdr:rowOff>
    </xdr:from>
    <xdr:to>
      <xdr:col>54</xdr:col>
      <xdr:colOff>208568</xdr:colOff>
      <xdr:row>11</xdr:row>
      <xdr:rowOff>218373</xdr:rowOff>
    </xdr:to>
    <xdr:graphicFrame macro="">
      <xdr:nvGraphicFramePr>
        <xdr:cNvPr id="35" name="グラフ 50">
          <a:extLst>
            <a:ext uri="{FF2B5EF4-FFF2-40B4-BE49-F238E27FC236}">
              <a16:creationId xmlns:a16="http://schemas.microsoft.com/office/drawing/2014/main" id="{9CF575FA-F658-4B72-B5B1-B86CFBF43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71718</xdr:colOff>
      <xdr:row>22</xdr:row>
      <xdr:rowOff>98611</xdr:rowOff>
    </xdr:from>
    <xdr:to>
      <xdr:col>26</xdr:col>
      <xdr:colOff>226498</xdr:colOff>
      <xdr:row>29</xdr:row>
      <xdr:rowOff>227337</xdr:rowOff>
    </xdr:to>
    <xdr:graphicFrame macro="">
      <xdr:nvGraphicFramePr>
        <xdr:cNvPr id="36" name="グラフ 50">
          <a:extLst>
            <a:ext uri="{FF2B5EF4-FFF2-40B4-BE49-F238E27FC236}">
              <a16:creationId xmlns:a16="http://schemas.microsoft.com/office/drawing/2014/main" id="{97568D69-363A-4A38-8AFB-8D2817359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53787</xdr:colOff>
      <xdr:row>22</xdr:row>
      <xdr:rowOff>107576</xdr:rowOff>
    </xdr:from>
    <xdr:to>
      <xdr:col>54</xdr:col>
      <xdr:colOff>199602</xdr:colOff>
      <xdr:row>29</xdr:row>
      <xdr:rowOff>236302</xdr:rowOff>
    </xdr:to>
    <xdr:graphicFrame macro="">
      <xdr:nvGraphicFramePr>
        <xdr:cNvPr id="38" name="グラフ 50">
          <a:extLst>
            <a:ext uri="{FF2B5EF4-FFF2-40B4-BE49-F238E27FC236}">
              <a16:creationId xmlns:a16="http://schemas.microsoft.com/office/drawing/2014/main" id="{AD8DFE3C-830B-4453-803A-A05DEFC0E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editAs="oneCell">
    <xdr:from>
      <xdr:col>7</xdr:col>
      <xdr:colOff>199491</xdr:colOff>
      <xdr:row>8</xdr:row>
      <xdr:rowOff>19050</xdr:rowOff>
    </xdr:from>
    <xdr:to>
      <xdr:col>14</xdr:col>
      <xdr:colOff>639839</xdr:colOff>
      <xdr:row>17</xdr:row>
      <xdr:rowOff>189349</xdr:rowOff>
    </xdr:to>
    <xdr:pic>
      <xdr:nvPicPr>
        <xdr:cNvPr id="5" name="図 4">
          <a:extLst>
            <a:ext uri="{FF2B5EF4-FFF2-40B4-BE49-F238E27FC236}">
              <a16:creationId xmlns:a16="http://schemas.microsoft.com/office/drawing/2014/main" id="{1376833E-8985-4ADF-953E-875F0FD98D1A}"/>
            </a:ext>
          </a:extLst>
        </xdr:cNvPr>
        <xdr:cNvPicPr>
          <a:picLocks noChangeAspect="1"/>
        </xdr:cNvPicPr>
      </xdr:nvPicPr>
      <xdr:blipFill>
        <a:blip xmlns:r="http://schemas.openxmlformats.org/officeDocument/2006/relationships" r:embed="rId1"/>
        <a:stretch>
          <a:fillRect/>
        </a:stretch>
      </xdr:blipFill>
      <xdr:spPr>
        <a:xfrm>
          <a:off x="4257141" y="1803400"/>
          <a:ext cx="5063148" cy="2170549"/>
        </a:xfrm>
        <a:prstGeom prst="rect">
          <a:avLst/>
        </a:prstGeom>
      </xdr:spPr>
    </xdr:pic>
    <xdr:clientData/>
  </xdr:twoCellAnchor>
  <xdr:twoCellAnchor editAs="oneCell">
    <xdr:from>
      <xdr:col>7</xdr:col>
      <xdr:colOff>139701</xdr:colOff>
      <xdr:row>18</xdr:row>
      <xdr:rowOff>184150</xdr:rowOff>
    </xdr:from>
    <xdr:to>
      <xdr:col>14</xdr:col>
      <xdr:colOff>622300</xdr:colOff>
      <xdr:row>25</xdr:row>
      <xdr:rowOff>164459</xdr:rowOff>
    </xdr:to>
    <xdr:pic>
      <xdr:nvPicPr>
        <xdr:cNvPr id="8" name="図 7">
          <a:extLst>
            <a:ext uri="{FF2B5EF4-FFF2-40B4-BE49-F238E27FC236}">
              <a16:creationId xmlns:a16="http://schemas.microsoft.com/office/drawing/2014/main" id="{B9C28421-B33A-4CE2-8FDB-D18A357A6F1A}"/>
            </a:ext>
          </a:extLst>
        </xdr:cNvPr>
        <xdr:cNvPicPr>
          <a:picLocks noChangeAspect="1"/>
        </xdr:cNvPicPr>
      </xdr:nvPicPr>
      <xdr:blipFill>
        <a:blip xmlns:r="http://schemas.openxmlformats.org/officeDocument/2006/relationships" r:embed="rId2"/>
        <a:stretch>
          <a:fillRect/>
        </a:stretch>
      </xdr:blipFill>
      <xdr:spPr>
        <a:xfrm>
          <a:off x="4197351" y="4191000"/>
          <a:ext cx="5105399" cy="1536059"/>
        </a:xfrm>
        <a:prstGeom prst="rect">
          <a:avLst/>
        </a:prstGeom>
      </xdr:spPr>
    </xdr:pic>
    <xdr:clientData/>
  </xdr:twoCellAnchor>
  <xdr:twoCellAnchor editAs="oneCell">
    <xdr:from>
      <xdr:col>0</xdr:col>
      <xdr:colOff>114300</xdr:colOff>
      <xdr:row>2</xdr:row>
      <xdr:rowOff>28890</xdr:rowOff>
    </xdr:from>
    <xdr:to>
      <xdr:col>11</xdr:col>
      <xdr:colOff>578634</xdr:colOff>
      <xdr:row>4</xdr:row>
      <xdr:rowOff>215899</xdr:rowOff>
    </xdr:to>
    <xdr:pic>
      <xdr:nvPicPr>
        <xdr:cNvPr id="9" name="図 8">
          <a:extLst>
            <a:ext uri="{FF2B5EF4-FFF2-40B4-BE49-F238E27FC236}">
              <a16:creationId xmlns:a16="http://schemas.microsoft.com/office/drawing/2014/main" id="{6992F79F-C068-4D1A-A428-0DB6F96C4C3A}"/>
            </a:ext>
          </a:extLst>
        </xdr:cNvPr>
        <xdr:cNvPicPr>
          <a:picLocks noChangeAspect="1"/>
        </xdr:cNvPicPr>
      </xdr:nvPicPr>
      <xdr:blipFill rotWithShape="1">
        <a:blip xmlns:r="http://schemas.openxmlformats.org/officeDocument/2006/relationships" r:embed="rId3"/>
        <a:srcRect b="77175"/>
        <a:stretch/>
      </xdr:blipFill>
      <xdr:spPr>
        <a:xfrm>
          <a:off x="114300" y="479740"/>
          <a:ext cx="7182634" cy="631509"/>
        </a:xfrm>
        <a:prstGeom prst="rect">
          <a:avLst/>
        </a:prstGeom>
      </xdr:spPr>
    </xdr:pic>
    <xdr:clientData/>
  </xdr:twoCellAnchor>
  <xdr:twoCellAnchor>
    <xdr:from>
      <xdr:col>3</xdr:col>
      <xdr:colOff>12700</xdr:colOff>
      <xdr:row>5</xdr:row>
      <xdr:rowOff>215900</xdr:rowOff>
    </xdr:from>
    <xdr:to>
      <xdr:col>5</xdr:col>
      <xdr:colOff>131900</xdr:colOff>
      <xdr:row>12</xdr:row>
      <xdr:rowOff>100150</xdr:rowOff>
    </xdr:to>
    <xdr:grpSp>
      <xdr:nvGrpSpPr>
        <xdr:cNvPr id="20" name="グループ化 19">
          <a:extLst>
            <a:ext uri="{FF2B5EF4-FFF2-40B4-BE49-F238E27FC236}">
              <a16:creationId xmlns:a16="http://schemas.microsoft.com/office/drawing/2014/main" id="{880F4201-010E-4083-8D24-EF950DFDE441}"/>
            </a:ext>
          </a:extLst>
        </xdr:cNvPr>
        <xdr:cNvGrpSpPr/>
      </xdr:nvGrpSpPr>
      <xdr:grpSpPr>
        <a:xfrm>
          <a:off x="1441450" y="1416050"/>
          <a:ext cx="1452700" cy="1551125"/>
          <a:chOff x="1397000" y="1390650"/>
          <a:chExt cx="1440000" cy="1440000"/>
        </a:xfrm>
      </xdr:grpSpPr>
      <xdr:sp macro="" textlink="">
        <xdr:nvSpPr>
          <xdr:cNvPr id="10" name="楕円 9">
            <a:extLst>
              <a:ext uri="{FF2B5EF4-FFF2-40B4-BE49-F238E27FC236}">
                <a16:creationId xmlns:a16="http://schemas.microsoft.com/office/drawing/2014/main" id="{390B0DF1-C0A7-42D1-B102-0271DBA3C63C}"/>
              </a:ext>
            </a:extLst>
          </xdr:cNvPr>
          <xdr:cNvSpPr/>
        </xdr:nvSpPr>
        <xdr:spPr>
          <a:xfrm>
            <a:off x="1397000" y="1390650"/>
            <a:ext cx="1440000" cy="1440000"/>
          </a:xfrm>
          <a:prstGeom prst="ellipse">
            <a:avLst/>
          </a:prstGeom>
          <a:solidFill>
            <a:srgbClr val="00CC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 name="テキスト ボックス 10">
            <a:extLst>
              <a:ext uri="{FF2B5EF4-FFF2-40B4-BE49-F238E27FC236}">
                <a16:creationId xmlns:a16="http://schemas.microsoft.com/office/drawing/2014/main" id="{506BF7A2-EE05-4F0E-8746-D043C9405BD1}"/>
              </a:ext>
            </a:extLst>
          </xdr:cNvPr>
          <xdr:cNvSpPr txBox="1"/>
        </xdr:nvSpPr>
        <xdr:spPr>
          <a:xfrm>
            <a:off x="1511300" y="1555750"/>
            <a:ext cx="12128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800" b="1" i="0" u="none" strike="noStrike" baseline="0">
                <a:solidFill>
                  <a:schemeClr val="bg1"/>
                </a:solidFill>
                <a:latin typeface="HG丸ｺﾞｼｯｸM-PRO" panose="020F0600000000000000" pitchFamily="50" charset="-128"/>
                <a:ea typeface="HG丸ｺﾞｼｯｸM-PRO" panose="020F0600000000000000" pitchFamily="50" charset="-128"/>
                <a:cs typeface="メイリオ"/>
              </a:rPr>
              <a:t>基本料金</a:t>
            </a:r>
          </a:p>
        </xdr:txBody>
      </xdr:sp>
      <xdr:sp macro="" textlink="">
        <xdr:nvSpPr>
          <xdr:cNvPr id="12" name="テキスト ボックス 11">
            <a:extLst>
              <a:ext uri="{FF2B5EF4-FFF2-40B4-BE49-F238E27FC236}">
                <a16:creationId xmlns:a16="http://schemas.microsoft.com/office/drawing/2014/main" id="{51D00391-AF24-4155-97D2-249D849C1FA4}"/>
              </a:ext>
            </a:extLst>
          </xdr:cNvPr>
          <xdr:cNvSpPr txBox="1"/>
        </xdr:nvSpPr>
        <xdr:spPr>
          <a:xfrm>
            <a:off x="1504950" y="1835150"/>
            <a:ext cx="1212850" cy="946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6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０</a:t>
            </a:r>
            <a:r>
              <a:rPr kumimoji="1" lang="ja-JP" altLang="en-US" sz="18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円</a:t>
            </a:r>
          </a:p>
        </xdr:txBody>
      </xdr:sp>
    </xdr:grpSp>
    <xdr:clientData/>
  </xdr:twoCellAnchor>
  <xdr:twoCellAnchor>
    <xdr:from>
      <xdr:col>1</xdr:col>
      <xdr:colOff>120650</xdr:colOff>
      <xdr:row>11</xdr:row>
      <xdr:rowOff>95250</xdr:rowOff>
    </xdr:from>
    <xdr:to>
      <xdr:col>3</xdr:col>
      <xdr:colOff>239850</xdr:colOff>
      <xdr:row>17</xdr:row>
      <xdr:rowOff>201750</xdr:rowOff>
    </xdr:to>
    <xdr:sp macro="" textlink="">
      <xdr:nvSpPr>
        <xdr:cNvPr id="13" name="楕円 12">
          <a:extLst>
            <a:ext uri="{FF2B5EF4-FFF2-40B4-BE49-F238E27FC236}">
              <a16:creationId xmlns:a16="http://schemas.microsoft.com/office/drawing/2014/main" id="{491CB378-527A-4D21-8AF7-C45591D33EFD}"/>
            </a:ext>
          </a:extLst>
        </xdr:cNvPr>
        <xdr:cNvSpPr/>
      </xdr:nvSpPr>
      <xdr:spPr>
        <a:xfrm>
          <a:off x="215900" y="2546350"/>
          <a:ext cx="1440000" cy="1440000"/>
        </a:xfrm>
        <a:prstGeom prst="ellipse">
          <a:avLst/>
        </a:prstGeom>
        <a:solidFill>
          <a:srgbClr val="00CC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133453</xdr:colOff>
      <xdr:row>12</xdr:row>
      <xdr:rowOff>38100</xdr:rowOff>
    </xdr:from>
    <xdr:to>
      <xdr:col>3</xdr:col>
      <xdr:colOff>228740</xdr:colOff>
      <xdr:row>13</xdr:row>
      <xdr:rowOff>203200</xdr:rowOff>
    </xdr:to>
    <xdr:sp macro="" textlink="">
      <xdr:nvSpPr>
        <xdr:cNvPr id="14" name="テキスト ボックス 13">
          <a:extLst>
            <a:ext uri="{FF2B5EF4-FFF2-40B4-BE49-F238E27FC236}">
              <a16:creationId xmlns:a16="http://schemas.microsoft.com/office/drawing/2014/main" id="{696394F8-CAD9-44D3-B86D-1D2F275EE58F}"/>
            </a:ext>
          </a:extLst>
        </xdr:cNvPr>
        <xdr:cNvSpPr txBox="1"/>
      </xdr:nvSpPr>
      <xdr:spPr>
        <a:xfrm>
          <a:off x="228703" y="2711450"/>
          <a:ext cx="1416087"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800" b="1" i="0" u="none" strike="noStrike" baseline="0">
              <a:solidFill>
                <a:schemeClr val="bg1"/>
              </a:solidFill>
              <a:latin typeface="HG丸ｺﾞｼｯｸM-PRO" panose="020F0600000000000000" pitchFamily="50" charset="-128"/>
              <a:ea typeface="HG丸ｺﾞｼｯｸM-PRO" panose="020F0600000000000000" pitchFamily="50" charset="-128"/>
              <a:cs typeface="メイリオ"/>
            </a:rPr>
            <a:t>初期費用</a:t>
          </a:r>
        </a:p>
      </xdr:txBody>
    </xdr:sp>
    <xdr:clientData/>
  </xdr:twoCellAnchor>
  <xdr:twoCellAnchor>
    <xdr:from>
      <xdr:col>1</xdr:col>
      <xdr:colOff>126039</xdr:colOff>
      <xdr:row>13</xdr:row>
      <xdr:rowOff>95250</xdr:rowOff>
    </xdr:from>
    <xdr:to>
      <xdr:col>3</xdr:col>
      <xdr:colOff>221326</xdr:colOff>
      <xdr:row>17</xdr:row>
      <xdr:rowOff>152400</xdr:rowOff>
    </xdr:to>
    <xdr:sp macro="" textlink="">
      <xdr:nvSpPr>
        <xdr:cNvPr id="15" name="テキスト ボックス 14">
          <a:extLst>
            <a:ext uri="{FF2B5EF4-FFF2-40B4-BE49-F238E27FC236}">
              <a16:creationId xmlns:a16="http://schemas.microsoft.com/office/drawing/2014/main" id="{C47DC66B-1916-4459-9366-58652718C1AB}"/>
            </a:ext>
          </a:extLst>
        </xdr:cNvPr>
        <xdr:cNvSpPr txBox="1"/>
      </xdr:nvSpPr>
      <xdr:spPr>
        <a:xfrm>
          <a:off x="221289" y="2990850"/>
          <a:ext cx="1416087" cy="946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6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０</a:t>
          </a:r>
          <a:r>
            <a:rPr kumimoji="1" lang="ja-JP" altLang="en-US" sz="18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円</a:t>
          </a:r>
        </a:p>
      </xdr:txBody>
    </xdr:sp>
    <xdr:clientData/>
  </xdr:twoCellAnchor>
  <xdr:twoCellAnchor>
    <xdr:from>
      <xdr:col>4</xdr:col>
      <xdr:colOff>285750</xdr:colOff>
      <xdr:row>11</xdr:row>
      <xdr:rowOff>101600</xdr:rowOff>
    </xdr:from>
    <xdr:to>
      <xdr:col>7</xdr:col>
      <xdr:colOff>0</xdr:colOff>
      <xdr:row>17</xdr:row>
      <xdr:rowOff>208100</xdr:rowOff>
    </xdr:to>
    <xdr:grpSp>
      <xdr:nvGrpSpPr>
        <xdr:cNvPr id="21" name="グループ化 20">
          <a:extLst>
            <a:ext uri="{FF2B5EF4-FFF2-40B4-BE49-F238E27FC236}">
              <a16:creationId xmlns:a16="http://schemas.microsoft.com/office/drawing/2014/main" id="{34B2B2B5-B7F1-4B33-808F-9FED4C4C5A72}"/>
            </a:ext>
          </a:extLst>
        </xdr:cNvPr>
        <xdr:cNvGrpSpPr/>
      </xdr:nvGrpSpPr>
      <xdr:grpSpPr>
        <a:xfrm>
          <a:off x="2381250" y="2730500"/>
          <a:ext cx="1714500" cy="1535250"/>
          <a:chOff x="2362200" y="2552700"/>
          <a:chExt cx="1695450" cy="1440000"/>
        </a:xfrm>
      </xdr:grpSpPr>
      <xdr:sp macro="" textlink="">
        <xdr:nvSpPr>
          <xdr:cNvPr id="16" name="楕円 15">
            <a:extLst>
              <a:ext uri="{FF2B5EF4-FFF2-40B4-BE49-F238E27FC236}">
                <a16:creationId xmlns:a16="http://schemas.microsoft.com/office/drawing/2014/main" id="{965E81F5-8725-4069-8A77-316D5B5D99DC}"/>
              </a:ext>
            </a:extLst>
          </xdr:cNvPr>
          <xdr:cNvSpPr/>
        </xdr:nvSpPr>
        <xdr:spPr>
          <a:xfrm>
            <a:off x="2501900" y="2552700"/>
            <a:ext cx="1440000" cy="1440000"/>
          </a:xfrm>
          <a:prstGeom prst="ellipse">
            <a:avLst/>
          </a:prstGeom>
          <a:solidFill>
            <a:srgbClr val="00CC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 name="テキスト ボックス 16">
            <a:extLst>
              <a:ext uri="{FF2B5EF4-FFF2-40B4-BE49-F238E27FC236}">
                <a16:creationId xmlns:a16="http://schemas.microsoft.com/office/drawing/2014/main" id="{37AC4E8D-2850-4A4C-8058-627B0249DC8D}"/>
              </a:ext>
            </a:extLst>
          </xdr:cNvPr>
          <xdr:cNvSpPr txBox="1"/>
        </xdr:nvSpPr>
        <xdr:spPr>
          <a:xfrm>
            <a:off x="2362200" y="2705100"/>
            <a:ext cx="16954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i="0" u="none" strike="noStrike" baseline="0">
                <a:solidFill>
                  <a:schemeClr val="bg1"/>
                </a:solidFill>
                <a:latin typeface="HG丸ｺﾞｼｯｸM-PRO" panose="020F0600000000000000" pitchFamily="50" charset="-128"/>
                <a:ea typeface="HG丸ｺﾞｼｯｸM-PRO" panose="020F0600000000000000" pitchFamily="50" charset="-128"/>
                <a:cs typeface="メイリオ"/>
              </a:rPr>
              <a:t>解約手数料</a:t>
            </a:r>
          </a:p>
        </xdr:txBody>
      </xdr:sp>
      <xdr:sp macro="" textlink="">
        <xdr:nvSpPr>
          <xdr:cNvPr id="18" name="テキスト ボックス 17">
            <a:extLst>
              <a:ext uri="{FF2B5EF4-FFF2-40B4-BE49-F238E27FC236}">
                <a16:creationId xmlns:a16="http://schemas.microsoft.com/office/drawing/2014/main" id="{2240C8E9-C8AF-472E-8DDB-EFB69EE63E4C}"/>
              </a:ext>
            </a:extLst>
          </xdr:cNvPr>
          <xdr:cNvSpPr txBox="1"/>
        </xdr:nvSpPr>
        <xdr:spPr>
          <a:xfrm>
            <a:off x="2609850" y="2997200"/>
            <a:ext cx="1212850" cy="946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6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０</a:t>
            </a:r>
            <a:r>
              <a:rPr kumimoji="1" lang="ja-JP" altLang="en-US" sz="18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円</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oneCell">
    <xdr:from>
      <xdr:col>10</xdr:col>
      <xdr:colOff>877741</xdr:colOff>
      <xdr:row>30</xdr:row>
      <xdr:rowOff>181841</xdr:rowOff>
    </xdr:from>
    <xdr:to>
      <xdr:col>12</xdr:col>
      <xdr:colOff>830470</xdr:colOff>
      <xdr:row>33</xdr:row>
      <xdr:rowOff>173565</xdr:rowOff>
    </xdr:to>
    <xdr:pic>
      <xdr:nvPicPr>
        <xdr:cNvPr id="2" name="図 1">
          <a:extLst>
            <a:ext uri="{FF2B5EF4-FFF2-40B4-BE49-F238E27FC236}">
              <a16:creationId xmlns:a16="http://schemas.microsoft.com/office/drawing/2014/main" id="{AD2A2311-9D5B-4BC3-8804-AFA6813C872A}"/>
            </a:ext>
          </a:extLst>
        </xdr:cNvPr>
        <xdr:cNvPicPr>
          <a:picLocks noChangeAspect="1"/>
        </xdr:cNvPicPr>
      </xdr:nvPicPr>
      <xdr:blipFill>
        <a:blip xmlns:r="http://schemas.openxmlformats.org/officeDocument/2006/relationships" r:embed="rId1"/>
        <a:stretch>
          <a:fillRect/>
        </a:stretch>
      </xdr:blipFill>
      <xdr:spPr>
        <a:xfrm>
          <a:off x="8255286" y="6156614"/>
          <a:ext cx="2071032" cy="58920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7</xdr:col>
      <xdr:colOff>171405</xdr:colOff>
      <xdr:row>36</xdr:row>
      <xdr:rowOff>6350</xdr:rowOff>
    </xdr:from>
    <xdr:to>
      <xdr:col>9</xdr:col>
      <xdr:colOff>306004</xdr:colOff>
      <xdr:row>39</xdr:row>
      <xdr:rowOff>152771</xdr:rowOff>
    </xdr:to>
    <xdr:pic>
      <xdr:nvPicPr>
        <xdr:cNvPr id="2" name="図 1">
          <a:extLst>
            <a:ext uri="{FF2B5EF4-FFF2-40B4-BE49-F238E27FC236}">
              <a16:creationId xmlns:a16="http://schemas.microsoft.com/office/drawing/2014/main" id="{8F3C2C7D-6FB4-4199-8680-24F91C65EB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71780" y="8601075"/>
          <a:ext cx="991849" cy="94334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CDDF34-DB95-45B1-A913-1541E3632C4F}" name="テーブル1" displayName="テーブル1" ref="M20:N27" totalsRowShown="0" headerRowDxfId="105" dataDxfId="104" headerRowBorderDxfId="102" tableBorderDxfId="103" totalsRowBorderDxfId="101">
  <autoFilter ref="M20:N27" xr:uid="{0C0ACF57-4C0D-4C98-BEC6-D64A311EE0AE}"/>
  <tableColumns count="2">
    <tableColumn id="1" xr3:uid="{EC6DE728-1CAC-4245-97BA-B6A85222957D}" name="電球数" dataDxfId="100"/>
    <tableColumn id="2" xr3:uid="{102D0766-7510-4216-BD48-FD763CBF9E2B}" name="人工" dataDxfId="99"/>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CCCC"/>
        </a:solidFill>
        <a:ln>
          <a:noFill/>
        </a:ln>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txDef>
      <a:spPr>
        <a:noFill/>
        <a:ln w="9525" cmpd="sng">
          <a:noFill/>
        </a:ln>
      </a:spPr>
      <a:bodyPr vertOverflow="clip" horzOverflow="clip" wrap="square" rtlCol="0" anchor="ctr"/>
      <a:lstStyle>
        <a:defPPr algn="ctr">
          <a:defRPr kumimoji="1" sz="1800" b="1" i="0" u="none" strike="noStrike" baseline="0">
            <a:solidFill>
              <a:srgbClr val="FF0000"/>
            </a:solidFill>
            <a:latin typeface="メイリオ"/>
            <a:ea typeface="メイリオ"/>
            <a:cs typeface="メイリオ"/>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externalLinkPath" Target="file:///C:\Users\ami58\Desktop\0402&#26356;&#26032;%20&#20316;&#25104;&#20013;&#9679;&#9679;&#9679;&#12304;LED&#23566;&#20837;&#65404;&#65424;&#65389;&#65434;&#65392;&#65404;&#65390;&#65437;&#12305;.xls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4F9E5-10FA-49EE-9F95-709D0A300394}">
  <dimension ref="A1:AK103"/>
  <sheetViews>
    <sheetView topLeftCell="E26" zoomScale="80" zoomScaleNormal="80" workbookViewId="0">
      <selection activeCell="N38" sqref="N38:N39"/>
    </sheetView>
  </sheetViews>
  <sheetFormatPr defaultColWidth="8.625" defaultRowHeight="18" customHeight="1"/>
  <cols>
    <col min="1" max="16384" width="8.625" style="252"/>
  </cols>
  <sheetData>
    <row r="1" spans="1:37" ht="18" customHeight="1">
      <c r="A1" s="388"/>
      <c r="B1" s="388"/>
      <c r="C1" s="388"/>
      <c r="D1" s="388"/>
      <c r="E1" s="388"/>
      <c r="F1" s="388"/>
      <c r="G1" s="388"/>
      <c r="H1" s="388"/>
      <c r="I1" s="388"/>
      <c r="J1" s="388"/>
      <c r="K1" s="388"/>
      <c r="L1" s="388"/>
      <c r="M1" s="388"/>
      <c r="N1" s="388"/>
      <c r="O1" s="388"/>
      <c r="P1" s="388"/>
      <c r="Q1" s="388"/>
      <c r="R1" s="388"/>
      <c r="S1" s="388"/>
      <c r="T1" s="388"/>
      <c r="U1" s="388"/>
      <c r="AD1" s="252">
        <f>VLOOKUP(代理店入力用!H5,AB5:AE12,1,FALSE)</f>
        <v>10</v>
      </c>
      <c r="AE1" s="252">
        <f>VLOOKUP(代理店入力用!H5,AB5:AE12,4,FALSE)</f>
        <v>0</v>
      </c>
    </row>
    <row r="2" spans="1:37" ht="18" customHeight="1">
      <c r="A2" s="388"/>
      <c r="F2" s="252">
        <v>12</v>
      </c>
      <c r="G2" s="252">
        <v>12</v>
      </c>
      <c r="H2" s="252">
        <v>12</v>
      </c>
      <c r="I2" s="252">
        <v>12</v>
      </c>
      <c r="J2" s="252">
        <v>12</v>
      </c>
      <c r="K2" s="252">
        <v>12</v>
      </c>
      <c r="L2" s="252">
        <v>12</v>
      </c>
      <c r="M2" s="252">
        <v>12</v>
      </c>
      <c r="N2" s="252">
        <v>12</v>
      </c>
      <c r="O2" s="252">
        <v>12</v>
      </c>
      <c r="P2" s="219"/>
      <c r="S2" s="271"/>
      <c r="T2" s="389">
        <f>SUM(T4:T33)</f>
        <v>0</v>
      </c>
      <c r="U2" s="389">
        <f>SUM(U4:U33)</f>
        <v>0</v>
      </c>
      <c r="V2" s="38"/>
      <c r="AB2" s="711" t="s">
        <v>0</v>
      </c>
      <c r="AC2" s="710">
        <f>VLOOKUP(代理店入力用!H5,AB5:AE12,2,FALSE)</f>
        <v>1.09E-2</v>
      </c>
      <c r="AD2" s="252">
        <f>VLOOKUP(代理店入力用!H5,AB5:AE12,3,FALSE)</f>
        <v>120</v>
      </c>
      <c r="AE2" s="252">
        <f>180-AD2</f>
        <v>60</v>
      </c>
      <c r="AH2" s="399"/>
      <c r="AI2" s="730">
        <f>SUM(AI4:AI33)</f>
        <v>0</v>
      </c>
      <c r="AJ2" s="730">
        <f t="shared" ref="AJ2:AK2" si="0">SUM(AJ4:AJ33)</f>
        <v>0</v>
      </c>
      <c r="AK2" s="730">
        <f t="shared" si="0"/>
        <v>0</v>
      </c>
    </row>
    <row r="3" spans="1:37" ht="18" customHeight="1">
      <c r="A3" s="388"/>
      <c r="B3" s="252" t="s">
        <v>1</v>
      </c>
      <c r="C3" s="252" t="s">
        <v>2</v>
      </c>
      <c r="E3" s="390">
        <v>0</v>
      </c>
      <c r="F3" s="390">
        <v>1</v>
      </c>
      <c r="G3" s="390">
        <v>2</v>
      </c>
      <c r="H3" s="390">
        <v>3</v>
      </c>
      <c r="I3" s="390">
        <v>4</v>
      </c>
      <c r="J3" s="390">
        <v>5</v>
      </c>
      <c r="K3" s="390">
        <v>6</v>
      </c>
      <c r="L3" s="390">
        <v>7</v>
      </c>
      <c r="M3" s="390">
        <v>8</v>
      </c>
      <c r="N3" s="390">
        <v>9</v>
      </c>
      <c r="O3" s="390">
        <v>10</v>
      </c>
      <c r="P3" s="219"/>
      <c r="S3" s="391" t="s">
        <v>3</v>
      </c>
      <c r="T3" s="391" t="s">
        <v>4</v>
      </c>
      <c r="U3" s="391" t="s">
        <v>5</v>
      </c>
      <c r="V3" s="392" t="s">
        <v>6</v>
      </c>
      <c r="AH3" s="399"/>
      <c r="AI3" s="729" t="s">
        <v>7</v>
      </c>
      <c r="AJ3" s="729" t="s">
        <v>8</v>
      </c>
      <c r="AK3" s="729" t="s">
        <v>9</v>
      </c>
    </row>
    <row r="4" spans="1:37" ht="18" customHeight="1">
      <c r="A4" s="388"/>
      <c r="B4" s="393">
        <f>②前a!AS41</f>
        <v>0</v>
      </c>
      <c r="C4" s="393">
        <f>ROUNDDOWN(B4/120,1)</f>
        <v>0</v>
      </c>
      <c r="E4" s="394">
        <v>0</v>
      </c>
      <c r="F4" s="394">
        <f>ROUNDDOWN($C$4*F2*F3,0)</f>
        <v>0</v>
      </c>
      <c r="G4" s="394">
        <f t="shared" ref="G4:O4" si="1">ROUNDDOWN($C$4*G2*G3,0)</f>
        <v>0</v>
      </c>
      <c r="H4" s="394">
        <f t="shared" si="1"/>
        <v>0</v>
      </c>
      <c r="I4" s="394">
        <f t="shared" si="1"/>
        <v>0</v>
      </c>
      <c r="J4" s="394">
        <f t="shared" si="1"/>
        <v>0</v>
      </c>
      <c r="K4" s="394">
        <f t="shared" si="1"/>
        <v>0</v>
      </c>
      <c r="L4" s="394">
        <f t="shared" si="1"/>
        <v>0</v>
      </c>
      <c r="M4" s="394">
        <f t="shared" si="1"/>
        <v>0</v>
      </c>
      <c r="N4" s="394">
        <f t="shared" si="1"/>
        <v>0</v>
      </c>
      <c r="O4" s="394">
        <f t="shared" si="1"/>
        <v>0</v>
      </c>
      <c r="P4" s="219"/>
      <c r="Q4" s="252">
        <v>1</v>
      </c>
      <c r="S4" s="395" t="str">
        <f>IFERROR(VLOOKUP(☆入力!$G16,選定!$C$1:$AG$100,8,FALSE),"0")</f>
        <v>0</v>
      </c>
      <c r="T4" s="396">
        <f>S4*☆入力!L16</f>
        <v>0</v>
      </c>
      <c r="U4" s="396">
        <f>☆入力!AE16*☆入力!L16</f>
        <v>0</v>
      </c>
      <c r="V4" s="396">
        <f>ROUNDDOWN((T4+U4),0)</f>
        <v>0</v>
      </c>
      <c r="X4" s="392" t="str">
        <f>IFERROR((代理店入力用!$D$5/☆入力!$AH$14)*☆入力!$AH16,"0")</f>
        <v>0</v>
      </c>
      <c r="Y4" s="392">
        <f t="shared" ref="Y4:Y33" si="2">X4/54</f>
        <v>0</v>
      </c>
      <c r="AB4" s="404" t="s">
        <v>10</v>
      </c>
      <c r="AC4" s="404" t="s">
        <v>11</v>
      </c>
      <c r="AD4" s="404" t="s">
        <v>12</v>
      </c>
      <c r="AE4" s="712"/>
      <c r="AH4" s="729" t="s">
        <v>13</v>
      </c>
      <c r="AI4" s="730">
        <f>ROUNDDOWN(☆入力!W16*☆入力!X16,0)</f>
        <v>0</v>
      </c>
      <c r="AJ4" s="730">
        <f>ROUNDDOWN(☆入力!AB16*☆入力!X16,0)</f>
        <v>0</v>
      </c>
      <c r="AK4" s="730">
        <f>ROUNDDOWN(☆入力!AB16*☆入力!AD16,0)</f>
        <v>0</v>
      </c>
    </row>
    <row r="5" spans="1:37" ht="18" customHeight="1">
      <c r="A5" s="388"/>
      <c r="B5" s="393"/>
      <c r="C5" s="393"/>
      <c r="P5" s="220"/>
      <c r="Q5" s="252">
        <v>2</v>
      </c>
      <c r="S5" s="395" t="str">
        <f>IFERROR(VLOOKUP(☆入力!$G17,選定!$C$1:$AG$100,8,FALSE),"0")</f>
        <v>0</v>
      </c>
      <c r="T5" s="396">
        <f>S5*☆入力!L17</f>
        <v>0</v>
      </c>
      <c r="U5" s="396">
        <f>☆入力!AE17*☆入力!L17</f>
        <v>0</v>
      </c>
      <c r="V5" s="396">
        <f t="shared" ref="V5:V33" si="3">ROUNDDOWN((T5+U5),0)</f>
        <v>0</v>
      </c>
      <c r="X5" s="397" t="str">
        <f>IFERROR((代理店入力用!$D$5/☆入力!$AH$14)*☆入力!$AH17,"0")</f>
        <v>0</v>
      </c>
      <c r="Y5" s="397">
        <f t="shared" si="2"/>
        <v>0</v>
      </c>
      <c r="AB5" s="421">
        <v>3</v>
      </c>
      <c r="AC5" s="713">
        <v>3.0599999999999999E-2</v>
      </c>
      <c r="AD5" s="421">
        <v>36</v>
      </c>
      <c r="AE5" s="421">
        <v>7</v>
      </c>
      <c r="AH5" s="729" t="s">
        <v>14</v>
      </c>
      <c r="AI5" s="730">
        <f>ROUNDDOWN(☆入力!W17*☆入力!X17,0)</f>
        <v>0</v>
      </c>
      <c r="AJ5" s="730">
        <f>ROUNDDOWN(☆入力!AB17*☆入力!X17,0)</f>
        <v>0</v>
      </c>
      <c r="AK5" s="730">
        <f>ROUNDDOWN(☆入力!AB17*☆入力!AD17,0)</f>
        <v>0</v>
      </c>
    </row>
    <row r="6" spans="1:37" ht="18" customHeight="1">
      <c r="A6" s="388"/>
      <c r="B6" s="393"/>
      <c r="C6" s="393"/>
      <c r="E6" s="398">
        <f ca="1">(☆入力!$AL$14+代理店入力用!$D$5)*(100%-☆入力!$AR$11)</f>
        <v>0</v>
      </c>
      <c r="F6" s="398">
        <f ca="1">(☆入力!$AL$14+代理店入力用!$D$5)*(100%-☆入力!$AR$11)</f>
        <v>0</v>
      </c>
      <c r="G6" s="398">
        <f ca="1">(☆入力!$AL$14+代理店入力用!$D$5)*(100%-☆入力!$AR$11)</f>
        <v>0</v>
      </c>
      <c r="H6" s="398">
        <f ca="1">(☆入力!$AL$14+代理店入力用!$D$5)*(100%-☆入力!$AR$11)</f>
        <v>0</v>
      </c>
      <c r="I6" s="398">
        <f ca="1">(☆入力!$AL$14+代理店入力用!$D$5)*(100%-☆入力!$AR$11)</f>
        <v>0</v>
      </c>
      <c r="J6" s="398">
        <f ca="1">(☆入力!$AL$14+代理店入力用!$D$5)*(100%-☆入力!$AR$11)</f>
        <v>0</v>
      </c>
      <c r="K6" s="398">
        <f ca="1">(☆入力!$AL$14+代理店入力用!$D$5)*(100%-☆入力!$AR$11)</f>
        <v>0</v>
      </c>
      <c r="L6" s="398">
        <f ca="1">(☆入力!$AL$14+代理店入力用!$D$5)*(100%-☆入力!$AR$11)</f>
        <v>0</v>
      </c>
      <c r="M6" s="398">
        <f ca="1">(☆入力!$AL$14+代理店入力用!$D$5)*(100%-☆入力!$AR$11)</f>
        <v>0</v>
      </c>
      <c r="N6" s="398">
        <f ca="1">(☆入力!$AL$14+代理店入力用!$D$5)*(100%-☆入力!$AR$11)</f>
        <v>0</v>
      </c>
      <c r="O6" s="398">
        <f ca="1">(☆入力!$AL$14+代理店入力用!$D$5)*(100%-☆入力!$AR$11)</f>
        <v>0</v>
      </c>
      <c r="P6" s="220"/>
      <c r="Q6" s="252">
        <v>3</v>
      </c>
      <c r="S6" s="395" t="str">
        <f>IFERROR(VLOOKUP(☆入力!$G18,選定!$C$1:$AG$100,8,FALSE),"0")</f>
        <v>0</v>
      </c>
      <c r="T6" s="396">
        <f>S6*☆入力!L18</f>
        <v>0</v>
      </c>
      <c r="U6" s="396">
        <f>☆入力!AE18*☆入力!L18</f>
        <v>0</v>
      </c>
      <c r="V6" s="396">
        <f t="shared" si="3"/>
        <v>0</v>
      </c>
      <c r="X6" s="397" t="str">
        <f>IFERROR((代理店入力用!$D$5/☆入力!$AH$14)*☆入力!$AH18,"0")</f>
        <v>0</v>
      </c>
      <c r="Y6" s="397">
        <f t="shared" si="2"/>
        <v>0</v>
      </c>
      <c r="AB6" s="421">
        <v>4</v>
      </c>
      <c r="AC6" s="713">
        <v>2.3099999999999999E-2</v>
      </c>
      <c r="AD6" s="421">
        <v>48</v>
      </c>
      <c r="AE6" s="421">
        <v>6</v>
      </c>
      <c r="AH6" s="729" t="s">
        <v>15</v>
      </c>
      <c r="AI6" s="730">
        <f>ROUNDDOWN(☆入力!W18*☆入力!X18,0)</f>
        <v>0</v>
      </c>
      <c r="AJ6" s="730">
        <f>ROUNDDOWN(☆入力!AB18*☆入力!X18,0)</f>
        <v>0</v>
      </c>
      <c r="AK6" s="730">
        <f>ROUNDDOWN(☆入力!AB18*☆入力!AD18,0)</f>
        <v>0</v>
      </c>
    </row>
    <row r="7" spans="1:37" ht="18" customHeight="1">
      <c r="A7" s="388"/>
      <c r="B7" s="393">
        <f>③後a!AS41</f>
        <v>0</v>
      </c>
      <c r="C7" s="393">
        <f>ROUNDDOWN(B7/120,1)</f>
        <v>0</v>
      </c>
      <c r="E7" s="399">
        <v>0</v>
      </c>
      <c r="F7" s="400">
        <f t="shared" ref="F7:O7" si="4">ROUNDDOWN($C$7*F2*F3,0)</f>
        <v>0</v>
      </c>
      <c r="G7" s="400">
        <f t="shared" si="4"/>
        <v>0</v>
      </c>
      <c r="H7" s="400">
        <f t="shared" si="4"/>
        <v>0</v>
      </c>
      <c r="I7" s="400">
        <f t="shared" si="4"/>
        <v>0</v>
      </c>
      <c r="J7" s="400">
        <f t="shared" si="4"/>
        <v>0</v>
      </c>
      <c r="K7" s="400">
        <f t="shared" si="4"/>
        <v>0</v>
      </c>
      <c r="L7" s="400">
        <f t="shared" si="4"/>
        <v>0</v>
      </c>
      <c r="M7" s="400">
        <f t="shared" si="4"/>
        <v>0</v>
      </c>
      <c r="N7" s="400">
        <f t="shared" si="4"/>
        <v>0</v>
      </c>
      <c r="O7" s="400">
        <f t="shared" si="4"/>
        <v>0</v>
      </c>
      <c r="P7" s="220"/>
      <c r="Q7" s="252">
        <v>4</v>
      </c>
      <c r="S7" s="395" t="str">
        <f>IFERROR(VLOOKUP(☆入力!$G19,選定!$C$1:$AG$100,8,FALSE),"0")</f>
        <v>0</v>
      </c>
      <c r="T7" s="396">
        <f>S7*☆入力!L19</f>
        <v>0</v>
      </c>
      <c r="U7" s="396">
        <f>☆入力!AE19*☆入力!L19</f>
        <v>0</v>
      </c>
      <c r="V7" s="396">
        <f t="shared" si="3"/>
        <v>0</v>
      </c>
      <c r="X7" s="397" t="str">
        <f>IFERROR((代理店入力用!$D$5/☆入力!$AH$14)*☆入力!$AH19,"0")</f>
        <v>0</v>
      </c>
      <c r="Y7" s="397">
        <f t="shared" si="2"/>
        <v>0</v>
      </c>
      <c r="AB7" s="421">
        <v>5</v>
      </c>
      <c r="AC7" s="713">
        <v>1.8700000000000001E-2</v>
      </c>
      <c r="AD7" s="421">
        <v>60</v>
      </c>
      <c r="AE7" s="421">
        <v>5</v>
      </c>
      <c r="AH7" s="729" t="s">
        <v>16</v>
      </c>
      <c r="AI7" s="730">
        <f>ROUNDDOWN(☆入力!W19*☆入力!X19,0)</f>
        <v>0</v>
      </c>
      <c r="AJ7" s="730">
        <f>ROUNDDOWN(☆入力!AB19*☆入力!X19,0)</f>
        <v>0</v>
      </c>
      <c r="AK7" s="730">
        <f>ROUNDDOWN(☆入力!AB19*☆入力!AD19,0)</f>
        <v>0</v>
      </c>
    </row>
    <row r="8" spans="1:37" ht="18" customHeight="1">
      <c r="A8" s="388"/>
      <c r="B8" s="393"/>
      <c r="C8" s="393"/>
      <c r="E8" s="401">
        <f t="shared" ref="E8:O8" ca="1" si="5">E6+E7</f>
        <v>0</v>
      </c>
      <c r="F8" s="401">
        <f t="shared" ca="1" si="5"/>
        <v>0</v>
      </c>
      <c r="G8" s="401">
        <f t="shared" ca="1" si="5"/>
        <v>0</v>
      </c>
      <c r="H8" s="401">
        <f t="shared" ca="1" si="5"/>
        <v>0</v>
      </c>
      <c r="I8" s="401">
        <f t="shared" ca="1" si="5"/>
        <v>0</v>
      </c>
      <c r="J8" s="401">
        <f t="shared" ca="1" si="5"/>
        <v>0</v>
      </c>
      <c r="K8" s="401">
        <f t="shared" ca="1" si="5"/>
        <v>0</v>
      </c>
      <c r="L8" s="401">
        <f t="shared" ca="1" si="5"/>
        <v>0</v>
      </c>
      <c r="M8" s="401">
        <f t="shared" ca="1" si="5"/>
        <v>0</v>
      </c>
      <c r="N8" s="401">
        <f t="shared" ca="1" si="5"/>
        <v>0</v>
      </c>
      <c r="O8" s="401">
        <f t="shared" ca="1" si="5"/>
        <v>0</v>
      </c>
      <c r="P8" s="220"/>
      <c r="Q8" s="252">
        <v>5</v>
      </c>
      <c r="S8" s="395" t="str">
        <f>IFERROR(VLOOKUP(☆入力!$G20,選定!$C$1:$AG$100,8,FALSE),"0")</f>
        <v>0</v>
      </c>
      <c r="T8" s="396">
        <f>S8*☆入力!L20</f>
        <v>0</v>
      </c>
      <c r="U8" s="396">
        <f>☆入力!AE20*☆入力!L20</f>
        <v>0</v>
      </c>
      <c r="V8" s="396">
        <f t="shared" si="3"/>
        <v>0</v>
      </c>
      <c r="X8" s="397" t="str">
        <f>IFERROR((代理店入力用!$D$5/☆入力!$AH$14)*☆入力!$AH20,"0")</f>
        <v>0</v>
      </c>
      <c r="Y8" s="397">
        <f t="shared" si="2"/>
        <v>0</v>
      </c>
      <c r="AB8" s="421">
        <v>6</v>
      </c>
      <c r="AC8" s="713">
        <v>1.5900000000000001E-2</v>
      </c>
      <c r="AD8" s="421">
        <v>72</v>
      </c>
      <c r="AE8" s="421">
        <v>4</v>
      </c>
      <c r="AH8" s="729" t="s">
        <v>17</v>
      </c>
      <c r="AI8" s="730">
        <f>ROUNDDOWN(☆入力!W20*☆入力!X20,0)</f>
        <v>0</v>
      </c>
      <c r="AJ8" s="730">
        <f>ROUNDDOWN(☆入力!AB20*☆入力!X20,0)</f>
        <v>0</v>
      </c>
      <c r="AK8" s="730">
        <f>ROUNDDOWN(☆入力!AB20*☆入力!AD20,0)</f>
        <v>0</v>
      </c>
    </row>
    <row r="9" spans="1:37" ht="18" customHeight="1">
      <c r="A9" s="388"/>
      <c r="B9" s="393"/>
      <c r="C9" s="393"/>
      <c r="P9" s="220"/>
      <c r="Q9" s="252">
        <v>6</v>
      </c>
      <c r="S9" s="395" t="str">
        <f>IFERROR(VLOOKUP(☆入力!$G21,選定!$C$1:$AG$100,8,FALSE),"0")</f>
        <v>0</v>
      </c>
      <c r="T9" s="396">
        <f>S9*☆入力!L21</f>
        <v>0</v>
      </c>
      <c r="U9" s="396">
        <f>☆入力!AE21*☆入力!L21</f>
        <v>0</v>
      </c>
      <c r="V9" s="396">
        <f t="shared" si="3"/>
        <v>0</v>
      </c>
      <c r="X9" s="397" t="str">
        <f>IFERROR((代理店入力用!$D$5/☆入力!$AH$14)*☆入力!$AH21,"0")</f>
        <v>0</v>
      </c>
      <c r="Y9" s="397">
        <f t="shared" si="2"/>
        <v>0</v>
      </c>
      <c r="AB9" s="421">
        <v>7</v>
      </c>
      <c r="AC9" s="713">
        <v>1.41E-2</v>
      </c>
      <c r="AD9" s="421">
        <v>84</v>
      </c>
      <c r="AE9" s="421">
        <v>3</v>
      </c>
      <c r="AH9" s="729" t="s">
        <v>18</v>
      </c>
      <c r="AI9" s="730">
        <f>ROUNDDOWN(☆入力!W21*☆入力!X21,0)</f>
        <v>0</v>
      </c>
      <c r="AJ9" s="730">
        <f>ROUNDDOWN(☆入力!AB21*☆入力!X21,0)</f>
        <v>0</v>
      </c>
      <c r="AK9" s="730">
        <f>ROUNDDOWN(☆入力!AB21*☆入力!AD21,0)</f>
        <v>0</v>
      </c>
    </row>
    <row r="10" spans="1:37" ht="18" customHeight="1">
      <c r="A10" s="388"/>
      <c r="B10" s="393"/>
      <c r="C10" s="393"/>
      <c r="P10" s="220"/>
      <c r="Q10" s="252">
        <v>7</v>
      </c>
      <c r="S10" s="395" t="str">
        <f>IFERROR(VLOOKUP(☆入力!$G22,選定!$C$1:$AG$100,8,FALSE),"0")</f>
        <v>0</v>
      </c>
      <c r="T10" s="396">
        <f>S10*☆入力!L22</f>
        <v>0</v>
      </c>
      <c r="U10" s="396">
        <f>☆入力!AE22*☆入力!L22</f>
        <v>0</v>
      </c>
      <c r="V10" s="396">
        <f t="shared" si="3"/>
        <v>0</v>
      </c>
      <c r="X10" s="397" t="str">
        <f>IFERROR((代理店入力用!$D$5/☆入力!$AH$14)*☆入力!$AH22,"0")</f>
        <v>0</v>
      </c>
      <c r="Y10" s="397">
        <f t="shared" si="2"/>
        <v>0</v>
      </c>
      <c r="AB10" s="421">
        <v>8</v>
      </c>
      <c r="AC10" s="713">
        <v>1.2699999999999999E-2</v>
      </c>
      <c r="AD10" s="421">
        <v>96</v>
      </c>
      <c r="AE10" s="421">
        <v>2</v>
      </c>
      <c r="AH10" s="729" t="s">
        <v>19</v>
      </c>
      <c r="AI10" s="730">
        <f>ROUNDDOWN(☆入力!W22*☆入力!X22,0)</f>
        <v>0</v>
      </c>
      <c r="AJ10" s="730">
        <f>ROUNDDOWN(☆入力!AB22*☆入力!X22,0)</f>
        <v>0</v>
      </c>
      <c r="AK10" s="730">
        <f>ROUNDDOWN(☆入力!AB22*☆入力!AD22,0)</f>
        <v>0</v>
      </c>
    </row>
    <row r="11" spans="1:37" ht="18" customHeight="1">
      <c r="A11" s="388"/>
      <c r="B11" s="393"/>
      <c r="C11" s="393"/>
      <c r="E11" s="398">
        <f ca="1">(☆入力!$AL$14+代理店入力用!$D$5)*(100%-☆入力!$AR$11-☆入力!$AR$12)</f>
        <v>0</v>
      </c>
      <c r="F11" s="398">
        <f ca="1">(☆入力!$AL$14+代理店入力用!$D$5)*(100%-☆入力!$AR$11-☆入力!$AR$12)</f>
        <v>0</v>
      </c>
      <c r="G11" s="398">
        <f ca="1">(☆入力!$AL$14+代理店入力用!$D$5)*(100%-☆入力!$AR$11-☆入力!$AR$12)</f>
        <v>0</v>
      </c>
      <c r="H11" s="398">
        <f ca="1">(☆入力!$AL$14+代理店入力用!$D$5)*(100%-☆入力!$AR$11-☆入力!$AR$12)</f>
        <v>0</v>
      </c>
      <c r="I11" s="398">
        <f ca="1">(☆入力!$AL$14+代理店入力用!$D$5)*(100%-☆入力!$AR$11-☆入力!$AR$12)</f>
        <v>0</v>
      </c>
      <c r="J11" s="398">
        <f ca="1">(☆入力!$AL$14+代理店入力用!$D$5)*(100%-☆入力!$AR$11-☆入力!$AR$12)</f>
        <v>0</v>
      </c>
      <c r="K11" s="398">
        <f ca="1">(☆入力!$AL$14+代理店入力用!$D$5)*(100%-☆入力!$AR$11-☆入力!$AR$12)</f>
        <v>0</v>
      </c>
      <c r="L11" s="398">
        <f ca="1">(☆入力!$AL$14+代理店入力用!$D$5)*(100%-☆入力!$AR$11-☆入力!$AR$12)</f>
        <v>0</v>
      </c>
      <c r="M11" s="398">
        <f ca="1">(☆入力!$AL$14+代理店入力用!$D$5)*(100%-☆入力!$AR$11-☆入力!$AR$12)</f>
        <v>0</v>
      </c>
      <c r="N11" s="398">
        <f ca="1">(☆入力!$AL$14+代理店入力用!$D$5)*(100%-☆入力!$AR$11-☆入力!$AR$12)</f>
        <v>0</v>
      </c>
      <c r="O11" s="398">
        <f ca="1">(☆入力!$AL$14+代理店入力用!$D$5)*(100%-☆入力!$AR$11-☆入力!$AR$12)</f>
        <v>0</v>
      </c>
      <c r="P11" s="220"/>
      <c r="Q11" s="252">
        <v>8</v>
      </c>
      <c r="S11" s="395" t="str">
        <f>IFERROR(VLOOKUP(☆入力!$G23,選定!$C$1:$AG$100,8,FALSE),"0")</f>
        <v>0</v>
      </c>
      <c r="T11" s="396">
        <f>S11*☆入力!L23</f>
        <v>0</v>
      </c>
      <c r="U11" s="396">
        <f>☆入力!AE23*☆入力!L23</f>
        <v>0</v>
      </c>
      <c r="V11" s="396">
        <f t="shared" si="3"/>
        <v>0</v>
      </c>
      <c r="X11" s="397" t="str">
        <f>IFERROR((代理店入力用!$D$5/☆入力!$AH$14)*☆入力!$AH23,"0")</f>
        <v>0</v>
      </c>
      <c r="Y11" s="397">
        <f t="shared" si="2"/>
        <v>0</v>
      </c>
      <c r="AB11" s="421">
        <v>9</v>
      </c>
      <c r="AC11" s="713">
        <v>1.17E-2</v>
      </c>
      <c r="AD11" s="421">
        <v>108</v>
      </c>
      <c r="AE11" s="421">
        <v>1</v>
      </c>
      <c r="AH11" s="729" t="s">
        <v>20</v>
      </c>
      <c r="AI11" s="730">
        <f>ROUNDDOWN(☆入力!W23*☆入力!X23,0)</f>
        <v>0</v>
      </c>
      <c r="AJ11" s="730">
        <f>ROUNDDOWN(☆入力!AB23*☆入力!X23,0)</f>
        <v>0</v>
      </c>
      <c r="AK11" s="730">
        <f>ROUNDDOWN(☆入力!AB23*☆入力!AD23,0)</f>
        <v>0</v>
      </c>
    </row>
    <row r="12" spans="1:37" ht="18" customHeight="1">
      <c r="A12" s="388"/>
      <c r="B12" s="393">
        <f>B7</f>
        <v>0</v>
      </c>
      <c r="C12" s="393">
        <f>ROUNDDOWN(B12/120,1)</f>
        <v>0</v>
      </c>
      <c r="E12" s="399">
        <v>0</v>
      </c>
      <c r="F12" s="400">
        <f t="shared" ref="F12:O12" si="6">ROUNDDOWN($C$12*F2*F3,0)</f>
        <v>0</v>
      </c>
      <c r="G12" s="400">
        <f t="shared" si="6"/>
        <v>0</v>
      </c>
      <c r="H12" s="400">
        <f t="shared" si="6"/>
        <v>0</v>
      </c>
      <c r="I12" s="400">
        <f t="shared" si="6"/>
        <v>0</v>
      </c>
      <c r="J12" s="400">
        <f t="shared" si="6"/>
        <v>0</v>
      </c>
      <c r="K12" s="400">
        <f t="shared" si="6"/>
        <v>0</v>
      </c>
      <c r="L12" s="400">
        <f t="shared" si="6"/>
        <v>0</v>
      </c>
      <c r="M12" s="400">
        <f t="shared" si="6"/>
        <v>0</v>
      </c>
      <c r="N12" s="400">
        <f t="shared" si="6"/>
        <v>0</v>
      </c>
      <c r="O12" s="400">
        <f t="shared" si="6"/>
        <v>0</v>
      </c>
      <c r="P12" s="220"/>
      <c r="Q12" s="252">
        <v>9</v>
      </c>
      <c r="S12" s="395" t="str">
        <f>IFERROR(VLOOKUP(☆入力!$G24,選定!$C$1:$AG$100,8,FALSE),"0")</f>
        <v>0</v>
      </c>
      <c r="T12" s="396">
        <f>S12*☆入力!L24</f>
        <v>0</v>
      </c>
      <c r="U12" s="396">
        <f>☆入力!AE24*☆入力!L24</f>
        <v>0</v>
      </c>
      <c r="V12" s="396">
        <f t="shared" si="3"/>
        <v>0</v>
      </c>
      <c r="X12" s="397" t="str">
        <f>IFERROR((代理店入力用!$D$5/☆入力!$AH$14)*☆入力!$AH24,"0")</f>
        <v>0</v>
      </c>
      <c r="Y12" s="397">
        <f t="shared" si="2"/>
        <v>0</v>
      </c>
      <c r="AB12" s="714">
        <v>10</v>
      </c>
      <c r="AC12" s="715">
        <v>1.09E-2</v>
      </c>
      <c r="AD12" s="714">
        <v>120</v>
      </c>
      <c r="AE12" s="714">
        <v>0</v>
      </c>
      <c r="AH12" s="729" t="s">
        <v>21</v>
      </c>
      <c r="AI12" s="730">
        <f>ROUNDDOWN(☆入力!W24*☆入力!X24,0)</f>
        <v>0</v>
      </c>
      <c r="AJ12" s="730">
        <f>ROUNDDOWN(☆入力!AB24*☆入力!X24,0)</f>
        <v>0</v>
      </c>
      <c r="AK12" s="730">
        <f>ROUNDDOWN(☆入力!AB24*☆入力!AD24,0)</f>
        <v>0</v>
      </c>
    </row>
    <row r="13" spans="1:37" ht="18" customHeight="1">
      <c r="A13" s="388"/>
      <c r="E13" s="401">
        <f t="shared" ref="E13:O13" ca="1" si="7">E11+E12</f>
        <v>0</v>
      </c>
      <c r="F13" s="401">
        <f t="shared" ca="1" si="7"/>
        <v>0</v>
      </c>
      <c r="G13" s="401">
        <f t="shared" ca="1" si="7"/>
        <v>0</v>
      </c>
      <c r="H13" s="401">
        <f t="shared" ca="1" si="7"/>
        <v>0</v>
      </c>
      <c r="I13" s="401">
        <f t="shared" ca="1" si="7"/>
        <v>0</v>
      </c>
      <c r="J13" s="401">
        <f t="shared" ca="1" si="7"/>
        <v>0</v>
      </c>
      <c r="K13" s="401">
        <f t="shared" ca="1" si="7"/>
        <v>0</v>
      </c>
      <c r="L13" s="401">
        <f t="shared" ca="1" si="7"/>
        <v>0</v>
      </c>
      <c r="M13" s="401">
        <f t="shared" ca="1" si="7"/>
        <v>0</v>
      </c>
      <c r="N13" s="401">
        <f t="shared" ca="1" si="7"/>
        <v>0</v>
      </c>
      <c r="O13" s="401">
        <f t="shared" ca="1" si="7"/>
        <v>0</v>
      </c>
      <c r="P13" s="220"/>
      <c r="Q13" s="252">
        <v>10</v>
      </c>
      <c r="S13" s="395" t="str">
        <f>IFERROR(VLOOKUP(☆入力!$G25,選定!$C$1:$AG$100,8,FALSE),"0")</f>
        <v>0</v>
      </c>
      <c r="T13" s="396">
        <f>S13*☆入力!L25</f>
        <v>0</v>
      </c>
      <c r="U13" s="396">
        <f>☆入力!AE25*☆入力!L25</f>
        <v>0</v>
      </c>
      <c r="V13" s="396">
        <f t="shared" si="3"/>
        <v>0</v>
      </c>
      <c r="X13" s="397" t="str">
        <f>IFERROR((代理店入力用!$D$5/☆入力!$AH$14)*☆入力!$AH25,"0")</f>
        <v>0</v>
      </c>
      <c r="Y13" s="397">
        <f t="shared" si="2"/>
        <v>0</v>
      </c>
      <c r="AH13" s="729" t="s">
        <v>22</v>
      </c>
      <c r="AI13" s="730">
        <f>ROUNDDOWN(☆入力!W25*☆入力!X25,0)</f>
        <v>0</v>
      </c>
      <c r="AJ13" s="730">
        <f>ROUNDDOWN(☆入力!AB25*☆入力!X25,0)</f>
        <v>0</v>
      </c>
      <c r="AK13" s="730">
        <f>ROUNDDOWN(☆入力!AB25*☆入力!AD25,0)</f>
        <v>0</v>
      </c>
    </row>
    <row r="14" spans="1:37" ht="18" customHeight="1">
      <c r="A14" s="388"/>
      <c r="B14" s="388"/>
      <c r="C14" s="388"/>
      <c r="D14" s="388"/>
      <c r="E14" s="219"/>
      <c r="F14" s="219"/>
      <c r="G14" s="220"/>
      <c r="H14" s="220"/>
      <c r="I14" s="220"/>
      <c r="J14" s="220"/>
      <c r="K14" s="220"/>
      <c r="L14" s="220"/>
      <c r="M14" s="220"/>
      <c r="N14" s="220"/>
      <c r="O14" s="220"/>
      <c r="P14" s="220"/>
      <c r="Q14" s="252">
        <v>11</v>
      </c>
      <c r="S14" s="395" t="str">
        <f>IFERROR(VLOOKUP(☆入力!$G26,選定!$C$1:$AG$100,8,FALSE),"0")</f>
        <v>0</v>
      </c>
      <c r="T14" s="396">
        <f>S14*☆入力!L26</f>
        <v>0</v>
      </c>
      <c r="U14" s="396">
        <f>☆入力!AE26*☆入力!L26</f>
        <v>0</v>
      </c>
      <c r="V14" s="396">
        <f t="shared" si="3"/>
        <v>0</v>
      </c>
      <c r="X14" s="397" t="str">
        <f>IFERROR((代理店入力用!$D$5/☆入力!$AH$14)*☆入力!$AH26,"0")</f>
        <v>0</v>
      </c>
      <c r="Y14" s="397">
        <f t="shared" si="2"/>
        <v>0</v>
      </c>
      <c r="AH14" s="729" t="s">
        <v>23</v>
      </c>
      <c r="AI14" s="730">
        <f>ROUNDDOWN(☆入力!W26*☆入力!X26,0)</f>
        <v>0</v>
      </c>
      <c r="AJ14" s="730">
        <f>ROUNDDOWN(☆入力!AB26*☆入力!X26,0)</f>
        <v>0</v>
      </c>
      <c r="AK14" s="730">
        <f>ROUNDDOWN(☆入力!AB26*☆入力!AD26,0)</f>
        <v>0</v>
      </c>
    </row>
    <row r="15" spans="1:37" ht="18" customHeight="1">
      <c r="A15" s="388"/>
      <c r="B15" s="388"/>
      <c r="C15" s="388"/>
      <c r="D15" s="388"/>
      <c r="E15" s="219"/>
      <c r="F15" s="219"/>
      <c r="G15" s="220"/>
      <c r="H15" s="220"/>
      <c r="I15" s="220"/>
      <c r="J15" s="220"/>
      <c r="K15" s="220"/>
      <c r="L15" s="220"/>
      <c r="M15" s="220"/>
      <c r="N15" s="220"/>
      <c r="O15" s="220"/>
      <c r="P15" s="220"/>
      <c r="Q15" s="252">
        <v>12</v>
      </c>
      <c r="S15" s="395" t="str">
        <f>IFERROR(VLOOKUP(☆入力!$G27,選定!$C$1:$AG$100,8,FALSE),"0")</f>
        <v>0</v>
      </c>
      <c r="T15" s="396">
        <f>S15*☆入力!L27</f>
        <v>0</v>
      </c>
      <c r="U15" s="396">
        <f>☆入力!AE27*☆入力!L27</f>
        <v>0</v>
      </c>
      <c r="V15" s="396">
        <f t="shared" si="3"/>
        <v>0</v>
      </c>
      <c r="X15" s="397" t="str">
        <f>IFERROR((代理店入力用!$D$5/☆入力!$AH$14)*☆入力!$AH27,"0")</f>
        <v>0</v>
      </c>
      <c r="Y15" s="397">
        <f t="shared" si="2"/>
        <v>0</v>
      </c>
      <c r="AH15" s="729" t="s">
        <v>24</v>
      </c>
      <c r="AI15" s="730">
        <f>ROUNDDOWN(☆入力!W27*☆入力!X27,0)</f>
        <v>0</v>
      </c>
      <c r="AJ15" s="730">
        <f>ROUNDDOWN(☆入力!AB27*☆入力!X27,0)</f>
        <v>0</v>
      </c>
      <c r="AK15" s="730">
        <f>ROUNDDOWN(☆入力!AB27*☆入力!AD27,0)</f>
        <v>0</v>
      </c>
    </row>
    <row r="16" spans="1:37" ht="18" customHeight="1">
      <c r="A16" s="388"/>
      <c r="B16" s="124"/>
      <c r="C16" s="124" t="s">
        <v>7</v>
      </c>
      <c r="D16" s="124" t="s">
        <v>25</v>
      </c>
      <c r="E16" s="124" t="s">
        <v>26</v>
      </c>
      <c r="F16" s="21"/>
      <c r="G16" s="22"/>
      <c r="H16" s="145" t="s">
        <v>27</v>
      </c>
      <c r="I16" s="145" t="s">
        <v>28</v>
      </c>
      <c r="J16" s="21"/>
      <c r="K16" s="21"/>
      <c r="L16" s="219"/>
      <c r="M16" s="402">
        <v>360</v>
      </c>
      <c r="N16" s="402">
        <f>SUMIF(☆入力!H16:H40,360,☆入力!L16:L40)</f>
        <v>0</v>
      </c>
      <c r="O16" s="219"/>
      <c r="P16" s="219"/>
      <c r="Q16" s="252">
        <v>13</v>
      </c>
      <c r="S16" s="395" t="str">
        <f>IFERROR(VLOOKUP(☆入力!$G28,選定!$C$1:$AG$100,8,FALSE),"0")</f>
        <v>0</v>
      </c>
      <c r="T16" s="396">
        <f>S16*☆入力!L28</f>
        <v>0</v>
      </c>
      <c r="U16" s="396">
        <f>☆入力!AE28*☆入力!L28</f>
        <v>0</v>
      </c>
      <c r="V16" s="396">
        <f t="shared" si="3"/>
        <v>0</v>
      </c>
      <c r="X16" s="397" t="str">
        <f>IFERROR((代理店入力用!$D$5/☆入力!$AH$14)*☆入力!$AH28,"0")</f>
        <v>0</v>
      </c>
      <c r="Y16" s="397">
        <f t="shared" si="2"/>
        <v>0</v>
      </c>
      <c r="AH16" s="729" t="s">
        <v>29</v>
      </c>
      <c r="AI16" s="730">
        <f>ROUNDDOWN(☆入力!W28*☆入力!X28,0)</f>
        <v>0</v>
      </c>
      <c r="AJ16" s="730">
        <f>ROUNDDOWN(☆入力!AB28*☆入力!X28,0)</f>
        <v>0</v>
      </c>
      <c r="AK16" s="730">
        <f>ROUNDDOWN(☆入力!AB28*☆入力!AD28,0)</f>
        <v>0</v>
      </c>
    </row>
    <row r="17" spans="1:37" ht="18" customHeight="1">
      <c r="A17" s="388"/>
      <c r="B17" s="124" t="s">
        <v>30</v>
      </c>
      <c r="C17" s="124"/>
      <c r="D17" s="124"/>
      <c r="E17" s="124"/>
      <c r="F17" s="21"/>
      <c r="G17" s="21"/>
      <c r="I17" s="21"/>
      <c r="J17" s="21"/>
      <c r="K17" s="21"/>
      <c r="L17" s="221"/>
      <c r="M17" s="402">
        <v>720</v>
      </c>
      <c r="N17" s="402">
        <f>SUMIF(☆入力!H16:H40,720,☆入力!L16:L40)</f>
        <v>0</v>
      </c>
      <c r="O17" s="221"/>
      <c r="P17" s="221"/>
      <c r="Q17" s="252">
        <v>14</v>
      </c>
      <c r="S17" s="395" t="str">
        <f>IFERROR(VLOOKUP(☆入力!$G29,選定!$C$1:$AG$100,8,FALSE),"0")</f>
        <v>0</v>
      </c>
      <c r="T17" s="396">
        <f>S17*☆入力!L29</f>
        <v>0</v>
      </c>
      <c r="U17" s="396">
        <f>☆入力!AE29*☆入力!L29</f>
        <v>0</v>
      </c>
      <c r="V17" s="396">
        <f t="shared" si="3"/>
        <v>0</v>
      </c>
      <c r="X17" s="397" t="str">
        <f>IFERROR((代理店入力用!$D$5/☆入力!$AH$14)*☆入力!$AH29,"0")</f>
        <v>0</v>
      </c>
      <c r="Y17" s="397">
        <f t="shared" si="2"/>
        <v>0</v>
      </c>
      <c r="AH17" s="729" t="s">
        <v>31</v>
      </c>
      <c r="AI17" s="730">
        <f>ROUNDDOWN(☆入力!W29*☆入力!X29,0)</f>
        <v>0</v>
      </c>
      <c r="AJ17" s="730">
        <f>ROUNDDOWN(☆入力!AB29*☆入力!X29,0)</f>
        <v>0</v>
      </c>
      <c r="AK17" s="730">
        <f>ROUNDDOWN(☆入力!AB29*☆入力!AD29,0)</f>
        <v>0</v>
      </c>
    </row>
    <row r="18" spans="1:37" ht="18" customHeight="1">
      <c r="A18" s="388"/>
      <c r="B18" s="125" t="s">
        <v>32</v>
      </c>
      <c r="C18" s="124"/>
      <c r="D18" s="124"/>
      <c r="E18" s="124"/>
      <c r="F18" s="21"/>
      <c r="G18" s="21"/>
      <c r="H18" s="23" t="s">
        <v>33</v>
      </c>
      <c r="I18" s="21"/>
      <c r="J18" s="403"/>
      <c r="K18" s="84"/>
      <c r="L18" s="219"/>
      <c r="M18" s="219"/>
      <c r="N18" s="219"/>
      <c r="O18" s="219"/>
      <c r="P18" s="219"/>
      <c r="Q18" s="252">
        <v>15</v>
      </c>
      <c r="S18" s="395" t="str">
        <f>IFERROR(VLOOKUP(☆入力!$G30,選定!$C$1:$AG$100,8,FALSE),"0")</f>
        <v>0</v>
      </c>
      <c r="T18" s="396">
        <f>S18*☆入力!L30</f>
        <v>0</v>
      </c>
      <c r="U18" s="396">
        <f>☆入力!AE30*☆入力!L30</f>
        <v>0</v>
      </c>
      <c r="V18" s="396">
        <f t="shared" si="3"/>
        <v>0</v>
      </c>
      <c r="X18" s="397" t="str">
        <f>IFERROR((代理店入力用!$D$5/☆入力!$AH$14)*☆入力!$AH30,"0")</f>
        <v>0</v>
      </c>
      <c r="Y18" s="397">
        <f t="shared" si="2"/>
        <v>0</v>
      </c>
      <c r="AH18" s="729" t="s">
        <v>34</v>
      </c>
      <c r="AI18" s="730">
        <f>ROUNDDOWN(☆入力!W30*☆入力!X30,0)</f>
        <v>0</v>
      </c>
      <c r="AJ18" s="730">
        <f>ROUNDDOWN(☆入力!AB30*☆入力!X30,0)</f>
        <v>0</v>
      </c>
      <c r="AK18" s="730">
        <f>ROUNDDOWN(☆入力!AB30*☆入力!AD30,0)</f>
        <v>0</v>
      </c>
    </row>
    <row r="19" spans="1:37" ht="18" customHeight="1">
      <c r="A19" s="388"/>
      <c r="B19" s="126" t="s">
        <v>33</v>
      </c>
      <c r="C19" s="126"/>
      <c r="D19" s="126"/>
      <c r="E19" s="126"/>
      <c r="F19" s="21"/>
      <c r="G19" s="21"/>
      <c r="H19" s="24" t="s">
        <v>35</v>
      </c>
      <c r="I19" s="404"/>
      <c r="J19" s="82">
        <f ca="1">⑧見積書!J10</f>
        <v>0</v>
      </c>
      <c r="K19" s="404"/>
      <c r="L19" s="219"/>
      <c r="M19" s="219"/>
      <c r="N19" s="219"/>
      <c r="O19" s="219"/>
      <c r="P19" s="219"/>
      <c r="Q19" s="252">
        <v>16</v>
      </c>
      <c r="S19" s="395" t="str">
        <f>IFERROR(VLOOKUP(☆入力!$G31,選定!$C$1:$AG$100,8,FALSE),"0")</f>
        <v>0</v>
      </c>
      <c r="T19" s="396">
        <f>S19*☆入力!L31</f>
        <v>0</v>
      </c>
      <c r="U19" s="396">
        <f>☆入力!AE31*☆入力!L31</f>
        <v>0</v>
      </c>
      <c r="V19" s="396">
        <f t="shared" si="3"/>
        <v>0</v>
      </c>
      <c r="X19" s="397" t="str">
        <f>IFERROR((代理店入力用!$D$5/☆入力!$AH$14)*☆入力!$AH31,"0")</f>
        <v>0</v>
      </c>
      <c r="Y19" s="397">
        <f t="shared" si="2"/>
        <v>0</v>
      </c>
      <c r="AH19" s="729" t="s">
        <v>36</v>
      </c>
      <c r="AI19" s="730">
        <f>ROUNDDOWN(☆入力!W31*☆入力!X31,0)</f>
        <v>0</v>
      </c>
      <c r="AJ19" s="730">
        <f>ROUNDDOWN(☆入力!AB31*☆入力!X31,0)</f>
        <v>0</v>
      </c>
      <c r="AK19" s="730">
        <f>ROUNDDOWN(☆入力!AB31*☆入力!AD31,0)</f>
        <v>0</v>
      </c>
    </row>
    <row r="20" spans="1:37" ht="18" customHeight="1">
      <c r="A20" s="388"/>
      <c r="B20" s="127" t="s">
        <v>35</v>
      </c>
      <c r="C20" s="128"/>
      <c r="D20" s="128" t="e">
        <f>ROUNDDOWN(LED計算式!#REF!,1)</f>
        <v>#REF!</v>
      </c>
      <c r="E20" s="128"/>
      <c r="F20" s="21"/>
      <c r="G20" s="21"/>
      <c r="H20" s="25" t="s">
        <v>37</v>
      </c>
      <c r="I20" s="140">
        <f>ROUNDDOWN((②前a!AS13+②前a!AS24)/120,0)</f>
        <v>0</v>
      </c>
      <c r="J20" s="26">
        <f>ROUNDDOWN((③後a!AS13+③後a!AS24)/120,0)</f>
        <v>0</v>
      </c>
      <c r="K20" s="26">
        <f>ROUNDDOWN((③後a!AS13+③後a!AS24)/120,0)</f>
        <v>0</v>
      </c>
      <c r="L20" s="219"/>
      <c r="M20" s="405" t="s">
        <v>38</v>
      </c>
      <c r="N20" s="406" t="s">
        <v>39</v>
      </c>
      <c r="O20" s="219"/>
      <c r="P20" s="219"/>
      <c r="Q20" s="252">
        <v>17</v>
      </c>
      <c r="S20" s="395" t="str">
        <f>IFERROR(VLOOKUP(☆入力!$G32,選定!$C$1:$AG$100,8,FALSE),"0")</f>
        <v>0</v>
      </c>
      <c r="T20" s="396">
        <f>S20*☆入力!L32</f>
        <v>0</v>
      </c>
      <c r="U20" s="396">
        <f>☆入力!AE32*☆入力!L32</f>
        <v>0</v>
      </c>
      <c r="V20" s="396">
        <f t="shared" si="3"/>
        <v>0</v>
      </c>
      <c r="X20" s="397" t="str">
        <f>IFERROR((代理店入力用!$D$5/☆入力!$AH$14)*☆入力!$AH32,"0")</f>
        <v>0</v>
      </c>
      <c r="Y20" s="397">
        <f t="shared" si="2"/>
        <v>0</v>
      </c>
      <c r="AH20" s="729" t="s">
        <v>40</v>
      </c>
      <c r="AI20" s="730">
        <f>ROUNDDOWN(☆入力!W32*☆入力!X32,0)</f>
        <v>0</v>
      </c>
      <c r="AJ20" s="730">
        <f>ROUNDDOWN(☆入力!AB32*☆入力!X32,0)</f>
        <v>0</v>
      </c>
      <c r="AK20" s="730">
        <f>ROUNDDOWN(☆入力!AB32*☆入力!AD32,0)</f>
        <v>0</v>
      </c>
    </row>
    <row r="21" spans="1:37" ht="18" customHeight="1">
      <c r="A21" s="388"/>
      <c r="B21" s="129" t="s">
        <v>41</v>
      </c>
      <c r="C21" s="130">
        <f>ROUNDDOWN(☆入力!Y14,1)</f>
        <v>0</v>
      </c>
      <c r="D21" s="130">
        <f>ROUNDDOWN(☆入力!AC14,1)</f>
        <v>0</v>
      </c>
      <c r="E21" s="130">
        <f>ROUNDDOWN(☆入力!AC14,1)</f>
        <v>0</v>
      </c>
      <c r="F21" s="21"/>
      <c r="G21" s="21"/>
      <c r="H21" s="25" t="s">
        <v>41</v>
      </c>
      <c r="I21" s="26">
        <f>ROUNDDOWN(C21,0)</f>
        <v>0</v>
      </c>
      <c r="J21" s="26">
        <f>ROUNDDOWN(D21,0)</f>
        <v>0</v>
      </c>
      <c r="K21" s="26">
        <f>ROUNDDOWN(E21,0)</f>
        <v>0</v>
      </c>
      <c r="L21" s="219"/>
      <c r="M21" s="407">
        <v>0</v>
      </c>
      <c r="N21" s="408">
        <v>1</v>
      </c>
      <c r="O21" s="219"/>
      <c r="P21" s="219"/>
      <c r="Q21" s="252">
        <v>18</v>
      </c>
      <c r="S21" s="395" t="str">
        <f>IFERROR(VLOOKUP(☆入力!$G33,選定!$C$1:$AG$100,8,FALSE),"0")</f>
        <v>0</v>
      </c>
      <c r="T21" s="396">
        <f>S21*☆入力!L33</f>
        <v>0</v>
      </c>
      <c r="U21" s="396">
        <f>☆入力!AE33*☆入力!L33</f>
        <v>0</v>
      </c>
      <c r="V21" s="396">
        <f t="shared" si="3"/>
        <v>0</v>
      </c>
      <c r="X21" s="397" t="str">
        <f>IFERROR((代理店入力用!$D$5/☆入力!$AH$14)*☆入力!$AH33,"0")</f>
        <v>0</v>
      </c>
      <c r="Y21" s="397">
        <f t="shared" si="2"/>
        <v>0</v>
      </c>
      <c r="AH21" s="729" t="s">
        <v>42</v>
      </c>
      <c r="AI21" s="730">
        <f>ROUNDDOWN(☆入力!W33*☆入力!X33,0)</f>
        <v>0</v>
      </c>
      <c r="AJ21" s="730">
        <f>ROUNDDOWN(☆入力!AB33*☆入力!X33,0)</f>
        <v>0</v>
      </c>
      <c r="AK21" s="730">
        <f>ROUNDDOWN(☆入力!AB33*☆入力!AD33,0)</f>
        <v>0</v>
      </c>
    </row>
    <row r="22" spans="1:37" ht="18" customHeight="1">
      <c r="A22" s="388"/>
      <c r="B22" s="131" t="s">
        <v>43</v>
      </c>
      <c r="C22" s="132">
        <f>SUM(C19:C21)</f>
        <v>0</v>
      </c>
      <c r="D22" s="132" t="e">
        <f>SUM(D19:D21)</f>
        <v>#REF!</v>
      </c>
      <c r="E22" s="132">
        <f>SUM(E19:E21)</f>
        <v>0</v>
      </c>
      <c r="F22" s="21"/>
      <c r="G22" s="21"/>
      <c r="H22" s="143" t="s">
        <v>43</v>
      </c>
      <c r="I22" s="144">
        <f>SUM(I20:I21)</f>
        <v>0</v>
      </c>
      <c r="J22" s="144">
        <f ca="1">SUM(J19:J21)</f>
        <v>0</v>
      </c>
      <c r="K22" s="144">
        <f>SUM(K19:K21)</f>
        <v>0</v>
      </c>
      <c r="L22" s="219"/>
      <c r="M22" s="407">
        <v>21</v>
      </c>
      <c r="N22" s="408">
        <v>2</v>
      </c>
      <c r="O22" s="219"/>
      <c r="P22" s="219"/>
      <c r="Q22" s="252">
        <v>19</v>
      </c>
      <c r="S22" s="395" t="str">
        <f>IFERROR(VLOOKUP(☆入力!$G34,選定!$C$1:$AG$100,8,FALSE),"0")</f>
        <v>0</v>
      </c>
      <c r="T22" s="396">
        <f>S22*☆入力!L34</f>
        <v>0</v>
      </c>
      <c r="U22" s="396">
        <f>☆入力!AE34*☆入力!L34</f>
        <v>0</v>
      </c>
      <c r="V22" s="396">
        <f t="shared" si="3"/>
        <v>0</v>
      </c>
      <c r="X22" s="397" t="str">
        <f>IFERROR((代理店入力用!$D$5/☆入力!$AH$14)*☆入力!$AH34,"0")</f>
        <v>0</v>
      </c>
      <c r="Y22" s="397">
        <f t="shared" si="2"/>
        <v>0</v>
      </c>
      <c r="AH22" s="729" t="s">
        <v>44</v>
      </c>
      <c r="AI22" s="730">
        <f>ROUNDDOWN(☆入力!W34*☆入力!X34,0)</f>
        <v>0</v>
      </c>
      <c r="AJ22" s="730">
        <f>ROUNDDOWN(☆入力!AB34*☆入力!X34,0)</f>
        <v>0</v>
      </c>
      <c r="AK22" s="730">
        <f>ROUNDDOWN(☆入力!AB34*☆入力!AD34,0)</f>
        <v>0</v>
      </c>
    </row>
    <row r="23" spans="1:37" ht="18" customHeight="1">
      <c r="A23" s="388"/>
      <c r="B23" s="125"/>
      <c r="C23" s="125"/>
      <c r="D23" s="133" t="e">
        <f>C22-D22</f>
        <v>#REF!</v>
      </c>
      <c r="E23" s="133">
        <f>C22-E22</f>
        <v>0</v>
      </c>
      <c r="F23" s="21"/>
      <c r="G23" s="21"/>
      <c r="H23" s="141"/>
      <c r="I23" s="141"/>
      <c r="J23" s="142">
        <f ca="1">INT(I22-J22)</f>
        <v>0</v>
      </c>
      <c r="K23" s="142">
        <f>INT(I22-K22)</f>
        <v>0</v>
      </c>
      <c r="L23" s="220"/>
      <c r="M23" s="407">
        <v>41</v>
      </c>
      <c r="N23" s="408">
        <v>3</v>
      </c>
      <c r="O23" s="220"/>
      <c r="P23" s="220"/>
      <c r="Q23" s="252">
        <v>20</v>
      </c>
      <c r="S23" s="395" t="str">
        <f>IFERROR(VLOOKUP(☆入力!$G35,選定!$C$1:$AG$100,8,FALSE),"0")</f>
        <v>0</v>
      </c>
      <c r="T23" s="396">
        <f>S23*☆入力!L35</f>
        <v>0</v>
      </c>
      <c r="U23" s="396">
        <f>☆入力!AE35*☆入力!L35</f>
        <v>0</v>
      </c>
      <c r="V23" s="396">
        <f t="shared" si="3"/>
        <v>0</v>
      </c>
      <c r="X23" s="397" t="str">
        <f>IFERROR((代理店入力用!$D$5/☆入力!$AH$14)*☆入力!$AH35,"0")</f>
        <v>0</v>
      </c>
      <c r="Y23" s="397">
        <f t="shared" si="2"/>
        <v>0</v>
      </c>
      <c r="AH23" s="729" t="s">
        <v>45</v>
      </c>
      <c r="AI23" s="730">
        <f>ROUNDDOWN(☆入力!W35*☆入力!X35,0)</f>
        <v>0</v>
      </c>
      <c r="AJ23" s="730">
        <f>ROUNDDOWN(☆入力!AB35*☆入力!X35,0)</f>
        <v>0</v>
      </c>
      <c r="AK23" s="730">
        <f>ROUNDDOWN(☆入力!AB35*☆入力!AD35,0)</f>
        <v>0</v>
      </c>
    </row>
    <row r="24" spans="1:37" ht="18" customHeight="1">
      <c r="A24" s="388"/>
      <c r="B24" s="124"/>
      <c r="C24" s="124"/>
      <c r="D24" s="134" t="e">
        <f>100%-(D22/C22)</f>
        <v>#REF!</v>
      </c>
      <c r="E24" s="134" t="e">
        <f>100%-(E22/C22)</f>
        <v>#DIV/0!</v>
      </c>
      <c r="F24" s="21"/>
      <c r="G24" s="21"/>
      <c r="H24" s="102"/>
      <c r="I24" s="102"/>
      <c r="J24" s="306" t="e">
        <f ca="1">100%-(J22/I22)</f>
        <v>#DIV/0!</v>
      </c>
      <c r="K24" s="103" t="e">
        <f>100%-(K22/I22)</f>
        <v>#DIV/0!</v>
      </c>
      <c r="L24" s="220"/>
      <c r="M24" s="407">
        <v>61</v>
      </c>
      <c r="N24" s="408">
        <v>4</v>
      </c>
      <c r="O24" s="220"/>
      <c r="P24" s="220"/>
      <c r="Q24" s="252">
        <v>21</v>
      </c>
      <c r="S24" s="395" t="str">
        <f>IFERROR(VLOOKUP(☆入力!$G36,選定!$C$1:$AG$100,8,FALSE),"0")</f>
        <v>0</v>
      </c>
      <c r="T24" s="396">
        <f>S24*☆入力!L36</f>
        <v>0</v>
      </c>
      <c r="U24" s="396">
        <f>☆入力!AE36*☆入力!L36</f>
        <v>0</v>
      </c>
      <c r="V24" s="396">
        <f t="shared" si="3"/>
        <v>0</v>
      </c>
      <c r="X24" s="397" t="str">
        <f>IFERROR((代理店入力用!$D$5/☆入力!$AH$14)*☆入力!$AH36,"0")</f>
        <v>0</v>
      </c>
      <c r="Y24" s="397">
        <f t="shared" si="2"/>
        <v>0</v>
      </c>
      <c r="AH24" s="729" t="s">
        <v>46</v>
      </c>
      <c r="AI24" s="730">
        <f>ROUNDDOWN(☆入力!W36*☆入力!X36,0)</f>
        <v>0</v>
      </c>
      <c r="AJ24" s="730">
        <f>ROUNDDOWN(☆入力!AB36*☆入力!X36,0)</f>
        <v>0</v>
      </c>
      <c r="AK24" s="730">
        <f>ROUNDDOWN(☆入力!AB36*☆入力!AD36,0)</f>
        <v>0</v>
      </c>
    </row>
    <row r="25" spans="1:37" ht="18" customHeight="1">
      <c r="A25" s="388"/>
      <c r="B25" s="124"/>
      <c r="C25" s="124"/>
      <c r="D25" s="135" t="e">
        <f>-(C22-D22)</f>
        <v>#REF!</v>
      </c>
      <c r="E25" s="124"/>
      <c r="F25" s="21"/>
      <c r="G25" s="21"/>
      <c r="H25" s="21"/>
      <c r="I25" s="21"/>
      <c r="J25" s="27">
        <f ca="1">-(I22-J22)</f>
        <v>0</v>
      </c>
      <c r="K25" s="21"/>
      <c r="L25" s="220"/>
      <c r="M25" s="407">
        <v>81</v>
      </c>
      <c r="N25" s="408">
        <v>5</v>
      </c>
      <c r="O25" s="220"/>
      <c r="P25" s="220"/>
      <c r="Q25" s="252">
        <v>22</v>
      </c>
      <c r="S25" s="395" t="str">
        <f>IFERROR(VLOOKUP(☆入力!$G37,選定!$C$1:$AG$100,8,FALSE),"0")</f>
        <v>0</v>
      </c>
      <c r="T25" s="396">
        <f>S25*☆入力!L37</f>
        <v>0</v>
      </c>
      <c r="U25" s="396">
        <f>☆入力!AE37*☆入力!L37</f>
        <v>0</v>
      </c>
      <c r="V25" s="396">
        <f t="shared" si="3"/>
        <v>0</v>
      </c>
      <c r="X25" s="397" t="str">
        <f>IFERROR((代理店入力用!$D$5/☆入力!$AH$14)*☆入力!$AH37,"0")</f>
        <v>0</v>
      </c>
      <c r="Y25" s="397">
        <f t="shared" si="2"/>
        <v>0</v>
      </c>
      <c r="AH25" s="729" t="s">
        <v>47</v>
      </c>
      <c r="AI25" s="730">
        <f>ROUNDDOWN(☆入力!W37*☆入力!X37,0)</f>
        <v>0</v>
      </c>
      <c r="AJ25" s="730">
        <f>ROUNDDOWN(☆入力!AB37*☆入力!X37,0)</f>
        <v>0</v>
      </c>
      <c r="AK25" s="730">
        <f>ROUNDDOWN(☆入力!AB37*☆入力!AD37,0)</f>
        <v>0</v>
      </c>
    </row>
    <row r="26" spans="1:37" ht="18" customHeight="1">
      <c r="A26" s="388"/>
      <c r="B26" s="23"/>
      <c r="C26" s="21"/>
      <c r="D26" s="21"/>
      <c r="E26" s="21"/>
      <c r="F26" s="21"/>
      <c r="G26" s="21"/>
      <c r="H26" s="23"/>
      <c r="I26" s="21"/>
      <c r="J26" s="21"/>
      <c r="K26" s="21"/>
      <c r="L26" s="220"/>
      <c r="M26" s="409">
        <v>100</v>
      </c>
      <c r="N26" s="410">
        <v>6</v>
      </c>
      <c r="O26" s="220"/>
      <c r="P26" s="220"/>
      <c r="Q26" s="252">
        <v>23</v>
      </c>
      <c r="S26" s="395" t="str">
        <f>IFERROR(VLOOKUP(☆入力!$G38,選定!$C$1:$AG$100,8,FALSE),"0")</f>
        <v>0</v>
      </c>
      <c r="T26" s="396">
        <f>S26*☆入力!L38</f>
        <v>0</v>
      </c>
      <c r="U26" s="396">
        <f>☆入力!AE38*☆入力!L38</f>
        <v>0</v>
      </c>
      <c r="V26" s="396">
        <f t="shared" si="3"/>
        <v>0</v>
      </c>
      <c r="X26" s="397" t="str">
        <f>IFERROR((代理店入力用!$D$5/☆入力!$AH$14)*☆入力!$AH38,"0")</f>
        <v>0</v>
      </c>
      <c r="Y26" s="397">
        <f t="shared" si="2"/>
        <v>0</v>
      </c>
      <c r="AH26" s="729" t="s">
        <v>48</v>
      </c>
      <c r="AI26" s="730">
        <f>ROUNDDOWN(☆入力!W38*☆入力!X38,0)</f>
        <v>0</v>
      </c>
      <c r="AJ26" s="730">
        <f>ROUNDDOWN(☆入力!AB38*☆入力!X38,0)</f>
        <v>0</v>
      </c>
      <c r="AK26" s="730">
        <f>ROUNDDOWN(☆入力!AB38*☆入力!AD38,0)</f>
        <v>0</v>
      </c>
    </row>
    <row r="27" spans="1:37" ht="18" customHeight="1">
      <c r="A27" s="388"/>
      <c r="B27" s="136"/>
      <c r="C27" s="136"/>
      <c r="D27" s="136"/>
      <c r="E27" s="136"/>
      <c r="F27" s="21"/>
      <c r="G27" s="21"/>
      <c r="H27" s="136"/>
      <c r="I27" s="136"/>
      <c r="J27" s="136"/>
      <c r="K27" s="136"/>
      <c r="L27" s="220"/>
      <c r="M27" s="411">
        <v>1000</v>
      </c>
      <c r="N27" s="410">
        <v>50</v>
      </c>
      <c r="O27" s="220"/>
      <c r="P27" s="220"/>
      <c r="Q27" s="252">
        <v>24</v>
      </c>
      <c r="S27" s="395" t="str">
        <f>IFERROR(VLOOKUP(☆入力!$G39,選定!$C$1:$AG$100,8,FALSE),"0")</f>
        <v>0</v>
      </c>
      <c r="T27" s="396">
        <f>S27*☆入力!L39</f>
        <v>0</v>
      </c>
      <c r="U27" s="396">
        <f>☆入力!AE39*☆入力!L39</f>
        <v>0</v>
      </c>
      <c r="V27" s="396">
        <f t="shared" si="3"/>
        <v>0</v>
      </c>
      <c r="X27" s="397" t="str">
        <f>IFERROR((代理店入力用!$D$5/☆入力!$AH$14)*☆入力!$AH39,"0")</f>
        <v>0</v>
      </c>
      <c r="Y27" s="397">
        <f t="shared" si="2"/>
        <v>0</v>
      </c>
      <c r="AH27" s="729" t="s">
        <v>49</v>
      </c>
      <c r="AI27" s="730">
        <f>ROUNDDOWN(☆入力!W39*☆入力!X39,0)</f>
        <v>0</v>
      </c>
      <c r="AJ27" s="730">
        <f>ROUNDDOWN(☆入力!AB39*☆入力!X39,0)</f>
        <v>0</v>
      </c>
      <c r="AK27" s="730">
        <f>ROUNDDOWN(☆入力!AB39*☆入力!AD39,0)</f>
        <v>0</v>
      </c>
    </row>
    <row r="28" spans="1:37" ht="18" customHeight="1">
      <c r="A28" s="388"/>
      <c r="B28" s="136"/>
      <c r="C28" s="137"/>
      <c r="D28" s="137"/>
      <c r="E28" s="137"/>
      <c r="F28" s="21"/>
      <c r="G28" s="21"/>
      <c r="H28" s="136"/>
      <c r="I28" s="137"/>
      <c r="J28" s="137"/>
      <c r="K28" s="137"/>
      <c r="L28" s="220"/>
      <c r="M28" s="220"/>
      <c r="N28" s="220"/>
      <c r="O28" s="220"/>
      <c r="P28" s="220"/>
      <c r="Q28" s="252">
        <v>25</v>
      </c>
      <c r="S28" s="395" t="str">
        <f>IFERROR(VLOOKUP(☆入力!$G40,選定!$C$1:$AG$100,8,FALSE),"0")</f>
        <v>0</v>
      </c>
      <c r="T28" s="396">
        <f>S28*☆入力!L40</f>
        <v>0</v>
      </c>
      <c r="U28" s="396">
        <f>☆入力!AE40*☆入力!L40</f>
        <v>0</v>
      </c>
      <c r="V28" s="396">
        <f t="shared" si="3"/>
        <v>0</v>
      </c>
      <c r="X28" s="397" t="str">
        <f>IFERROR((代理店入力用!$D$5/☆入力!$AH$14)*☆入力!$AH40,"0")</f>
        <v>0</v>
      </c>
      <c r="Y28" s="397">
        <f t="shared" si="2"/>
        <v>0</v>
      </c>
      <c r="AH28" s="729" t="s">
        <v>50</v>
      </c>
      <c r="AI28" s="730">
        <f>ROUNDDOWN(☆入力!W40*☆入力!X40,0)</f>
        <v>0</v>
      </c>
      <c r="AJ28" s="730">
        <f>ROUNDDOWN(☆入力!AB40*☆入力!X40,0)</f>
        <v>0</v>
      </c>
      <c r="AK28" s="730">
        <f>ROUNDDOWN(☆入力!AB40*☆入力!AD40,0)</f>
        <v>0</v>
      </c>
    </row>
    <row r="29" spans="1:37" ht="18" customHeight="1">
      <c r="A29" s="388"/>
      <c r="B29" s="136"/>
      <c r="C29" s="137"/>
      <c r="D29" s="412" t="e">
        <f>100%-(③後a!AS6/②前a!AS6)</f>
        <v>#DIV/0!</v>
      </c>
      <c r="E29" s="137"/>
      <c r="F29" s="21"/>
      <c r="G29" s="21"/>
      <c r="H29" s="146" t="s">
        <v>51</v>
      </c>
      <c r="I29" s="146" t="s">
        <v>52</v>
      </c>
      <c r="J29" s="21"/>
      <c r="K29" s="21"/>
      <c r="L29" s="220"/>
      <c r="M29" s="220"/>
      <c r="N29" s="220"/>
      <c r="O29" s="220"/>
      <c r="P29" s="220"/>
      <c r="Q29" s="252">
        <v>26</v>
      </c>
      <c r="S29" s="395" t="str">
        <f>IFERROR(VLOOKUP(☆入力!$G41,選定!$C$1:$AG$100,8,FALSE),"0")</f>
        <v>0</v>
      </c>
      <c r="T29" s="396">
        <f>S29*☆入力!L41</f>
        <v>0</v>
      </c>
      <c r="U29" s="396">
        <f>☆入力!AE41*☆入力!L41</f>
        <v>0</v>
      </c>
      <c r="V29" s="396">
        <f t="shared" si="3"/>
        <v>0</v>
      </c>
      <c r="X29" s="397" t="str">
        <f>IFERROR((代理店入力用!$D$5/☆入力!$AH$14)*☆入力!$AH41,"0")</f>
        <v>0</v>
      </c>
      <c r="Y29" s="397">
        <f t="shared" si="2"/>
        <v>0</v>
      </c>
      <c r="AH29" s="729" t="s">
        <v>49</v>
      </c>
      <c r="AI29" s="730">
        <f>ROUNDDOWN(☆入力!W41*☆入力!X41,0)</f>
        <v>0</v>
      </c>
      <c r="AJ29" s="730">
        <f>ROUNDDOWN(☆入力!AB41*☆入力!X41,0)</f>
        <v>0</v>
      </c>
      <c r="AK29" s="730">
        <f>ROUNDDOWN(☆入力!AB41*☆入力!AD41,0)</f>
        <v>0</v>
      </c>
    </row>
    <row r="30" spans="1:37" ht="18" customHeight="1">
      <c r="A30" s="388"/>
      <c r="B30" s="136"/>
      <c r="C30" s="137"/>
      <c r="D30" s="413"/>
      <c r="E30" s="137"/>
      <c r="F30" s="21"/>
      <c r="G30" s="21"/>
      <c r="I30" s="21"/>
      <c r="J30" s="21"/>
      <c r="K30" s="21"/>
      <c r="L30" s="220"/>
      <c r="M30" s="220"/>
      <c r="N30" s="220"/>
      <c r="O30" s="220"/>
      <c r="P30" s="220"/>
      <c r="Q30" s="252">
        <v>27</v>
      </c>
      <c r="S30" s="395" t="str">
        <f>IFERROR(VLOOKUP(☆入力!$G42,選定!$C$1:$AG$100,8,FALSE),"0")</f>
        <v>0</v>
      </c>
      <c r="T30" s="396">
        <f>S30*☆入力!L42</f>
        <v>0</v>
      </c>
      <c r="U30" s="396">
        <f>☆入力!AE42*☆入力!L42</f>
        <v>0</v>
      </c>
      <c r="V30" s="396">
        <f t="shared" si="3"/>
        <v>0</v>
      </c>
      <c r="X30" s="397" t="str">
        <f>IFERROR((代理店入力用!$D$5/☆入力!$AH$14)*☆入力!$AH42,"0")</f>
        <v>0</v>
      </c>
      <c r="Y30" s="397">
        <f t="shared" si="2"/>
        <v>0</v>
      </c>
      <c r="AH30" s="729" t="s">
        <v>53</v>
      </c>
      <c r="AI30" s="730">
        <f>ROUNDDOWN(☆入力!W42*☆入力!X42,0)</f>
        <v>0</v>
      </c>
      <c r="AJ30" s="730">
        <f>ROUNDDOWN(☆入力!AB42*☆入力!X42,0)</f>
        <v>0</v>
      </c>
      <c r="AK30" s="730">
        <f>ROUNDDOWN(☆入力!AB42*☆入力!AD42,0)</f>
        <v>0</v>
      </c>
    </row>
    <row r="31" spans="1:37" ht="18" customHeight="1">
      <c r="A31" s="388"/>
      <c r="B31" s="136"/>
      <c r="C31" s="136"/>
      <c r="D31" s="414">
        <f>②前a!AS41-③後a!AS41</f>
        <v>0</v>
      </c>
      <c r="E31" s="138"/>
      <c r="F31" s="21"/>
      <c r="G31" s="21"/>
      <c r="H31" s="23" t="s">
        <v>33</v>
      </c>
      <c r="I31" s="21"/>
      <c r="J31" s="403"/>
      <c r="K31" s="84"/>
      <c r="L31" s="220"/>
      <c r="M31" s="220"/>
      <c r="N31" s="220"/>
      <c r="O31" s="220"/>
      <c r="P31" s="220"/>
      <c r="Q31" s="252">
        <v>28</v>
      </c>
      <c r="S31" s="395" t="str">
        <f>IFERROR(VLOOKUP(☆入力!$G43,選定!$C$1:$AG$100,8,FALSE),"0")</f>
        <v>0</v>
      </c>
      <c r="T31" s="396">
        <f>S31*☆入力!L43</f>
        <v>0</v>
      </c>
      <c r="U31" s="396">
        <f>☆入力!AE43*☆入力!L43</f>
        <v>0</v>
      </c>
      <c r="V31" s="396">
        <f t="shared" si="3"/>
        <v>0</v>
      </c>
      <c r="X31" s="397" t="str">
        <f>IFERROR((代理店入力用!$D$5/☆入力!$AH$14)*☆入力!$AH43,"0")</f>
        <v>0</v>
      </c>
      <c r="Y31" s="397">
        <f t="shared" si="2"/>
        <v>0</v>
      </c>
      <c r="AH31" s="729" t="s">
        <v>54</v>
      </c>
      <c r="AI31" s="730">
        <f>ROUNDDOWN(☆入力!W43*☆入力!X43,0)</f>
        <v>0</v>
      </c>
      <c r="AJ31" s="730">
        <f>ROUNDDOWN(☆入力!AB43*☆入力!X43,0)</f>
        <v>0</v>
      </c>
      <c r="AK31" s="730">
        <f>ROUNDDOWN(☆入力!AB43*☆入力!AD43,0)</f>
        <v>0</v>
      </c>
    </row>
    <row r="32" spans="1:37" ht="18" customHeight="1">
      <c r="A32" s="388"/>
      <c r="B32" s="384">
        <f ca="1">ROUNDDOWN((☆入力!AL14)*(100%-☆入力!AR11)+代理店入力用!D5,0)</f>
        <v>0</v>
      </c>
      <c r="C32" s="21"/>
      <c r="D32" s="413"/>
      <c r="E32" s="139"/>
      <c r="F32" s="21"/>
      <c r="G32" s="21"/>
      <c r="H32" s="24" t="s">
        <v>35</v>
      </c>
      <c r="I32" s="404"/>
      <c r="J32" s="415">
        <f ca="1">'⑧-bｼﾐｭ'!R7</f>
        <v>0</v>
      </c>
      <c r="K32" s="404"/>
      <c r="L32" s="220"/>
      <c r="M32" s="298" t="str">
        <f>VLOOKUP(☆入力!B14,N32:O33,2,)</f>
        <v>試算エリア</v>
      </c>
      <c r="N32" s="267" t="s">
        <v>55</v>
      </c>
      <c r="O32" s="298" t="s">
        <v>56</v>
      </c>
      <c r="P32" s="220"/>
      <c r="Q32" s="252">
        <v>29</v>
      </c>
      <c r="S32" s="395" t="str">
        <f>IFERROR(VLOOKUP(☆入力!$G44,選定!$C$1:$AG$100,8,FALSE),"0")</f>
        <v>0</v>
      </c>
      <c r="T32" s="396">
        <f>S32*☆入力!L44</f>
        <v>0</v>
      </c>
      <c r="U32" s="396">
        <f>☆入力!AE44*☆入力!L44</f>
        <v>0</v>
      </c>
      <c r="V32" s="396">
        <f t="shared" si="3"/>
        <v>0</v>
      </c>
      <c r="X32" s="397" t="str">
        <f>IFERROR((代理店入力用!$D$5/☆入力!$AH$14)*☆入力!$AH44,"0")</f>
        <v>0</v>
      </c>
      <c r="Y32" s="397">
        <f t="shared" si="2"/>
        <v>0</v>
      </c>
      <c r="AH32" s="729" t="s">
        <v>57</v>
      </c>
      <c r="AI32" s="730">
        <f>ROUNDDOWN(☆入力!W44*☆入力!X44,0)</f>
        <v>0</v>
      </c>
      <c r="AJ32" s="730">
        <f>ROUNDDOWN(☆入力!AB44*☆入力!X44,0)</f>
        <v>0</v>
      </c>
      <c r="AK32" s="730">
        <f>ROUNDDOWN(☆入力!AB44*☆入力!AD44,0)</f>
        <v>0</v>
      </c>
    </row>
    <row r="33" spans="1:37" ht="18" customHeight="1">
      <c r="A33" s="388"/>
      <c r="B33" s="384">
        <f ca="1">(B32/(100%-☆入力!AR11))*(100%-☆入力!AR11-☆入力!AR12)</f>
        <v>0</v>
      </c>
      <c r="C33" s="21"/>
      <c r="D33" s="416">
        <f>☆入力!AR11</f>
        <v>0</v>
      </c>
      <c r="E33" s="21"/>
      <c r="F33" s="21"/>
      <c r="G33" s="21"/>
      <c r="H33" s="25" t="s">
        <v>37</v>
      </c>
      <c r="I33" s="140">
        <f t="shared" ref="I33:K34" si="8">I20</f>
        <v>0</v>
      </c>
      <c r="J33" s="26">
        <f t="shared" si="8"/>
        <v>0</v>
      </c>
      <c r="K33" s="26">
        <f t="shared" si="8"/>
        <v>0</v>
      </c>
      <c r="L33" s="220"/>
      <c r="M33" s="38"/>
      <c r="N33" s="267" t="s">
        <v>58</v>
      </c>
      <c r="O33" s="298" t="s">
        <v>59</v>
      </c>
      <c r="P33" s="220"/>
      <c r="Q33" s="252">
        <v>30</v>
      </c>
      <c r="S33" s="395" t="str">
        <f>IFERROR(VLOOKUP(☆入力!$G45,選定!$C$1:$AG$100,8,FALSE),"0")</f>
        <v>0</v>
      </c>
      <c r="T33" s="396">
        <f>S33*☆入力!L45</f>
        <v>0</v>
      </c>
      <c r="U33" s="396">
        <f>☆入力!AE45*☆入力!L45</f>
        <v>0</v>
      </c>
      <c r="V33" s="396">
        <f t="shared" si="3"/>
        <v>0</v>
      </c>
      <c r="X33" s="417" t="str">
        <f>IFERROR((代理店入力用!$D$5/☆入力!$AH$14)*☆入力!$AH45,"0")</f>
        <v>0</v>
      </c>
      <c r="Y33" s="417">
        <f t="shared" si="2"/>
        <v>0</v>
      </c>
      <c r="AH33" s="729" t="s">
        <v>60</v>
      </c>
      <c r="AI33" s="730">
        <f>ROUNDDOWN(☆入力!W45*☆入力!X45,0)</f>
        <v>0</v>
      </c>
      <c r="AJ33" s="730">
        <f>ROUNDDOWN(☆入力!AB45*☆入力!X45,0)</f>
        <v>0</v>
      </c>
      <c r="AK33" s="730">
        <f>ROUNDDOWN(☆入力!AB45*☆入力!AD45,0)</f>
        <v>0</v>
      </c>
    </row>
    <row r="34" spans="1:37" ht="18" customHeight="1">
      <c r="A34" s="388"/>
      <c r="B34" s="21"/>
      <c r="C34" s="21"/>
      <c r="D34" s="21"/>
      <c r="E34" s="21"/>
      <c r="F34" s="21"/>
      <c r="G34" s="21"/>
      <c r="H34" s="25" t="s">
        <v>41</v>
      </c>
      <c r="I34" s="26">
        <f t="shared" si="8"/>
        <v>0</v>
      </c>
      <c r="J34" s="26">
        <f t="shared" si="8"/>
        <v>0</v>
      </c>
      <c r="K34" s="26">
        <f t="shared" si="8"/>
        <v>0</v>
      </c>
      <c r="L34" s="219"/>
      <c r="M34" s="219"/>
      <c r="N34" s="219"/>
      <c r="O34" s="219"/>
      <c r="P34" s="219"/>
      <c r="Q34" s="219"/>
      <c r="R34" s="219"/>
      <c r="S34" s="219"/>
      <c r="T34" s="418"/>
      <c r="U34" s="419"/>
    </row>
    <row r="35" spans="1:37" ht="18" customHeight="1">
      <c r="A35" s="388"/>
      <c r="B35" s="21"/>
      <c r="C35" s="21"/>
      <c r="D35" s="21"/>
      <c r="E35" s="21"/>
      <c r="F35" s="21"/>
      <c r="G35" s="21"/>
      <c r="H35" s="143" t="s">
        <v>43</v>
      </c>
      <c r="I35" s="144">
        <f>SUM(I32:I34)</f>
        <v>0</v>
      </c>
      <c r="J35" s="144">
        <f ca="1">SUM(J32:J34)</f>
        <v>0</v>
      </c>
      <c r="K35" s="144">
        <f>SUM(K32:K34)</f>
        <v>0</v>
      </c>
      <c r="L35" s="220"/>
      <c r="M35" s="220"/>
      <c r="N35" s="220"/>
      <c r="O35" s="220"/>
      <c r="P35" s="220"/>
      <c r="Q35" s="219"/>
      <c r="R35" s="219"/>
      <c r="S35" s="219"/>
      <c r="T35" s="418"/>
      <c r="U35" s="419"/>
    </row>
    <row r="36" spans="1:37" ht="18" customHeight="1">
      <c r="A36" s="388"/>
      <c r="B36" s="21"/>
      <c r="C36" s="223" t="s">
        <v>61</v>
      </c>
      <c r="D36" s="21"/>
      <c r="E36" s="21"/>
      <c r="F36" s="21"/>
      <c r="G36" s="21"/>
      <c r="H36" s="141"/>
      <c r="I36" s="141"/>
      <c r="J36" s="142">
        <f ca="1">INT(I35-J35)</f>
        <v>0</v>
      </c>
      <c r="K36" s="142">
        <f>INT(I35-K35)</f>
        <v>0</v>
      </c>
      <c r="L36" s="220"/>
      <c r="M36" s="38" t="s">
        <v>62</v>
      </c>
      <c r="N36" s="347">
        <v>3000</v>
      </c>
      <c r="O36" s="335">
        <f>SUMIFS(☆入力!$L$16:$L$45,☆入力!$AE$16:$AE$45,N36)</f>
        <v>0</v>
      </c>
      <c r="P36" s="220"/>
      <c r="Q36" s="219"/>
      <c r="R36" s="219"/>
      <c r="S36" s="219"/>
      <c r="T36" s="219"/>
      <c r="U36" s="219"/>
    </row>
    <row r="37" spans="1:37" ht="18" customHeight="1">
      <c r="A37" s="388"/>
      <c r="B37" s="388"/>
      <c r="C37" s="252" t="s">
        <v>63</v>
      </c>
      <c r="D37" s="388"/>
      <c r="E37" s="219"/>
      <c r="F37" s="219"/>
      <c r="G37" s="219"/>
      <c r="H37" s="219"/>
      <c r="I37" s="220"/>
      <c r="J37" s="220"/>
      <c r="K37" s="220"/>
      <c r="L37" s="220"/>
      <c r="M37" s="38" t="s">
        <v>64</v>
      </c>
      <c r="N37" s="347">
        <v>5000</v>
      </c>
      <c r="O37" s="335">
        <f>SUMIFS(☆入力!$L$16:$L$45,☆入力!$AE$16:$AE$45,N37)</f>
        <v>0</v>
      </c>
      <c r="P37" s="220"/>
      <c r="Q37" s="219"/>
      <c r="R37" s="219"/>
      <c r="S37" s="219"/>
      <c r="T37" s="219"/>
      <c r="U37" s="219"/>
    </row>
    <row r="38" spans="1:37" ht="18" customHeight="1">
      <c r="A38" s="388"/>
      <c r="B38" s="388"/>
      <c r="C38" s="252" t="s">
        <v>65</v>
      </c>
      <c r="D38" s="388"/>
      <c r="E38" s="219"/>
      <c r="F38" s="219"/>
      <c r="G38" s="219"/>
      <c r="H38" s="219"/>
      <c r="I38" s="219"/>
      <c r="J38" s="220"/>
      <c r="K38" s="220"/>
      <c r="L38" s="220"/>
      <c r="M38" s="38" t="s">
        <v>66</v>
      </c>
      <c r="N38" s="347"/>
      <c r="O38" s="335">
        <f>SUMIFS(☆入力!$L$16:$L$45,☆入力!$AE$16:$AE$45,N38)</f>
        <v>0</v>
      </c>
      <c r="P38" s="220"/>
      <c r="Q38" s="219"/>
      <c r="R38" s="219"/>
      <c r="S38" s="219"/>
      <c r="T38" s="219"/>
      <c r="U38" s="219"/>
    </row>
    <row r="39" spans="1:37" ht="18" customHeight="1">
      <c r="A39" s="388"/>
      <c r="B39" s="388"/>
      <c r="C39" s="252" t="s">
        <v>67</v>
      </c>
      <c r="D39" s="388"/>
      <c r="E39" s="219"/>
      <c r="F39" s="219"/>
      <c r="G39" s="219"/>
      <c r="H39" s="219"/>
      <c r="I39" s="219"/>
      <c r="J39" s="219"/>
      <c r="K39" s="220"/>
      <c r="L39" s="220"/>
      <c r="M39" s="38" t="s">
        <v>68</v>
      </c>
      <c r="N39" s="347"/>
      <c r="O39" s="335">
        <f>SUMIFS(☆入力!$L$16:$L$45,☆入力!$AE$16:$AE$45,N39)</f>
        <v>0</v>
      </c>
      <c r="P39" s="220"/>
      <c r="Q39" s="219"/>
      <c r="R39" s="219"/>
      <c r="S39" s="219"/>
      <c r="T39" s="219"/>
      <c r="U39" s="219"/>
    </row>
    <row r="40" spans="1:37" ht="18" customHeight="1">
      <c r="A40" s="388"/>
      <c r="B40" s="388"/>
      <c r="C40" s="388" t="s">
        <v>69</v>
      </c>
      <c r="D40" s="388"/>
      <c r="E40" s="219"/>
      <c r="F40" s="219"/>
      <c r="G40" s="222"/>
      <c r="H40" s="222"/>
      <c r="I40" s="222"/>
      <c r="J40" s="222"/>
      <c r="K40" s="222"/>
      <c r="L40" s="222"/>
      <c r="M40" s="222"/>
      <c r="N40" s="222"/>
      <c r="O40" s="222"/>
      <c r="P40" s="222"/>
      <c r="Q40" s="219"/>
      <c r="R40" s="219"/>
      <c r="S40" s="219"/>
      <c r="T40" s="219"/>
      <c r="U40" s="219"/>
    </row>
    <row r="41" spans="1:37" ht="18" customHeight="1" thickBot="1">
      <c r="A41" s="420"/>
      <c r="B41" s="420"/>
      <c r="C41" s="420"/>
      <c r="D41" s="420"/>
      <c r="E41" s="420"/>
      <c r="F41" s="420"/>
      <c r="G41" s="420"/>
      <c r="H41" s="420"/>
      <c r="I41" s="420"/>
      <c r="J41" s="420"/>
      <c r="K41" s="420"/>
      <c r="L41" s="420"/>
      <c r="M41" s="420"/>
      <c r="N41" s="420"/>
      <c r="O41" s="420"/>
      <c r="P41" s="420"/>
      <c r="Q41" s="420"/>
      <c r="R41" s="420"/>
      <c r="S41" s="420"/>
      <c r="T41" s="420"/>
      <c r="U41" s="420"/>
      <c r="V41" s="420"/>
      <c r="W41" s="420"/>
      <c r="X41" s="420"/>
      <c r="Y41" s="420"/>
    </row>
    <row r="42" spans="1:37" ht="18" customHeight="1" thickTop="1">
      <c r="A42" s="448" t="s">
        <v>70</v>
      </c>
    </row>
    <row r="43" spans="1:37" ht="18" customHeight="1">
      <c r="B43" s="252">
        <f>☆入力!AG16</f>
        <v>0</v>
      </c>
      <c r="G43" s="252">
        <f>☆入力!AG17</f>
        <v>0</v>
      </c>
      <c r="L43" s="252">
        <f>☆入力!AG18</f>
        <v>0</v>
      </c>
      <c r="Q43" s="252">
        <f>☆入力!AG19</f>
        <v>0</v>
      </c>
    </row>
    <row r="44" spans="1:37" ht="18" customHeight="1">
      <c r="B44" s="404"/>
      <c r="C44" s="404" t="s">
        <v>7</v>
      </c>
      <c r="D44" s="404" t="s">
        <v>25</v>
      </c>
      <c r="E44" s="404" t="s">
        <v>71</v>
      </c>
      <c r="G44" s="404"/>
      <c r="H44" s="404" t="s">
        <v>7</v>
      </c>
      <c r="I44" s="404" t="s">
        <v>25</v>
      </c>
      <c r="J44" s="404" t="s">
        <v>71</v>
      </c>
      <c r="L44" s="404"/>
      <c r="M44" s="404" t="s">
        <v>7</v>
      </c>
      <c r="N44" s="404" t="s">
        <v>25</v>
      </c>
      <c r="O44" s="404" t="s">
        <v>71</v>
      </c>
      <c r="Q44" s="404"/>
      <c r="R44" s="404" t="s">
        <v>7</v>
      </c>
      <c r="S44" s="404" t="s">
        <v>25</v>
      </c>
      <c r="T44" s="404" t="s">
        <v>71</v>
      </c>
    </row>
    <row r="45" spans="1:37" ht="18" customHeight="1">
      <c r="B45" s="421" t="s">
        <v>35</v>
      </c>
      <c r="C45" s="433"/>
      <c r="D45" s="434">
        <f ca="1">☆入力!AR16</f>
        <v>0</v>
      </c>
      <c r="E45" s="433"/>
      <c r="G45" s="421" t="s">
        <v>35</v>
      </c>
      <c r="H45" s="433"/>
      <c r="I45" s="434">
        <f ca="1">☆入力!AR17</f>
        <v>0</v>
      </c>
      <c r="J45" s="433"/>
      <c r="L45" s="421" t="s">
        <v>35</v>
      </c>
      <c r="M45" s="433"/>
      <c r="N45" s="434">
        <f ca="1">☆入力!AR18</f>
        <v>0</v>
      </c>
      <c r="O45" s="433"/>
      <c r="Q45" s="421" t="s">
        <v>35</v>
      </c>
      <c r="R45" s="433"/>
      <c r="S45" s="434">
        <f ca="1">☆入力!AR19</f>
        <v>0</v>
      </c>
      <c r="T45" s="433"/>
    </row>
    <row r="46" spans="1:37" ht="18" customHeight="1">
      <c r="B46" s="421" t="s">
        <v>37</v>
      </c>
      <c r="C46" s="434">
        <f>K66</f>
        <v>0</v>
      </c>
      <c r="D46" s="433"/>
      <c r="E46" s="433"/>
      <c r="G46" s="421" t="s">
        <v>37</v>
      </c>
      <c r="H46" s="434">
        <f>K67</f>
        <v>0</v>
      </c>
      <c r="I46" s="433"/>
      <c r="J46" s="433"/>
      <c r="L46" s="421" t="s">
        <v>37</v>
      </c>
      <c r="M46" s="434">
        <f>K68</f>
        <v>0</v>
      </c>
      <c r="N46" s="433"/>
      <c r="O46" s="433"/>
      <c r="Q46" s="421" t="s">
        <v>37</v>
      </c>
      <c r="R46" s="434">
        <f>K69</f>
        <v>0</v>
      </c>
      <c r="S46" s="433"/>
      <c r="T46" s="433"/>
    </row>
    <row r="47" spans="1:37" ht="18" customHeight="1">
      <c r="B47" s="421" t="s">
        <v>72</v>
      </c>
      <c r="C47" s="434">
        <f>C66</f>
        <v>0</v>
      </c>
      <c r="D47" s="434">
        <f>D66</f>
        <v>0</v>
      </c>
      <c r="E47" s="434">
        <f>D66</f>
        <v>0</v>
      </c>
      <c r="G47" s="421" t="s">
        <v>72</v>
      </c>
      <c r="H47" s="434">
        <f>C67</f>
        <v>0</v>
      </c>
      <c r="I47" s="434">
        <f>D67</f>
        <v>0</v>
      </c>
      <c r="J47" s="434">
        <f>D67</f>
        <v>0</v>
      </c>
      <c r="L47" s="421" t="s">
        <v>72</v>
      </c>
      <c r="M47" s="434">
        <f>C68</f>
        <v>0</v>
      </c>
      <c r="N47" s="434">
        <f>D68</f>
        <v>0</v>
      </c>
      <c r="O47" s="434">
        <f>D68</f>
        <v>0</v>
      </c>
      <c r="Q47" s="421" t="s">
        <v>72</v>
      </c>
      <c r="R47" s="434">
        <f>C69</f>
        <v>0</v>
      </c>
      <c r="S47" s="434">
        <f>D69</f>
        <v>0</v>
      </c>
      <c r="T47" s="434">
        <f>D69</f>
        <v>0</v>
      </c>
    </row>
    <row r="48" spans="1:37" ht="18" customHeight="1">
      <c r="B48" s="423" t="s">
        <v>43</v>
      </c>
      <c r="C48" s="435">
        <f>SUM(C45:C47)</f>
        <v>0</v>
      </c>
      <c r="D48" s="435">
        <f t="shared" ref="D48:E48" ca="1" si="9">SUM(D45:D47)</f>
        <v>0</v>
      </c>
      <c r="E48" s="435">
        <f t="shared" si="9"/>
        <v>0</v>
      </c>
      <c r="G48" s="423" t="s">
        <v>43</v>
      </c>
      <c r="H48" s="435">
        <f>SUM(H45:H47)</f>
        <v>0</v>
      </c>
      <c r="I48" s="435">
        <f t="shared" ref="I48:J48" ca="1" si="10">SUM(I45:I47)</f>
        <v>0</v>
      </c>
      <c r="J48" s="435">
        <f t="shared" si="10"/>
        <v>0</v>
      </c>
      <c r="L48" s="423" t="s">
        <v>43</v>
      </c>
      <c r="M48" s="435">
        <f>SUM(M45:M47)</f>
        <v>0</v>
      </c>
      <c r="N48" s="435">
        <f t="shared" ref="N48:O48" ca="1" si="11">SUM(N45:N47)</f>
        <v>0</v>
      </c>
      <c r="O48" s="435">
        <f t="shared" si="11"/>
        <v>0</v>
      </c>
      <c r="Q48" s="423" t="s">
        <v>43</v>
      </c>
      <c r="R48" s="435">
        <f>SUM(R45:R47)</f>
        <v>0</v>
      </c>
      <c r="S48" s="435">
        <f t="shared" ref="S48:T48" ca="1" si="12">SUM(S45:S47)</f>
        <v>0</v>
      </c>
      <c r="T48" s="435">
        <f t="shared" si="12"/>
        <v>0</v>
      </c>
    </row>
    <row r="49" spans="1:21" ht="18" customHeight="1">
      <c r="B49" s="449" t="s">
        <v>73</v>
      </c>
      <c r="C49" s="450"/>
      <c r="D49" s="450">
        <f ca="1">C48-D48</f>
        <v>0</v>
      </c>
      <c r="E49" s="450">
        <f>C48-E48</f>
        <v>0</v>
      </c>
      <c r="F49" s="451"/>
      <c r="G49" s="449" t="s">
        <v>73</v>
      </c>
      <c r="H49" s="450"/>
      <c r="I49" s="450">
        <f ca="1">H48-I48</f>
        <v>0</v>
      </c>
      <c r="J49" s="450">
        <f>H48-J48</f>
        <v>0</v>
      </c>
      <c r="K49" s="451"/>
      <c r="L49" s="449" t="s">
        <v>73</v>
      </c>
      <c r="M49" s="450"/>
      <c r="N49" s="450">
        <f ca="1">M48-N48</f>
        <v>0</v>
      </c>
      <c r="O49" s="450">
        <f>M48-O48</f>
        <v>0</v>
      </c>
      <c r="P49" s="451"/>
      <c r="Q49" s="449" t="s">
        <v>73</v>
      </c>
      <c r="R49" s="450"/>
      <c r="S49" s="450">
        <f ca="1">R48-S48</f>
        <v>0</v>
      </c>
      <c r="T49" s="450">
        <f>R48-T48</f>
        <v>0</v>
      </c>
    </row>
    <row r="50" spans="1:21" ht="18" customHeight="1">
      <c r="B50" s="252" t="s">
        <v>74</v>
      </c>
      <c r="C50" s="403">
        <f ca="1">(C48-D48)*60</f>
        <v>0</v>
      </c>
      <c r="D50" s="403"/>
      <c r="E50" s="403"/>
      <c r="H50" s="403">
        <f ca="1">(H48-I48)*60</f>
        <v>0</v>
      </c>
      <c r="I50" s="403"/>
      <c r="J50" s="403"/>
      <c r="M50" s="403">
        <f ca="1">(M48-N48)*60</f>
        <v>0</v>
      </c>
      <c r="N50" s="403"/>
      <c r="O50" s="403"/>
      <c r="R50" s="403">
        <f ca="1">(R48-S48)*60</f>
        <v>0</v>
      </c>
      <c r="S50" s="403"/>
      <c r="T50" s="403"/>
    </row>
    <row r="51" spans="1:21" ht="18" customHeight="1">
      <c r="B51" s="252" t="s">
        <v>75</v>
      </c>
      <c r="C51" s="403">
        <f>(C48-E48)*60</f>
        <v>0</v>
      </c>
      <c r="D51" s="403"/>
      <c r="E51" s="403"/>
      <c r="H51" s="403">
        <f>(H48-J48)*60</f>
        <v>0</v>
      </c>
      <c r="I51" s="403"/>
      <c r="J51" s="403"/>
      <c r="M51" s="403">
        <f>(M48-O48)*60</f>
        <v>0</v>
      </c>
      <c r="N51" s="403"/>
      <c r="O51" s="403"/>
      <c r="R51" s="403">
        <f>(R48-T48)*60</f>
        <v>0</v>
      </c>
      <c r="S51" s="403"/>
      <c r="T51" s="403"/>
    </row>
    <row r="52" spans="1:21" ht="18" customHeight="1">
      <c r="B52" s="252" t="s">
        <v>76</v>
      </c>
      <c r="C52" s="403">
        <f ca="1">C50+C51</f>
        <v>0</v>
      </c>
      <c r="D52" s="403"/>
      <c r="E52" s="403"/>
      <c r="H52" s="403">
        <f ca="1">H50+H51</f>
        <v>0</v>
      </c>
      <c r="I52" s="403"/>
      <c r="J52" s="403"/>
      <c r="M52" s="403">
        <f ca="1">M50+M51</f>
        <v>0</v>
      </c>
      <c r="N52" s="403"/>
      <c r="O52" s="403"/>
      <c r="R52" s="403">
        <f ca="1">R50+R51</f>
        <v>0</v>
      </c>
      <c r="S52" s="403"/>
      <c r="T52" s="403"/>
    </row>
    <row r="53" spans="1:21" ht="18" customHeight="1">
      <c r="A53" s="447" t="s">
        <v>77</v>
      </c>
      <c r="B53" s="446"/>
      <c r="C53" s="446"/>
      <c r="D53" s="446"/>
      <c r="E53" s="446"/>
      <c r="F53" s="446"/>
      <c r="G53" s="446"/>
      <c r="H53" s="446"/>
      <c r="I53" s="446"/>
      <c r="J53" s="446"/>
      <c r="K53" s="446"/>
      <c r="L53" s="446"/>
      <c r="M53" s="446"/>
      <c r="N53" s="446"/>
      <c r="O53" s="446"/>
      <c r="P53" s="446"/>
      <c r="Q53" s="446"/>
      <c r="R53" s="446"/>
      <c r="S53" s="446"/>
      <c r="T53" s="446"/>
      <c r="U53" s="446"/>
    </row>
    <row r="54" spans="1:21" ht="18" customHeight="1">
      <c r="B54" s="252">
        <f>B43</f>
        <v>0</v>
      </c>
      <c r="G54" s="252">
        <f>G43</f>
        <v>0</v>
      </c>
      <c r="L54" s="252">
        <f>L43</f>
        <v>0</v>
      </c>
      <c r="Q54" s="252">
        <f>Q43</f>
        <v>0</v>
      </c>
    </row>
    <row r="55" spans="1:21" ht="18" customHeight="1">
      <c r="B55" s="404"/>
      <c r="C55" s="404" t="s">
        <v>7</v>
      </c>
      <c r="D55" s="404" t="s">
        <v>25</v>
      </c>
      <c r="E55" s="404" t="s">
        <v>71</v>
      </c>
      <c r="G55" s="404"/>
      <c r="H55" s="404" t="s">
        <v>7</v>
      </c>
      <c r="I55" s="404" t="s">
        <v>25</v>
      </c>
      <c r="J55" s="404" t="s">
        <v>71</v>
      </c>
      <c r="L55" s="404"/>
      <c r="M55" s="404" t="s">
        <v>7</v>
      </c>
      <c r="N55" s="404" t="s">
        <v>25</v>
      </c>
      <c r="O55" s="404" t="s">
        <v>71</v>
      </c>
      <c r="Q55" s="404"/>
      <c r="R55" s="404" t="s">
        <v>7</v>
      </c>
      <c r="S55" s="404" t="s">
        <v>25</v>
      </c>
      <c r="T55" s="404" t="s">
        <v>71</v>
      </c>
    </row>
    <row r="56" spans="1:21" ht="18" customHeight="1">
      <c r="B56" s="421" t="s">
        <v>35</v>
      </c>
      <c r="C56" s="422"/>
      <c r="D56" s="434">
        <f ca="1">D45</f>
        <v>0</v>
      </c>
      <c r="E56" s="422"/>
      <c r="G56" s="421" t="s">
        <v>35</v>
      </c>
      <c r="H56" s="422"/>
      <c r="I56" s="434">
        <f ca="1">I45</f>
        <v>0</v>
      </c>
      <c r="J56" s="422"/>
      <c r="L56" s="421" t="s">
        <v>35</v>
      </c>
      <c r="M56" s="422"/>
      <c r="N56" s="434">
        <f ca="1">N45</f>
        <v>0</v>
      </c>
      <c r="O56" s="422"/>
      <c r="Q56" s="421" t="s">
        <v>35</v>
      </c>
      <c r="R56" s="422"/>
      <c r="S56" s="434">
        <f ca="1">S45</f>
        <v>0</v>
      </c>
      <c r="T56" s="422"/>
    </row>
    <row r="57" spans="1:21" ht="18" customHeight="1">
      <c r="B57" s="421" t="s">
        <v>37</v>
      </c>
      <c r="C57" s="434">
        <f>P66</f>
        <v>0</v>
      </c>
      <c r="D57" s="438">
        <f>O66</f>
        <v>0</v>
      </c>
      <c r="E57" s="438">
        <f>O66</f>
        <v>0</v>
      </c>
      <c r="G57" s="421" t="s">
        <v>37</v>
      </c>
      <c r="H57" s="434">
        <f>P67</f>
        <v>0</v>
      </c>
      <c r="I57" s="438">
        <f>O67</f>
        <v>0</v>
      </c>
      <c r="J57" s="438">
        <f>O67</f>
        <v>0</v>
      </c>
      <c r="L57" s="421" t="s">
        <v>37</v>
      </c>
      <c r="M57" s="434">
        <f>P68</f>
        <v>0</v>
      </c>
      <c r="N57" s="438">
        <f>O68</f>
        <v>0</v>
      </c>
      <c r="O57" s="438">
        <f>O68</f>
        <v>0</v>
      </c>
      <c r="Q57" s="421" t="s">
        <v>37</v>
      </c>
      <c r="R57" s="434">
        <f>P69</f>
        <v>0</v>
      </c>
      <c r="S57" s="438">
        <f>O69</f>
        <v>0</v>
      </c>
      <c r="T57" s="438">
        <f>O69</f>
        <v>0</v>
      </c>
    </row>
    <row r="58" spans="1:21" ht="18" customHeight="1">
      <c r="B58" s="421" t="s">
        <v>72</v>
      </c>
      <c r="C58" s="434">
        <f>C47</f>
        <v>0</v>
      </c>
      <c r="D58" s="434">
        <f>D47</f>
        <v>0</v>
      </c>
      <c r="E58" s="434">
        <f>E47</f>
        <v>0</v>
      </c>
      <c r="G58" s="421" t="s">
        <v>72</v>
      </c>
      <c r="H58" s="434">
        <f>H47</f>
        <v>0</v>
      </c>
      <c r="I58" s="434">
        <f>I47</f>
        <v>0</v>
      </c>
      <c r="J58" s="434">
        <f>J47</f>
        <v>0</v>
      </c>
      <c r="L58" s="421" t="s">
        <v>72</v>
      </c>
      <c r="M58" s="434">
        <f>M47</f>
        <v>0</v>
      </c>
      <c r="N58" s="434">
        <f>N47</f>
        <v>0</v>
      </c>
      <c r="O58" s="434">
        <f>O47</f>
        <v>0</v>
      </c>
      <c r="Q58" s="421" t="s">
        <v>72</v>
      </c>
      <c r="R58" s="434">
        <f>R47</f>
        <v>0</v>
      </c>
      <c r="S58" s="434">
        <f>S47</f>
        <v>0</v>
      </c>
      <c r="T58" s="434">
        <f>T47</f>
        <v>0</v>
      </c>
    </row>
    <row r="59" spans="1:21" ht="18" customHeight="1">
      <c r="B59" s="423" t="s">
        <v>43</v>
      </c>
      <c r="C59" s="435">
        <f>SUM(C56:C58)</f>
        <v>0</v>
      </c>
      <c r="D59" s="435">
        <f t="shared" ref="D59:E59" ca="1" si="13">SUM(D56:D58)</f>
        <v>0</v>
      </c>
      <c r="E59" s="435">
        <f t="shared" si="13"/>
        <v>0</v>
      </c>
      <c r="G59" s="423" t="s">
        <v>43</v>
      </c>
      <c r="H59" s="435">
        <f>SUM(H56:H58)</f>
        <v>0</v>
      </c>
      <c r="I59" s="435">
        <f t="shared" ref="I59:J59" ca="1" si="14">SUM(I56:I58)</f>
        <v>0</v>
      </c>
      <c r="J59" s="435">
        <f t="shared" si="14"/>
        <v>0</v>
      </c>
      <c r="L59" s="423" t="s">
        <v>43</v>
      </c>
      <c r="M59" s="435">
        <f>SUM(M56:M58)</f>
        <v>0</v>
      </c>
      <c r="N59" s="435">
        <f t="shared" ref="N59:O59" ca="1" si="15">SUM(N56:N58)</f>
        <v>0</v>
      </c>
      <c r="O59" s="435">
        <f t="shared" si="15"/>
        <v>0</v>
      </c>
      <c r="Q59" s="423" t="s">
        <v>43</v>
      </c>
      <c r="R59" s="435">
        <f>SUM(R56:R58)</f>
        <v>0</v>
      </c>
      <c r="S59" s="435">
        <f t="shared" ref="S59:T59" ca="1" si="16">SUM(S56:S58)</f>
        <v>0</v>
      </c>
      <c r="T59" s="435">
        <f t="shared" si="16"/>
        <v>0</v>
      </c>
    </row>
    <row r="60" spans="1:21" ht="18" customHeight="1">
      <c r="B60" s="449" t="s">
        <v>73</v>
      </c>
      <c r="C60" s="449"/>
      <c r="D60" s="450">
        <f ca="1">C59-D59</f>
        <v>0</v>
      </c>
      <c r="E60" s="450">
        <f>C59-E59</f>
        <v>0</v>
      </c>
      <c r="F60" s="451"/>
      <c r="G60" s="449" t="s">
        <v>73</v>
      </c>
      <c r="H60" s="449"/>
      <c r="I60" s="450">
        <f ca="1">H59-I59</f>
        <v>0</v>
      </c>
      <c r="J60" s="450">
        <f>H59-J59</f>
        <v>0</v>
      </c>
      <c r="K60" s="451"/>
      <c r="L60" s="449" t="s">
        <v>73</v>
      </c>
      <c r="M60" s="449"/>
      <c r="N60" s="450">
        <f ca="1">M59-N59</f>
        <v>0</v>
      </c>
      <c r="O60" s="450">
        <f>M59-O59</f>
        <v>0</v>
      </c>
      <c r="P60" s="451"/>
      <c r="Q60" s="449" t="s">
        <v>73</v>
      </c>
      <c r="R60" s="449"/>
      <c r="S60" s="450">
        <f ca="1">R59-S59</f>
        <v>0</v>
      </c>
      <c r="T60" s="450">
        <f>R59-T59</f>
        <v>0</v>
      </c>
    </row>
    <row r="61" spans="1:21" ht="18" customHeight="1">
      <c r="B61" s="252" t="s">
        <v>74</v>
      </c>
      <c r="C61" s="403">
        <f ca="1">(C59-D59)*60</f>
        <v>0</v>
      </c>
      <c r="H61" s="403">
        <f ca="1">(H59-I59)*60</f>
        <v>0</v>
      </c>
      <c r="M61" s="403">
        <f ca="1">(M59-N59)*60</f>
        <v>0</v>
      </c>
      <c r="R61" s="403">
        <f ca="1">(R59-S59)*60</f>
        <v>0</v>
      </c>
    </row>
    <row r="62" spans="1:21" ht="18" customHeight="1">
      <c r="B62" s="252" t="s">
        <v>75</v>
      </c>
      <c r="C62" s="403">
        <f>(C59-E59)*60</f>
        <v>0</v>
      </c>
      <c r="H62" s="403">
        <f>(H59-J59)*60</f>
        <v>0</v>
      </c>
      <c r="M62" s="403">
        <f>(M59-O59)*60</f>
        <v>0</v>
      </c>
      <c r="R62" s="403">
        <f>(R59-T59)*60</f>
        <v>0</v>
      </c>
    </row>
    <row r="63" spans="1:21" ht="18" customHeight="1">
      <c r="B63" s="252" t="s">
        <v>76</v>
      </c>
      <c r="C63" s="403">
        <f ca="1">C61+C62</f>
        <v>0</v>
      </c>
      <c r="H63" s="403">
        <f ca="1">H61+H62</f>
        <v>0</v>
      </c>
      <c r="M63" s="403">
        <f ca="1">M61+M62</f>
        <v>0</v>
      </c>
      <c r="R63" s="403">
        <f ca="1">R61+R62</f>
        <v>0</v>
      </c>
    </row>
    <row r="65" spans="1:17" ht="18" customHeight="1">
      <c r="B65" s="426"/>
      <c r="C65" s="426" t="s">
        <v>78</v>
      </c>
      <c r="D65" s="426" t="s">
        <v>79</v>
      </c>
      <c r="E65" s="426">
        <v>360</v>
      </c>
      <c r="F65" s="426">
        <v>720</v>
      </c>
      <c r="G65" s="426" t="s">
        <v>80</v>
      </c>
      <c r="H65" s="426" t="s">
        <v>81</v>
      </c>
      <c r="I65" s="426" t="s">
        <v>82</v>
      </c>
      <c r="J65" s="426" t="s">
        <v>83</v>
      </c>
      <c r="K65" s="426"/>
      <c r="L65" s="426" t="s">
        <v>84</v>
      </c>
      <c r="M65" s="426" t="s">
        <v>85</v>
      </c>
      <c r="N65" s="426" t="s">
        <v>86</v>
      </c>
      <c r="O65" s="426"/>
    </row>
    <row r="66" spans="1:17" ht="18" customHeight="1">
      <c r="B66" s="424">
        <f>☆入力!AG16</f>
        <v>0</v>
      </c>
      <c r="C66" s="424">
        <f>SUMIF(☆入力!$B$16:$B$45,☆入力!$AG16,☆入力!$Y$16:$Y$45)</f>
        <v>0</v>
      </c>
      <c r="D66" s="424">
        <f>SUMIF(☆入力!$B$16:$B$45,☆入力!$AG16,☆入力!$AC$16:$AC$45)</f>
        <v>0</v>
      </c>
      <c r="E66" s="424">
        <f>SUMIFS(☆入力!$L$16:$L$45,☆入力!$H$16:$H$45,$E$65,☆入力!$B$16:$B$45,☆入力!$AG16)</f>
        <v>0</v>
      </c>
      <c r="F66" s="424">
        <f>SUMIFS(☆入力!$L$16:$L$45,☆入力!$H$16:$H$45,$F$65,☆入力!$B$16:$B$45,☆入力!$AG16)</f>
        <v>0</v>
      </c>
      <c r="G66" s="427">
        <f>☆入力!$AR$9*$E66*7</f>
        <v>0</v>
      </c>
      <c r="H66" s="427">
        <f>☆入力!$AR$9*$F66*15</f>
        <v>0</v>
      </c>
      <c r="I66" s="427">
        <f>☆入力!$M$12*10000*2</f>
        <v>0</v>
      </c>
      <c r="J66" s="427">
        <f>SUM(G66:H66)</f>
        <v>0</v>
      </c>
      <c r="K66" s="429">
        <f>J66/120</f>
        <v>0</v>
      </c>
      <c r="L66" s="427">
        <f>F66*3000*1</f>
        <v>0</v>
      </c>
      <c r="M66" s="427">
        <f>☆入力!$M$12*8000*2</f>
        <v>0</v>
      </c>
      <c r="N66" s="431">
        <f>SUM(L66:M66)</f>
        <v>0</v>
      </c>
      <c r="O66" s="429">
        <f>N66/120</f>
        <v>0</v>
      </c>
      <c r="P66" s="393">
        <f>(J66+I66)/120</f>
        <v>0</v>
      </c>
    </row>
    <row r="67" spans="1:17" ht="18" customHeight="1">
      <c r="B67" s="424">
        <f>☆入力!AG17</f>
        <v>0</v>
      </c>
      <c r="C67" s="424">
        <f>SUMIF(☆入力!$B$16:$B$45,☆入力!$AG17,☆入力!$Y$16:$Y$45)</f>
        <v>0</v>
      </c>
      <c r="D67" s="424">
        <f>SUMIF(☆入力!$B$16:$B$45,☆入力!$AG17,☆入力!$AC$16:$AC$45)</f>
        <v>0</v>
      </c>
      <c r="E67" s="424">
        <f>SUMIFS(☆入力!$L$16:$L$45,☆入力!$H$16:$H$45,$E$65,☆入力!$B$16:$B$45,☆入力!$AG17)</f>
        <v>0</v>
      </c>
      <c r="F67" s="424">
        <f>SUMIFS(☆入力!$L$16:$L$45,☆入力!$H$16:$H$45,$F$65,☆入力!$B$16:$B$45,☆入力!$AG17)</f>
        <v>0</v>
      </c>
      <c r="G67" s="427">
        <f>☆入力!$AR$9*$E67*7</f>
        <v>0</v>
      </c>
      <c r="H67" s="427">
        <f>☆入力!$AR$9*$F67*15</f>
        <v>0</v>
      </c>
      <c r="I67" s="427">
        <f>☆入力!$N$12*10000*2</f>
        <v>0</v>
      </c>
      <c r="J67" s="427">
        <f>SUM(G67:H67)</f>
        <v>0</v>
      </c>
      <c r="K67" s="429">
        <f t="shared" ref="K67:K69" si="17">J67/120</f>
        <v>0</v>
      </c>
      <c r="L67" s="427">
        <f>F67*3000*1</f>
        <v>0</v>
      </c>
      <c r="M67" s="427">
        <f>☆入力!$N$12*8000*2</f>
        <v>0</v>
      </c>
      <c r="N67" s="431">
        <f t="shared" ref="N67:N69" si="18">SUM(L67:M67)</f>
        <v>0</v>
      </c>
      <c r="O67" s="429">
        <f t="shared" ref="O67:O69" si="19">N67/120</f>
        <v>0</v>
      </c>
      <c r="P67" s="393">
        <f t="shared" ref="P67:P69" si="20">(J67+I67)/120</f>
        <v>0</v>
      </c>
    </row>
    <row r="68" spans="1:17" ht="18" customHeight="1">
      <c r="B68" s="424">
        <f>☆入力!AG18</f>
        <v>0</v>
      </c>
      <c r="C68" s="424">
        <f>SUMIF(☆入力!$B$16:$B$45,☆入力!$AG18,☆入力!$Y$16:$Y$45)</f>
        <v>0</v>
      </c>
      <c r="D68" s="424">
        <f>SUMIF(☆入力!$B$16:$B$45,☆入力!$AG18,☆入力!$AC$16:$AC$45)</f>
        <v>0</v>
      </c>
      <c r="E68" s="424">
        <f>SUMIFS(☆入力!$L$16:$L$45,☆入力!$H$16:$H$45,$E$65,☆入力!$B$16:$B$45,☆入力!$AG18)</f>
        <v>0</v>
      </c>
      <c r="F68" s="424">
        <f>SUMIFS(☆入力!$L$16:$L$45,☆入力!$H$16:$H$45,$F$65,☆入力!$B$16:$B$45,☆入力!$AG18)</f>
        <v>0</v>
      </c>
      <c r="G68" s="427">
        <f>☆入力!$AR$9*$E68*7</f>
        <v>0</v>
      </c>
      <c r="H68" s="427">
        <f>☆入力!$AR$9*$F68*15</f>
        <v>0</v>
      </c>
      <c r="I68" s="427">
        <f>☆入力!$O$12*10000*2</f>
        <v>0</v>
      </c>
      <c r="J68" s="427">
        <f>SUM(G68:H68)</f>
        <v>0</v>
      </c>
      <c r="K68" s="429">
        <f t="shared" si="17"/>
        <v>0</v>
      </c>
      <c r="L68" s="427">
        <f>F68*3000*1</f>
        <v>0</v>
      </c>
      <c r="M68" s="427">
        <f>☆入力!$O$12*8000*2</f>
        <v>0</v>
      </c>
      <c r="N68" s="431">
        <f t="shared" si="18"/>
        <v>0</v>
      </c>
      <c r="O68" s="429">
        <f t="shared" si="19"/>
        <v>0</v>
      </c>
      <c r="P68" s="393">
        <f t="shared" si="20"/>
        <v>0</v>
      </c>
    </row>
    <row r="69" spans="1:17" ht="18" customHeight="1">
      <c r="B69" s="425">
        <f>☆入力!AG19</f>
        <v>0</v>
      </c>
      <c r="C69" s="425">
        <f>SUMIF(☆入力!$B$16:$B$45,☆入力!$AG19,☆入力!$Y$16:$Y$45)</f>
        <v>0</v>
      </c>
      <c r="D69" s="425">
        <f>SUMIF(☆入力!$B$16:$B$45,☆入力!$AG19,☆入力!$AC$16:$AC$45)</f>
        <v>0</v>
      </c>
      <c r="E69" s="425">
        <f>SUMIFS(☆入力!$L$16:$L$45,☆入力!$H$16:$H$45,$E$65,☆入力!$B$16:$B$45,☆入力!$AG19)</f>
        <v>0</v>
      </c>
      <c r="F69" s="425">
        <f>SUMIFS(☆入力!$L$16:$L$45,☆入力!$H$16:$H$45,$F$65,☆入力!$B$16:$B$45,☆入力!$AG19)</f>
        <v>0</v>
      </c>
      <c r="G69" s="428">
        <f>☆入力!$AR$9*$E69*7</f>
        <v>0</v>
      </c>
      <c r="H69" s="428">
        <f>☆入力!$AR$9*$F69*15</f>
        <v>0</v>
      </c>
      <c r="I69" s="454">
        <f>☆入力!$P$12*10000*2</f>
        <v>0</v>
      </c>
      <c r="J69" s="428">
        <f>SUM(G69:H69)</f>
        <v>0</v>
      </c>
      <c r="K69" s="430">
        <f t="shared" si="17"/>
        <v>0</v>
      </c>
      <c r="L69" s="428">
        <f>F69*3000*1</f>
        <v>0</v>
      </c>
      <c r="M69" s="428">
        <f>☆入力!$P$12*8000*2</f>
        <v>0</v>
      </c>
      <c r="N69" s="432">
        <f t="shared" si="18"/>
        <v>0</v>
      </c>
      <c r="O69" s="430">
        <f t="shared" si="19"/>
        <v>0</v>
      </c>
      <c r="P69" s="393">
        <f t="shared" si="20"/>
        <v>0</v>
      </c>
    </row>
    <row r="70" spans="1:17" ht="18" customHeight="1">
      <c r="C70" s="252">
        <f>SUM(C66:C69)</f>
        <v>0</v>
      </c>
      <c r="D70" s="252">
        <f>SUM(D66:D69)</f>
        <v>0</v>
      </c>
      <c r="G70" s="452">
        <f>SUM(G66:G69)</f>
        <v>0</v>
      </c>
      <c r="I70" s="452">
        <f>SUM(I66:I69)</f>
        <v>0</v>
      </c>
      <c r="K70" s="452">
        <f>SUM(K66:K69)</f>
        <v>0</v>
      </c>
      <c r="O70" s="452">
        <f>SUM(O66:O69)</f>
        <v>0</v>
      </c>
      <c r="P70" s="453">
        <f>SUM(P66:P69)</f>
        <v>0</v>
      </c>
    </row>
    <row r="74" spans="1:17" ht="18" customHeight="1">
      <c r="A74" s="252" t="s">
        <v>87</v>
      </c>
      <c r="B74" s="459">
        <f>☆入力!AG16</f>
        <v>0</v>
      </c>
      <c r="E74" s="252">
        <v>12</v>
      </c>
      <c r="F74" s="252">
        <v>12</v>
      </c>
      <c r="G74" s="252">
        <v>12</v>
      </c>
      <c r="H74" s="252">
        <v>12</v>
      </c>
      <c r="I74" s="252">
        <v>12</v>
      </c>
      <c r="J74" s="252">
        <v>12</v>
      </c>
      <c r="K74" s="252">
        <v>12</v>
      </c>
      <c r="L74" s="252">
        <v>12</v>
      </c>
      <c r="M74" s="252">
        <v>12</v>
      </c>
      <c r="N74" s="252">
        <v>12</v>
      </c>
      <c r="O74" s="252">
        <v>12</v>
      </c>
      <c r="P74" s="252" t="s">
        <v>88</v>
      </c>
    </row>
    <row r="75" spans="1:17" ht="18" customHeight="1">
      <c r="B75" s="252" t="s">
        <v>89</v>
      </c>
      <c r="C75" s="252" t="s">
        <v>90</v>
      </c>
      <c r="D75" s="252" t="s">
        <v>37</v>
      </c>
      <c r="E75" s="457">
        <v>0</v>
      </c>
      <c r="F75" s="457">
        <v>1</v>
      </c>
      <c r="G75" s="457">
        <v>2</v>
      </c>
      <c r="H75" s="457">
        <v>3</v>
      </c>
      <c r="I75" s="457">
        <v>4</v>
      </c>
      <c r="J75" s="457">
        <v>5</v>
      </c>
      <c r="K75" s="457">
        <v>6</v>
      </c>
      <c r="L75" s="457">
        <v>7</v>
      </c>
      <c r="M75" s="457">
        <v>8</v>
      </c>
      <c r="N75" s="457">
        <v>9</v>
      </c>
      <c r="O75" s="457">
        <v>10</v>
      </c>
      <c r="P75" s="252" t="s">
        <v>91</v>
      </c>
    </row>
    <row r="76" spans="1:17" ht="18" customHeight="1">
      <c r="B76" s="458"/>
      <c r="C76" s="393">
        <f>C66</f>
        <v>0</v>
      </c>
      <c r="D76" s="393">
        <f>K66</f>
        <v>0</v>
      </c>
      <c r="E76" s="463">
        <f>($C76+$D76)*E$75*E$74</f>
        <v>0</v>
      </c>
      <c r="F76" s="463">
        <f>($C$76+$D$76)*F$75*F$74</f>
        <v>0</v>
      </c>
      <c r="G76" s="463">
        <f>($C$76+$D$76)*G$75*G$74</f>
        <v>0</v>
      </c>
      <c r="H76" s="463">
        <f t="shared" ref="H76:O76" si="21">($C$76+$D$76)*H$75*H$74</f>
        <v>0</v>
      </c>
      <c r="I76" s="463">
        <f t="shared" si="21"/>
        <v>0</v>
      </c>
      <c r="J76" s="463">
        <f t="shared" si="21"/>
        <v>0</v>
      </c>
      <c r="K76" s="463">
        <f t="shared" si="21"/>
        <v>0</v>
      </c>
      <c r="L76" s="463">
        <f t="shared" si="21"/>
        <v>0</v>
      </c>
      <c r="M76" s="463">
        <f t="shared" si="21"/>
        <v>0</v>
      </c>
      <c r="N76" s="463">
        <f t="shared" si="21"/>
        <v>0</v>
      </c>
      <c r="O76" s="463">
        <f t="shared" si="21"/>
        <v>0</v>
      </c>
      <c r="P76" s="252" t="s">
        <v>7</v>
      </c>
      <c r="Q76" s="252" t="s">
        <v>92</v>
      </c>
    </row>
    <row r="77" spans="1:17" ht="18" customHeight="1">
      <c r="B77" s="458"/>
      <c r="C77" s="393">
        <f>C66</f>
        <v>0</v>
      </c>
      <c r="D77" s="393">
        <f>P66</f>
        <v>0</v>
      </c>
      <c r="E77" s="465">
        <f>($C77+$D77)*E$75*E$74</f>
        <v>0</v>
      </c>
      <c r="F77" s="465">
        <f t="shared" ref="F77:O77" si="22">($C77+$D77)*F$75*F$74</f>
        <v>0</v>
      </c>
      <c r="G77" s="465">
        <f t="shared" si="22"/>
        <v>0</v>
      </c>
      <c r="H77" s="465">
        <f t="shared" si="22"/>
        <v>0</v>
      </c>
      <c r="I77" s="465">
        <f t="shared" si="22"/>
        <v>0</v>
      </c>
      <c r="J77" s="465">
        <f t="shared" si="22"/>
        <v>0</v>
      </c>
      <c r="K77" s="465">
        <f t="shared" si="22"/>
        <v>0</v>
      </c>
      <c r="L77" s="465">
        <f t="shared" si="22"/>
        <v>0</v>
      </c>
      <c r="M77" s="465">
        <f t="shared" si="22"/>
        <v>0</v>
      </c>
      <c r="N77" s="465">
        <f t="shared" si="22"/>
        <v>0</v>
      </c>
      <c r="O77" s="465">
        <f t="shared" si="22"/>
        <v>0</v>
      </c>
      <c r="P77" s="252" t="s">
        <v>7</v>
      </c>
      <c r="Q77" s="252" t="s">
        <v>77</v>
      </c>
    </row>
    <row r="78" spans="1:17" ht="18" customHeight="1">
      <c r="B78" s="452">
        <f ca="1">☆入力!AO16</f>
        <v>0</v>
      </c>
      <c r="C78" s="393">
        <f>D66</f>
        <v>0</v>
      </c>
      <c r="D78" s="393">
        <v>0</v>
      </c>
      <c r="E78" s="464">
        <f ca="1">(($C78+$D78)*E$75*E$74)+$B78</f>
        <v>0</v>
      </c>
      <c r="F78" s="464">
        <f ca="1">(($C78+$D78)*F$75*F$74)+$B78</f>
        <v>0</v>
      </c>
      <c r="G78" s="464">
        <f ca="1">(($C78+$D78)*G$75*G$74)+$B78</f>
        <v>0</v>
      </c>
      <c r="H78" s="464">
        <f ca="1">(($C78+$D78)*H$75*H$74)+$B78</f>
        <v>0</v>
      </c>
      <c r="I78" s="464">
        <f t="shared" ref="E78:O79" ca="1" si="23">(($C78+$D78)*I$75*I$74)+$B78</f>
        <v>0</v>
      </c>
      <c r="J78" s="464">
        <f t="shared" ca="1" si="23"/>
        <v>0</v>
      </c>
      <c r="K78" s="464">
        <f t="shared" ca="1" si="23"/>
        <v>0</v>
      </c>
      <c r="L78" s="464">
        <f t="shared" ca="1" si="23"/>
        <v>0</v>
      </c>
      <c r="M78" s="464">
        <f t="shared" ca="1" si="23"/>
        <v>0</v>
      </c>
      <c r="N78" s="464">
        <f t="shared" ca="1" si="23"/>
        <v>0</v>
      </c>
      <c r="O78" s="464">
        <f t="shared" ca="1" si="23"/>
        <v>0</v>
      </c>
      <c r="P78" s="252" t="s">
        <v>93</v>
      </c>
      <c r="Q78" s="252" t="s">
        <v>92</v>
      </c>
    </row>
    <row r="79" spans="1:17" ht="18" customHeight="1">
      <c r="B79" s="452">
        <f ca="1">☆入力!AO16</f>
        <v>0</v>
      </c>
      <c r="C79" s="393">
        <f>D66</f>
        <v>0</v>
      </c>
      <c r="D79" s="393">
        <f>O66</f>
        <v>0</v>
      </c>
      <c r="E79" s="465">
        <f t="shared" ca="1" si="23"/>
        <v>0</v>
      </c>
      <c r="F79" s="465">
        <f t="shared" ca="1" si="23"/>
        <v>0</v>
      </c>
      <c r="G79" s="465">
        <f t="shared" ca="1" si="23"/>
        <v>0</v>
      </c>
      <c r="H79" s="465">
        <f t="shared" ca="1" si="23"/>
        <v>0</v>
      </c>
      <c r="I79" s="465">
        <f t="shared" ca="1" si="23"/>
        <v>0</v>
      </c>
      <c r="J79" s="465">
        <f t="shared" ca="1" si="23"/>
        <v>0</v>
      </c>
      <c r="K79" s="465">
        <f t="shared" ca="1" si="23"/>
        <v>0</v>
      </c>
      <c r="L79" s="465">
        <f t="shared" ca="1" si="23"/>
        <v>0</v>
      </c>
      <c r="M79" s="465">
        <f t="shared" ca="1" si="23"/>
        <v>0</v>
      </c>
      <c r="N79" s="465">
        <f t="shared" ca="1" si="23"/>
        <v>0</v>
      </c>
      <c r="O79" s="465">
        <f t="shared" ca="1" si="23"/>
        <v>0</v>
      </c>
      <c r="P79" s="252" t="s">
        <v>93</v>
      </c>
      <c r="Q79" s="252" t="s">
        <v>77</v>
      </c>
    </row>
    <row r="82" spans="1:17" ht="18" customHeight="1">
      <c r="A82" s="252" t="s">
        <v>87</v>
      </c>
      <c r="B82" s="460">
        <f>B67</f>
        <v>0</v>
      </c>
      <c r="E82" s="252">
        <v>12</v>
      </c>
      <c r="F82" s="252">
        <v>12</v>
      </c>
      <c r="G82" s="252">
        <v>12</v>
      </c>
      <c r="H82" s="252">
        <v>12</v>
      </c>
      <c r="I82" s="252">
        <v>12</v>
      </c>
      <c r="J82" s="252">
        <v>12</v>
      </c>
      <c r="K82" s="252">
        <v>12</v>
      </c>
      <c r="L82" s="252">
        <v>12</v>
      </c>
      <c r="M82" s="252">
        <v>12</v>
      </c>
      <c r="N82" s="252">
        <v>12</v>
      </c>
      <c r="O82" s="252">
        <v>12</v>
      </c>
      <c r="P82" s="252" t="s">
        <v>88</v>
      </c>
    </row>
    <row r="83" spans="1:17" ht="18" customHeight="1">
      <c r="B83" s="252" t="s">
        <v>89</v>
      </c>
      <c r="C83" s="252" t="s">
        <v>90</v>
      </c>
      <c r="D83" s="252" t="s">
        <v>37</v>
      </c>
      <c r="E83" s="461">
        <v>0</v>
      </c>
      <c r="F83" s="461">
        <v>1</v>
      </c>
      <c r="G83" s="461">
        <v>2</v>
      </c>
      <c r="H83" s="461">
        <v>3</v>
      </c>
      <c r="I83" s="461">
        <v>4</v>
      </c>
      <c r="J83" s="461">
        <v>5</v>
      </c>
      <c r="K83" s="461">
        <v>6</v>
      </c>
      <c r="L83" s="461">
        <v>7</v>
      </c>
      <c r="M83" s="461">
        <v>8</v>
      </c>
      <c r="N83" s="461">
        <v>9</v>
      </c>
      <c r="O83" s="461">
        <v>10</v>
      </c>
      <c r="P83" s="252" t="s">
        <v>91</v>
      </c>
    </row>
    <row r="84" spans="1:17" ht="18" customHeight="1">
      <c r="B84" s="462"/>
      <c r="C84" s="456">
        <f>C67</f>
        <v>0</v>
      </c>
      <c r="D84" s="456">
        <f>K67</f>
        <v>0</v>
      </c>
      <c r="E84" s="464">
        <f t="shared" ref="E84:O85" si="24">($C84+$D84)*E$75*E$74</f>
        <v>0</v>
      </c>
      <c r="F84" s="464">
        <f t="shared" si="24"/>
        <v>0</v>
      </c>
      <c r="G84" s="464">
        <f t="shared" si="24"/>
        <v>0</v>
      </c>
      <c r="H84" s="464">
        <f t="shared" si="24"/>
        <v>0</v>
      </c>
      <c r="I84" s="464">
        <f t="shared" si="24"/>
        <v>0</v>
      </c>
      <c r="J84" s="464">
        <f t="shared" si="24"/>
        <v>0</v>
      </c>
      <c r="K84" s="464">
        <f t="shared" si="24"/>
        <v>0</v>
      </c>
      <c r="L84" s="464">
        <f t="shared" si="24"/>
        <v>0</v>
      </c>
      <c r="M84" s="464">
        <f t="shared" si="24"/>
        <v>0</v>
      </c>
      <c r="N84" s="464">
        <f t="shared" si="24"/>
        <v>0</v>
      </c>
      <c r="O84" s="464">
        <f t="shared" si="24"/>
        <v>0</v>
      </c>
      <c r="P84" s="252" t="s">
        <v>7</v>
      </c>
      <c r="Q84" s="252" t="s">
        <v>92</v>
      </c>
    </row>
    <row r="85" spans="1:17" ht="18" customHeight="1">
      <c r="B85" s="462"/>
      <c r="C85" s="456">
        <f>C67</f>
        <v>0</v>
      </c>
      <c r="D85" s="456">
        <f>P67</f>
        <v>0</v>
      </c>
      <c r="E85" s="465">
        <f t="shared" si="24"/>
        <v>0</v>
      </c>
      <c r="F85" s="465">
        <f t="shared" si="24"/>
        <v>0</v>
      </c>
      <c r="G85" s="465">
        <f t="shared" si="24"/>
        <v>0</v>
      </c>
      <c r="H85" s="465">
        <f t="shared" si="24"/>
        <v>0</v>
      </c>
      <c r="I85" s="465">
        <f t="shared" si="24"/>
        <v>0</v>
      </c>
      <c r="J85" s="465">
        <f t="shared" si="24"/>
        <v>0</v>
      </c>
      <c r="K85" s="465">
        <f t="shared" si="24"/>
        <v>0</v>
      </c>
      <c r="L85" s="465">
        <f t="shared" si="24"/>
        <v>0</v>
      </c>
      <c r="M85" s="465">
        <f t="shared" si="24"/>
        <v>0</v>
      </c>
      <c r="N85" s="465">
        <f t="shared" si="24"/>
        <v>0</v>
      </c>
      <c r="O85" s="465">
        <f t="shared" si="24"/>
        <v>0</v>
      </c>
      <c r="P85" s="252" t="s">
        <v>7</v>
      </c>
      <c r="Q85" s="252" t="s">
        <v>77</v>
      </c>
    </row>
    <row r="86" spans="1:17" ht="18" customHeight="1">
      <c r="B86" s="453">
        <f ca="1">☆入力!AO17</f>
        <v>0</v>
      </c>
      <c r="C86" s="456">
        <f>D67</f>
        <v>0</v>
      </c>
      <c r="D86" s="456">
        <v>0</v>
      </c>
      <c r="E86" s="464">
        <f t="shared" ref="E86:E87" ca="1" si="25">(($C86+$D86)*E$75*E$74)+$B86</f>
        <v>0</v>
      </c>
      <c r="F86" s="464">
        <f t="shared" ref="F86:O87" ca="1" si="26">(($C86+$D86)*F$75*F$74)+$B86</f>
        <v>0</v>
      </c>
      <c r="G86" s="464">
        <f t="shared" ca="1" si="26"/>
        <v>0</v>
      </c>
      <c r="H86" s="464">
        <f t="shared" ca="1" si="26"/>
        <v>0</v>
      </c>
      <c r="I86" s="464">
        <f t="shared" ca="1" si="26"/>
        <v>0</v>
      </c>
      <c r="J86" s="464">
        <f t="shared" ca="1" si="26"/>
        <v>0</v>
      </c>
      <c r="K86" s="464">
        <f t="shared" ca="1" si="26"/>
        <v>0</v>
      </c>
      <c r="L86" s="464">
        <f t="shared" ca="1" si="26"/>
        <v>0</v>
      </c>
      <c r="M86" s="464">
        <f t="shared" ca="1" si="26"/>
        <v>0</v>
      </c>
      <c r="N86" s="464">
        <f t="shared" ca="1" si="26"/>
        <v>0</v>
      </c>
      <c r="O86" s="464">
        <f t="shared" ca="1" si="26"/>
        <v>0</v>
      </c>
      <c r="P86" s="252" t="s">
        <v>93</v>
      </c>
      <c r="Q86" s="252" t="s">
        <v>92</v>
      </c>
    </row>
    <row r="87" spans="1:17" ht="18" customHeight="1">
      <c r="B87" s="453">
        <f ca="1">☆入力!AO17</f>
        <v>0</v>
      </c>
      <c r="C87" s="456">
        <f>D67</f>
        <v>0</v>
      </c>
      <c r="D87" s="456">
        <f>O67</f>
        <v>0</v>
      </c>
      <c r="E87" s="465">
        <f t="shared" ca="1" si="25"/>
        <v>0</v>
      </c>
      <c r="F87" s="465">
        <f t="shared" ca="1" si="26"/>
        <v>0</v>
      </c>
      <c r="G87" s="465">
        <f t="shared" ca="1" si="26"/>
        <v>0</v>
      </c>
      <c r="H87" s="465">
        <f t="shared" ca="1" si="26"/>
        <v>0</v>
      </c>
      <c r="I87" s="465">
        <f t="shared" ca="1" si="26"/>
        <v>0</v>
      </c>
      <c r="J87" s="465">
        <f t="shared" ca="1" si="26"/>
        <v>0</v>
      </c>
      <c r="K87" s="465">
        <f t="shared" ca="1" si="26"/>
        <v>0</v>
      </c>
      <c r="L87" s="465">
        <f t="shared" ca="1" si="26"/>
        <v>0</v>
      </c>
      <c r="M87" s="465">
        <f t="shared" ca="1" si="26"/>
        <v>0</v>
      </c>
      <c r="N87" s="465">
        <f t="shared" ca="1" si="26"/>
        <v>0</v>
      </c>
      <c r="O87" s="465">
        <f t="shared" ca="1" si="26"/>
        <v>0</v>
      </c>
      <c r="P87" s="252" t="s">
        <v>93</v>
      </c>
      <c r="Q87" s="252" t="s">
        <v>77</v>
      </c>
    </row>
    <row r="90" spans="1:17" ht="18" customHeight="1">
      <c r="A90" s="252" t="s">
        <v>87</v>
      </c>
      <c r="B90" s="460">
        <f>B68</f>
        <v>0</v>
      </c>
      <c r="E90" s="252">
        <v>12</v>
      </c>
      <c r="F90" s="252">
        <v>12</v>
      </c>
      <c r="G90" s="252">
        <v>12</v>
      </c>
      <c r="H90" s="252">
        <v>12</v>
      </c>
      <c r="I90" s="252">
        <v>12</v>
      </c>
      <c r="J90" s="252">
        <v>12</v>
      </c>
      <c r="K90" s="252">
        <v>12</v>
      </c>
      <c r="L90" s="252">
        <v>12</v>
      </c>
      <c r="M90" s="252">
        <v>12</v>
      </c>
      <c r="N90" s="252">
        <v>12</v>
      </c>
      <c r="O90" s="252">
        <v>12</v>
      </c>
      <c r="P90" s="252" t="s">
        <v>88</v>
      </c>
    </row>
    <row r="91" spans="1:17" ht="18" customHeight="1">
      <c r="B91" s="252" t="s">
        <v>89</v>
      </c>
      <c r="C91" s="252" t="s">
        <v>90</v>
      </c>
      <c r="D91" s="252" t="s">
        <v>37</v>
      </c>
      <c r="E91" s="461">
        <v>0</v>
      </c>
      <c r="F91" s="461">
        <v>1</v>
      </c>
      <c r="G91" s="461">
        <v>2</v>
      </c>
      <c r="H91" s="461">
        <v>3</v>
      </c>
      <c r="I91" s="461">
        <v>4</v>
      </c>
      <c r="J91" s="461">
        <v>5</v>
      </c>
      <c r="K91" s="461">
        <v>6</v>
      </c>
      <c r="L91" s="461">
        <v>7</v>
      </c>
      <c r="M91" s="461">
        <v>8</v>
      </c>
      <c r="N91" s="461">
        <v>9</v>
      </c>
      <c r="O91" s="461">
        <v>10</v>
      </c>
      <c r="P91" s="252" t="s">
        <v>91</v>
      </c>
    </row>
    <row r="92" spans="1:17" ht="18" customHeight="1">
      <c r="B92" s="462"/>
      <c r="C92" s="456">
        <f>C68</f>
        <v>0</v>
      </c>
      <c r="D92" s="456">
        <f>K68</f>
        <v>0</v>
      </c>
      <c r="E92" s="464">
        <f t="shared" ref="E92:O93" si="27">($C92+$D92)*E$75*E$74</f>
        <v>0</v>
      </c>
      <c r="F92" s="464">
        <f t="shared" si="27"/>
        <v>0</v>
      </c>
      <c r="G92" s="464">
        <f t="shared" si="27"/>
        <v>0</v>
      </c>
      <c r="H92" s="464">
        <f t="shared" si="27"/>
        <v>0</v>
      </c>
      <c r="I92" s="464">
        <f t="shared" si="27"/>
        <v>0</v>
      </c>
      <c r="J92" s="464">
        <f t="shared" si="27"/>
        <v>0</v>
      </c>
      <c r="K92" s="464">
        <f t="shared" si="27"/>
        <v>0</v>
      </c>
      <c r="L92" s="464">
        <f t="shared" si="27"/>
        <v>0</v>
      </c>
      <c r="M92" s="464">
        <f t="shared" si="27"/>
        <v>0</v>
      </c>
      <c r="N92" s="464">
        <f t="shared" si="27"/>
        <v>0</v>
      </c>
      <c r="O92" s="464">
        <f t="shared" si="27"/>
        <v>0</v>
      </c>
      <c r="P92" s="252" t="s">
        <v>7</v>
      </c>
      <c r="Q92" s="252" t="s">
        <v>92</v>
      </c>
    </row>
    <row r="93" spans="1:17" ht="18" customHeight="1">
      <c r="B93" s="462"/>
      <c r="C93" s="456">
        <f>C68</f>
        <v>0</v>
      </c>
      <c r="D93" s="456">
        <f>P68</f>
        <v>0</v>
      </c>
      <c r="E93" s="465">
        <f t="shared" si="27"/>
        <v>0</v>
      </c>
      <c r="F93" s="465">
        <f t="shared" si="27"/>
        <v>0</v>
      </c>
      <c r="G93" s="465">
        <f t="shared" si="27"/>
        <v>0</v>
      </c>
      <c r="H93" s="465">
        <f t="shared" si="27"/>
        <v>0</v>
      </c>
      <c r="I93" s="465">
        <f t="shared" si="27"/>
        <v>0</v>
      </c>
      <c r="J93" s="465">
        <f t="shared" si="27"/>
        <v>0</v>
      </c>
      <c r="K93" s="465">
        <f t="shared" si="27"/>
        <v>0</v>
      </c>
      <c r="L93" s="465">
        <f t="shared" si="27"/>
        <v>0</v>
      </c>
      <c r="M93" s="465">
        <f t="shared" si="27"/>
        <v>0</v>
      </c>
      <c r="N93" s="465">
        <f t="shared" si="27"/>
        <v>0</v>
      </c>
      <c r="O93" s="465">
        <f t="shared" si="27"/>
        <v>0</v>
      </c>
      <c r="P93" s="252" t="s">
        <v>7</v>
      </c>
      <c r="Q93" s="252" t="s">
        <v>77</v>
      </c>
    </row>
    <row r="94" spans="1:17" ht="18" customHeight="1">
      <c r="B94" s="453">
        <f ca="1">☆入力!AO18</f>
        <v>0</v>
      </c>
      <c r="C94" s="456">
        <f>D68</f>
        <v>0</v>
      </c>
      <c r="D94" s="456">
        <v>0</v>
      </c>
      <c r="E94" s="464">
        <f t="shared" ref="E94:O95" ca="1" si="28">(($C94+$D94)*E$75*E$74)+$B94</f>
        <v>0</v>
      </c>
      <c r="F94" s="464">
        <f t="shared" ca="1" si="28"/>
        <v>0</v>
      </c>
      <c r="G94" s="464">
        <f t="shared" ca="1" si="28"/>
        <v>0</v>
      </c>
      <c r="H94" s="464">
        <f t="shared" ca="1" si="28"/>
        <v>0</v>
      </c>
      <c r="I94" s="464">
        <f t="shared" ca="1" si="28"/>
        <v>0</v>
      </c>
      <c r="J94" s="464">
        <f t="shared" ca="1" si="28"/>
        <v>0</v>
      </c>
      <c r="K94" s="464">
        <f t="shared" ca="1" si="28"/>
        <v>0</v>
      </c>
      <c r="L94" s="464">
        <f t="shared" ca="1" si="28"/>
        <v>0</v>
      </c>
      <c r="M94" s="464">
        <f t="shared" ca="1" si="28"/>
        <v>0</v>
      </c>
      <c r="N94" s="464">
        <f t="shared" ca="1" si="28"/>
        <v>0</v>
      </c>
      <c r="O94" s="464">
        <f t="shared" ca="1" si="28"/>
        <v>0</v>
      </c>
      <c r="P94" s="252" t="s">
        <v>93</v>
      </c>
      <c r="Q94" s="252" t="s">
        <v>92</v>
      </c>
    </row>
    <row r="95" spans="1:17" ht="18" customHeight="1">
      <c r="B95" s="453">
        <f ca="1">☆入力!AO18</f>
        <v>0</v>
      </c>
      <c r="C95" s="456">
        <f>D68</f>
        <v>0</v>
      </c>
      <c r="D95" s="456">
        <f>O68</f>
        <v>0</v>
      </c>
      <c r="E95" s="465">
        <f t="shared" ca="1" si="28"/>
        <v>0</v>
      </c>
      <c r="F95" s="465">
        <f t="shared" ca="1" si="28"/>
        <v>0</v>
      </c>
      <c r="G95" s="465">
        <f t="shared" ca="1" si="28"/>
        <v>0</v>
      </c>
      <c r="H95" s="465">
        <f t="shared" ca="1" si="28"/>
        <v>0</v>
      </c>
      <c r="I95" s="465">
        <f t="shared" ca="1" si="28"/>
        <v>0</v>
      </c>
      <c r="J95" s="465">
        <f t="shared" ca="1" si="28"/>
        <v>0</v>
      </c>
      <c r="K95" s="465">
        <f t="shared" ca="1" si="28"/>
        <v>0</v>
      </c>
      <c r="L95" s="465">
        <f t="shared" ca="1" si="28"/>
        <v>0</v>
      </c>
      <c r="M95" s="465">
        <f t="shared" ca="1" si="28"/>
        <v>0</v>
      </c>
      <c r="N95" s="465">
        <f t="shared" ca="1" si="28"/>
        <v>0</v>
      </c>
      <c r="O95" s="465">
        <f t="shared" ca="1" si="28"/>
        <v>0</v>
      </c>
      <c r="P95" s="252" t="s">
        <v>93</v>
      </c>
      <c r="Q95" s="252" t="s">
        <v>77</v>
      </c>
    </row>
    <row r="98" spans="1:17" ht="18" customHeight="1">
      <c r="A98" s="252" t="s">
        <v>87</v>
      </c>
      <c r="B98" s="460">
        <f>B69</f>
        <v>0</v>
      </c>
      <c r="E98" s="252">
        <v>12</v>
      </c>
      <c r="F98" s="252">
        <v>12</v>
      </c>
      <c r="G98" s="252">
        <v>12</v>
      </c>
      <c r="H98" s="252">
        <v>12</v>
      </c>
      <c r="I98" s="252">
        <v>12</v>
      </c>
      <c r="J98" s="252">
        <v>12</v>
      </c>
      <c r="K98" s="252">
        <v>12</v>
      </c>
      <c r="L98" s="252">
        <v>12</v>
      </c>
      <c r="M98" s="252">
        <v>12</v>
      </c>
      <c r="N98" s="252">
        <v>12</v>
      </c>
      <c r="O98" s="252">
        <v>12</v>
      </c>
      <c r="P98" s="252" t="s">
        <v>88</v>
      </c>
    </row>
    <row r="99" spans="1:17" ht="18" customHeight="1">
      <c r="B99" s="252" t="s">
        <v>89</v>
      </c>
      <c r="C99" s="252" t="s">
        <v>90</v>
      </c>
      <c r="D99" s="252" t="s">
        <v>37</v>
      </c>
      <c r="E99" s="461">
        <v>0</v>
      </c>
      <c r="F99" s="461">
        <v>1</v>
      </c>
      <c r="G99" s="461">
        <v>2</v>
      </c>
      <c r="H99" s="461">
        <v>3</v>
      </c>
      <c r="I99" s="461">
        <v>4</v>
      </c>
      <c r="J99" s="461">
        <v>5</v>
      </c>
      <c r="K99" s="461">
        <v>6</v>
      </c>
      <c r="L99" s="461">
        <v>7</v>
      </c>
      <c r="M99" s="461">
        <v>8</v>
      </c>
      <c r="N99" s="461">
        <v>9</v>
      </c>
      <c r="O99" s="461">
        <v>10</v>
      </c>
      <c r="P99" s="252" t="s">
        <v>91</v>
      </c>
    </row>
    <row r="100" spans="1:17" ht="18" customHeight="1">
      <c r="B100" s="462"/>
      <c r="C100" s="456">
        <f>C69</f>
        <v>0</v>
      </c>
      <c r="D100" s="456">
        <f>K69</f>
        <v>0</v>
      </c>
      <c r="E100" s="464">
        <f t="shared" ref="E100:O101" si="29">($C100+$D100)*E$75*E$74</f>
        <v>0</v>
      </c>
      <c r="F100" s="464">
        <f t="shared" si="29"/>
        <v>0</v>
      </c>
      <c r="G100" s="464">
        <f t="shared" si="29"/>
        <v>0</v>
      </c>
      <c r="H100" s="464">
        <f t="shared" si="29"/>
        <v>0</v>
      </c>
      <c r="I100" s="464">
        <f t="shared" si="29"/>
        <v>0</v>
      </c>
      <c r="J100" s="464">
        <f t="shared" si="29"/>
        <v>0</v>
      </c>
      <c r="K100" s="464">
        <f t="shared" si="29"/>
        <v>0</v>
      </c>
      <c r="L100" s="464">
        <f t="shared" si="29"/>
        <v>0</v>
      </c>
      <c r="M100" s="464">
        <f t="shared" si="29"/>
        <v>0</v>
      </c>
      <c r="N100" s="464">
        <f t="shared" si="29"/>
        <v>0</v>
      </c>
      <c r="O100" s="464">
        <f t="shared" si="29"/>
        <v>0</v>
      </c>
      <c r="P100" s="252" t="s">
        <v>7</v>
      </c>
      <c r="Q100" s="252" t="s">
        <v>92</v>
      </c>
    </row>
    <row r="101" spans="1:17" ht="18" customHeight="1">
      <c r="B101" s="462"/>
      <c r="C101" s="456">
        <f>C69</f>
        <v>0</v>
      </c>
      <c r="D101" s="456">
        <f>P69</f>
        <v>0</v>
      </c>
      <c r="E101" s="465">
        <f t="shared" si="29"/>
        <v>0</v>
      </c>
      <c r="F101" s="465">
        <f t="shared" si="29"/>
        <v>0</v>
      </c>
      <c r="G101" s="465">
        <f t="shared" si="29"/>
        <v>0</v>
      </c>
      <c r="H101" s="465">
        <f t="shared" si="29"/>
        <v>0</v>
      </c>
      <c r="I101" s="465">
        <f t="shared" si="29"/>
        <v>0</v>
      </c>
      <c r="J101" s="465">
        <f t="shared" si="29"/>
        <v>0</v>
      </c>
      <c r="K101" s="465">
        <f t="shared" si="29"/>
        <v>0</v>
      </c>
      <c r="L101" s="465">
        <f t="shared" si="29"/>
        <v>0</v>
      </c>
      <c r="M101" s="465">
        <f t="shared" si="29"/>
        <v>0</v>
      </c>
      <c r="N101" s="465">
        <f t="shared" si="29"/>
        <v>0</v>
      </c>
      <c r="O101" s="465">
        <f t="shared" si="29"/>
        <v>0</v>
      </c>
      <c r="P101" s="252" t="s">
        <v>7</v>
      </c>
      <c r="Q101" s="252" t="s">
        <v>77</v>
      </c>
    </row>
    <row r="102" spans="1:17" ht="18" customHeight="1">
      <c r="B102" s="453">
        <f ca="1">☆入力!AO19</f>
        <v>0</v>
      </c>
      <c r="C102" s="456">
        <f>D69</f>
        <v>0</v>
      </c>
      <c r="D102" s="456">
        <v>0</v>
      </c>
      <c r="E102" s="464">
        <f t="shared" ref="E102:O103" ca="1" si="30">(($C102+$D102)*E$75*E$74)+$B102</f>
        <v>0</v>
      </c>
      <c r="F102" s="464">
        <f t="shared" ca="1" si="30"/>
        <v>0</v>
      </c>
      <c r="G102" s="464">
        <f t="shared" ca="1" si="30"/>
        <v>0</v>
      </c>
      <c r="H102" s="464">
        <f t="shared" ca="1" si="30"/>
        <v>0</v>
      </c>
      <c r="I102" s="464">
        <f t="shared" ca="1" si="30"/>
        <v>0</v>
      </c>
      <c r="J102" s="464">
        <f t="shared" ca="1" si="30"/>
        <v>0</v>
      </c>
      <c r="K102" s="464">
        <f t="shared" ca="1" si="30"/>
        <v>0</v>
      </c>
      <c r="L102" s="464">
        <f t="shared" ca="1" si="30"/>
        <v>0</v>
      </c>
      <c r="M102" s="464">
        <f t="shared" ca="1" si="30"/>
        <v>0</v>
      </c>
      <c r="N102" s="464">
        <f t="shared" ca="1" si="30"/>
        <v>0</v>
      </c>
      <c r="O102" s="464">
        <f t="shared" ca="1" si="30"/>
        <v>0</v>
      </c>
      <c r="P102" s="252" t="s">
        <v>93</v>
      </c>
      <c r="Q102" s="252" t="s">
        <v>92</v>
      </c>
    </row>
    <row r="103" spans="1:17" ht="18" customHeight="1">
      <c r="B103" s="453">
        <f ca="1">☆入力!AO19</f>
        <v>0</v>
      </c>
      <c r="C103" s="456">
        <f>D69</f>
        <v>0</v>
      </c>
      <c r="D103" s="456">
        <f>O69</f>
        <v>0</v>
      </c>
      <c r="E103" s="465">
        <f t="shared" ca="1" si="30"/>
        <v>0</v>
      </c>
      <c r="F103" s="465">
        <f t="shared" ca="1" si="30"/>
        <v>0</v>
      </c>
      <c r="G103" s="465">
        <f t="shared" ca="1" si="30"/>
        <v>0</v>
      </c>
      <c r="H103" s="465">
        <f t="shared" ca="1" si="30"/>
        <v>0</v>
      </c>
      <c r="I103" s="465">
        <f t="shared" ca="1" si="30"/>
        <v>0</v>
      </c>
      <c r="J103" s="465">
        <f t="shared" ca="1" si="30"/>
        <v>0</v>
      </c>
      <c r="K103" s="465">
        <f t="shared" ca="1" si="30"/>
        <v>0</v>
      </c>
      <c r="L103" s="465">
        <f t="shared" ca="1" si="30"/>
        <v>0</v>
      </c>
      <c r="M103" s="465">
        <f t="shared" ca="1" si="30"/>
        <v>0</v>
      </c>
      <c r="N103" s="465">
        <f t="shared" ca="1" si="30"/>
        <v>0</v>
      </c>
      <c r="O103" s="465">
        <f t="shared" ca="1" si="30"/>
        <v>0</v>
      </c>
      <c r="P103" s="252" t="s">
        <v>93</v>
      </c>
      <c r="Q103" s="252" t="s">
        <v>77</v>
      </c>
    </row>
  </sheetData>
  <phoneticPr fontId="2"/>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104B0-3FF2-4FEB-9E39-EBB4ACABB4A6}">
  <sheetPr>
    <tabColor rgb="FF7030A0"/>
  </sheetPr>
  <dimension ref="A1:BB65"/>
  <sheetViews>
    <sheetView zoomScale="70" zoomScaleNormal="70" workbookViewId="0">
      <pane ySplit="1" topLeftCell="A3" activePane="bottomLeft" state="frozen"/>
      <selection pane="bottomLeft" activeCell="A3" sqref="A3"/>
      <selection activeCell="C27" sqref="C27:K27"/>
    </sheetView>
  </sheetViews>
  <sheetFormatPr defaultColWidth="8.625" defaultRowHeight="70.349999999999994" customHeight="1"/>
  <cols>
    <col min="1" max="2" width="7" style="5" bestFit="1" customWidth="1"/>
    <col min="3" max="3" width="30.75" style="5" bestFit="1" customWidth="1"/>
    <col min="4" max="4" width="8.25" style="5" customWidth="1"/>
    <col min="5" max="5" width="8.25" style="185" customWidth="1"/>
    <col min="6" max="6" width="13.625" style="185" bestFit="1" customWidth="1"/>
    <col min="7" max="10" width="8.25" style="609" customWidth="1"/>
    <col min="11" max="14" width="8.25" style="5" customWidth="1"/>
    <col min="15" max="15" width="21.625" style="5" customWidth="1"/>
    <col min="16" max="17" width="8.25" style="5" customWidth="1"/>
    <col min="18" max="18" width="21.625" style="5" customWidth="1"/>
    <col min="19" max="20" width="8.25" style="5" customWidth="1"/>
    <col min="21" max="21" width="21.625" style="5" customWidth="1"/>
    <col min="22" max="23" width="8.25" style="5" customWidth="1"/>
    <col min="24" max="24" width="21.625" style="5" customWidth="1"/>
    <col min="25" max="36" width="8.25" style="5" customWidth="1"/>
    <col min="37" max="16384" width="8.625" style="5"/>
  </cols>
  <sheetData>
    <row r="1" spans="1:54" s="534" customFormat="1" ht="35.25" customHeight="1">
      <c r="A1" s="534" t="s">
        <v>94</v>
      </c>
      <c r="B1" s="534" t="s">
        <v>95</v>
      </c>
      <c r="C1" s="534" t="s">
        <v>96</v>
      </c>
      <c r="D1" s="539" t="s">
        <v>97</v>
      </c>
      <c r="E1" s="539" t="s">
        <v>98</v>
      </c>
      <c r="F1" s="540" t="s">
        <v>99</v>
      </c>
      <c r="G1" s="606" t="s">
        <v>100</v>
      </c>
      <c r="H1" s="607" t="s">
        <v>101</v>
      </c>
      <c r="I1" s="608" t="s">
        <v>102</v>
      </c>
      <c r="J1" s="608" t="s">
        <v>103</v>
      </c>
      <c r="K1" s="539" t="s">
        <v>104</v>
      </c>
      <c r="L1" s="539" t="s">
        <v>96</v>
      </c>
      <c r="M1" s="539" t="s">
        <v>105</v>
      </c>
      <c r="N1" s="539" t="s">
        <v>106</v>
      </c>
      <c r="O1" s="535" t="s">
        <v>107</v>
      </c>
      <c r="P1" s="538" t="s">
        <v>108</v>
      </c>
      <c r="Q1" s="553" t="s">
        <v>109</v>
      </c>
      <c r="R1" s="555" t="s">
        <v>110</v>
      </c>
      <c r="S1" s="558" t="s">
        <v>111</v>
      </c>
      <c r="T1" s="559" t="s">
        <v>112</v>
      </c>
      <c r="U1" s="555" t="s">
        <v>113</v>
      </c>
      <c r="V1" s="558" t="s">
        <v>114</v>
      </c>
      <c r="W1" s="559" t="s">
        <v>115</v>
      </c>
      <c r="X1" s="555" t="s">
        <v>116</v>
      </c>
      <c r="Y1" s="558" t="s">
        <v>114</v>
      </c>
      <c r="Z1" s="559" t="s">
        <v>115</v>
      </c>
      <c r="AA1" s="536" t="s">
        <v>117</v>
      </c>
      <c r="AB1" s="536" t="s">
        <v>118</v>
      </c>
      <c r="AC1" s="534" t="s">
        <v>119</v>
      </c>
      <c r="AD1" s="537" t="s">
        <v>120</v>
      </c>
      <c r="AE1" s="537" t="s">
        <v>121</v>
      </c>
      <c r="AF1" s="537" t="s">
        <v>122</v>
      </c>
      <c r="AG1" s="537" t="s">
        <v>123</v>
      </c>
      <c r="AH1" s="534" t="s">
        <v>124</v>
      </c>
      <c r="AI1" s="534" t="s">
        <v>125</v>
      </c>
      <c r="AJ1" s="537" t="s">
        <v>126</v>
      </c>
    </row>
    <row r="2" spans="1:54" ht="18.75">
      <c r="A2" s="5">
        <v>0</v>
      </c>
      <c r="B2" s="5">
        <v>0</v>
      </c>
      <c r="C2" s="5">
        <v>1</v>
      </c>
      <c r="D2" s="209">
        <v>2</v>
      </c>
      <c r="E2" s="541">
        <v>3</v>
      </c>
      <c r="F2" s="541">
        <v>4</v>
      </c>
      <c r="G2" s="609">
        <v>5</v>
      </c>
      <c r="H2" s="609">
        <v>6</v>
      </c>
      <c r="I2" s="609">
        <v>7</v>
      </c>
      <c r="J2" s="609">
        <v>8</v>
      </c>
      <c r="K2" s="209">
        <v>9</v>
      </c>
      <c r="L2" s="209">
        <v>10</v>
      </c>
      <c r="M2" s="209">
        <v>11</v>
      </c>
      <c r="N2" s="209">
        <v>12</v>
      </c>
      <c r="O2" s="556">
        <v>13</v>
      </c>
      <c r="P2" s="550">
        <v>14</v>
      </c>
      <c r="Q2" s="554">
        <v>15</v>
      </c>
      <c r="R2" s="556">
        <v>16</v>
      </c>
      <c r="S2" s="550">
        <v>17</v>
      </c>
      <c r="T2" s="554">
        <v>18</v>
      </c>
      <c r="U2" s="556">
        <v>19</v>
      </c>
      <c r="V2" s="550">
        <v>20</v>
      </c>
      <c r="W2" s="554">
        <v>21</v>
      </c>
      <c r="X2" s="556">
        <v>22</v>
      </c>
      <c r="Y2" s="550">
        <v>23</v>
      </c>
      <c r="Z2" s="554">
        <v>24</v>
      </c>
      <c r="AA2" s="209">
        <v>25</v>
      </c>
      <c r="AB2" s="209">
        <v>26</v>
      </c>
      <c r="AC2" s="5">
        <v>27</v>
      </c>
      <c r="AD2" s="5">
        <v>28</v>
      </c>
      <c r="AE2" s="5">
        <v>29</v>
      </c>
      <c r="AF2" s="5">
        <v>30</v>
      </c>
      <c r="AG2" s="5">
        <v>31</v>
      </c>
      <c r="AH2" s="5">
        <v>32</v>
      </c>
      <c r="AI2" s="5">
        <v>33</v>
      </c>
      <c r="AJ2" s="5">
        <v>34</v>
      </c>
    </row>
    <row r="3" spans="1:54" s="563" customFormat="1" ht="70.150000000000006" customHeight="1">
      <c r="A3" s="732"/>
      <c r="B3" s="732"/>
      <c r="C3" s="732"/>
      <c r="D3" s="734"/>
      <c r="E3" s="734"/>
      <c r="F3" s="737"/>
      <c r="G3" s="735"/>
      <c r="H3" s="755"/>
      <c r="I3" s="736"/>
      <c r="J3" s="736"/>
      <c r="K3" s="734"/>
      <c r="L3" s="737"/>
      <c r="M3" s="734"/>
      <c r="N3" s="734"/>
      <c r="O3" s="756"/>
      <c r="P3" s="757"/>
      <c r="Q3" s="758"/>
      <c r="R3" s="759"/>
      <c r="S3" s="741"/>
      <c r="T3" s="742"/>
      <c r="U3" s="759"/>
      <c r="V3" s="741"/>
      <c r="W3" s="742"/>
      <c r="X3" s="759"/>
      <c r="Y3" s="741"/>
      <c r="Z3" s="742"/>
      <c r="AA3" s="746"/>
      <c r="AB3" s="736"/>
      <c r="AC3" s="749"/>
      <c r="AD3" s="749"/>
      <c r="AE3" s="749"/>
      <c r="AF3" s="760"/>
      <c r="AG3" s="749"/>
      <c r="AH3" s="749"/>
      <c r="AI3" s="749"/>
      <c r="AJ3" s="761"/>
      <c r="AK3" s="750"/>
      <c r="AL3" s="732"/>
      <c r="AM3" s="732"/>
      <c r="AN3" s="733"/>
      <c r="AO3" s="762"/>
      <c r="AP3" s="732"/>
      <c r="AQ3" s="751"/>
      <c r="AR3" s="752"/>
      <c r="AS3" s="753"/>
      <c r="AT3" s="732"/>
      <c r="AU3" s="732"/>
      <c r="AV3" s="732"/>
      <c r="AW3" s="732"/>
      <c r="AX3" s="732"/>
      <c r="AY3" s="732"/>
      <c r="AZ3" s="732"/>
      <c r="BA3" s="732"/>
      <c r="BB3" s="732"/>
    </row>
    <row r="4" spans="1:54" s="321" customFormat="1" ht="70.349999999999994" customHeight="1">
      <c r="A4" s="732"/>
      <c r="B4" s="732"/>
      <c r="C4" s="732"/>
      <c r="D4" s="734"/>
      <c r="E4" s="734"/>
      <c r="F4" s="734"/>
      <c r="G4" s="735"/>
      <c r="H4" s="735"/>
      <c r="I4" s="736"/>
      <c r="J4" s="736"/>
      <c r="K4" s="734"/>
      <c r="L4" s="734"/>
      <c r="M4" s="734"/>
      <c r="N4" s="734"/>
      <c r="O4" s="740"/>
      <c r="P4" s="763"/>
      <c r="Q4" s="764"/>
      <c r="R4" s="765"/>
      <c r="S4" s="741"/>
      <c r="T4" s="742"/>
      <c r="U4" s="765"/>
      <c r="V4" s="741"/>
      <c r="W4" s="742"/>
      <c r="X4" s="765"/>
      <c r="Y4" s="741"/>
      <c r="Z4" s="742"/>
      <c r="AA4" s="746"/>
      <c r="AB4" s="746"/>
      <c r="AC4" s="749"/>
      <c r="AD4" s="749"/>
      <c r="AE4" s="749"/>
      <c r="AF4" s="766"/>
      <c r="AG4" s="749"/>
      <c r="AH4" s="760"/>
      <c r="AI4" s="748"/>
      <c r="AJ4" s="761"/>
      <c r="AK4" s="750"/>
      <c r="AL4" s="732"/>
      <c r="AM4" s="749"/>
      <c r="AN4" s="732"/>
      <c r="AO4" s="732"/>
      <c r="AP4" s="732"/>
      <c r="AQ4" s="751"/>
      <c r="AR4" s="752"/>
      <c r="AS4" s="753"/>
      <c r="AT4" s="732"/>
      <c r="AU4" s="732"/>
    </row>
    <row r="5" spans="1:54" ht="70.349999999999994" customHeight="1">
      <c r="A5" s="732"/>
      <c r="B5" s="732"/>
      <c r="C5" s="733"/>
      <c r="D5" s="734"/>
      <c r="E5" s="734"/>
      <c r="F5" s="734"/>
      <c r="G5" s="760"/>
      <c r="H5" s="767"/>
      <c r="I5" s="736"/>
      <c r="J5" s="736"/>
      <c r="K5" s="734"/>
      <c r="L5" s="734"/>
      <c r="M5" s="734"/>
      <c r="N5" s="734"/>
      <c r="O5" s="743"/>
      <c r="P5" s="744"/>
      <c r="Q5" s="739"/>
      <c r="R5" s="768"/>
      <c r="S5" s="744"/>
      <c r="T5" s="745"/>
      <c r="U5" s="768"/>
      <c r="V5" s="744"/>
      <c r="W5" s="745"/>
      <c r="X5" s="765"/>
      <c r="Y5" s="741"/>
      <c r="Z5" s="742"/>
      <c r="AA5" s="746"/>
      <c r="AB5" s="746"/>
      <c r="AC5" s="749"/>
      <c r="AD5" s="747"/>
      <c r="AE5" s="749"/>
      <c r="AF5" s="760"/>
      <c r="AG5" s="749"/>
      <c r="AH5" s="749"/>
      <c r="AI5" s="749"/>
      <c r="AJ5" s="761"/>
      <c r="AK5" s="750"/>
      <c r="AL5" s="769"/>
      <c r="AM5" s="732"/>
      <c r="AN5" s="732"/>
      <c r="AO5" s="732"/>
      <c r="AP5" s="732"/>
      <c r="AQ5" s="751"/>
      <c r="AR5" s="752"/>
      <c r="AS5" s="753"/>
      <c r="AT5" s="732"/>
      <c r="AU5" s="732"/>
      <c r="AV5" s="754"/>
      <c r="AW5" s="754"/>
      <c r="AX5" s="754"/>
    </row>
    <row r="6" spans="1:54" ht="69.75" customHeight="1">
      <c r="A6" s="732"/>
      <c r="B6" s="770"/>
      <c r="C6" s="771"/>
      <c r="D6" s="734"/>
      <c r="E6" s="734"/>
      <c r="F6" s="734"/>
      <c r="G6" s="735"/>
      <c r="H6" s="735"/>
      <c r="I6" s="736"/>
      <c r="J6" s="736"/>
      <c r="K6" s="734"/>
      <c r="L6" s="734"/>
      <c r="M6" s="734"/>
      <c r="N6" s="734"/>
      <c r="O6" s="765"/>
      <c r="P6" s="738"/>
      <c r="Q6" s="739"/>
      <c r="R6" s="772"/>
      <c r="S6" s="773"/>
      <c r="T6" s="774"/>
      <c r="U6" s="768"/>
      <c r="V6" s="744"/>
      <c r="W6" s="745"/>
      <c r="X6" s="768"/>
      <c r="Y6" s="744"/>
      <c r="Z6" s="745"/>
      <c r="AA6" s="746"/>
      <c r="AB6" s="746"/>
      <c r="AC6" s="749"/>
      <c r="AD6" s="749"/>
      <c r="AE6" s="749"/>
      <c r="AF6" s="760"/>
      <c r="AG6" s="749"/>
      <c r="AH6" s="749"/>
      <c r="AI6" s="749"/>
      <c r="AJ6" s="761"/>
      <c r="AK6" s="733"/>
      <c r="AL6" s="749"/>
      <c r="AM6" s="749"/>
      <c r="AN6" s="732"/>
      <c r="AO6" s="732"/>
      <c r="AP6" s="732"/>
      <c r="AQ6" s="751"/>
      <c r="AR6" s="752"/>
      <c r="AS6" s="753"/>
      <c r="AT6" s="732"/>
      <c r="AU6" s="732"/>
      <c r="AV6" s="732"/>
      <c r="AW6" s="732"/>
      <c r="AX6" s="732"/>
      <c r="AY6" s="732"/>
      <c r="AZ6" s="732"/>
      <c r="BA6" s="732"/>
    </row>
    <row r="7" spans="1:54" ht="70.349999999999994" customHeight="1">
      <c r="B7" s="321"/>
      <c r="C7" s="5" t="s">
        <v>127</v>
      </c>
      <c r="D7" s="542"/>
      <c r="E7" s="543"/>
      <c r="F7" s="543"/>
      <c r="G7" s="610"/>
      <c r="H7" s="610"/>
      <c r="I7" s="610"/>
      <c r="J7" s="610"/>
      <c r="K7" s="547"/>
      <c r="L7" s="542"/>
      <c r="M7" s="542"/>
      <c r="N7" s="542"/>
      <c r="O7" s="557"/>
      <c r="P7" s="551"/>
      <c r="Q7" s="554"/>
      <c r="R7" s="556"/>
      <c r="S7" s="550"/>
      <c r="T7" s="554"/>
      <c r="U7" s="556"/>
      <c r="V7" s="550"/>
      <c r="W7" s="554"/>
      <c r="X7" s="556"/>
      <c r="Y7" s="550"/>
      <c r="Z7" s="554"/>
      <c r="AA7" s="548"/>
      <c r="AB7" s="209"/>
      <c r="AC7" s="312"/>
      <c r="AE7" s="313"/>
      <c r="AF7" s="313"/>
      <c r="AH7" s="312"/>
      <c r="AI7" s="312"/>
      <c r="AJ7" s="312"/>
      <c r="AK7" s="314"/>
      <c r="AL7" s="312"/>
      <c r="AM7" s="312"/>
      <c r="AN7" s="312"/>
      <c r="AO7" s="312"/>
      <c r="AP7" s="315"/>
    </row>
    <row r="8" spans="1:54" ht="70.349999999999994" customHeight="1">
      <c r="C8" s="5" t="s">
        <v>127</v>
      </c>
      <c r="D8" s="209"/>
      <c r="E8" s="544"/>
      <c r="F8" s="544"/>
      <c r="K8" s="546"/>
      <c r="L8" s="209"/>
      <c r="M8" s="209"/>
      <c r="N8" s="209"/>
      <c r="O8" s="556"/>
      <c r="P8" s="550"/>
      <c r="Q8" s="554"/>
      <c r="R8" s="556"/>
      <c r="S8" s="550"/>
      <c r="T8" s="554"/>
      <c r="U8" s="556"/>
      <c r="V8" s="550"/>
      <c r="W8" s="554"/>
      <c r="X8" s="556"/>
      <c r="Y8" s="550"/>
      <c r="Z8" s="554"/>
      <c r="AA8" s="209"/>
      <c r="AB8" s="209"/>
      <c r="AE8" s="295"/>
      <c r="AF8" s="185"/>
      <c r="AK8" s="6"/>
    </row>
    <row r="9" spans="1:54" ht="70.349999999999994" customHeight="1">
      <c r="C9" s="5" t="s">
        <v>127</v>
      </c>
      <c r="D9" s="209"/>
      <c r="E9" s="544"/>
      <c r="F9" s="544"/>
      <c r="G9" s="611"/>
      <c r="K9" s="546"/>
      <c r="L9" s="209"/>
      <c r="M9" s="209"/>
      <c r="N9" s="209"/>
      <c r="O9" s="556"/>
      <c r="P9" s="550"/>
      <c r="Q9" s="554"/>
      <c r="R9" s="556"/>
      <c r="S9" s="550"/>
      <c r="T9" s="554"/>
      <c r="U9" s="556"/>
      <c r="V9" s="550"/>
      <c r="W9" s="554"/>
      <c r="X9" s="556"/>
      <c r="Y9" s="550"/>
      <c r="Z9" s="554"/>
      <c r="AA9" s="209"/>
      <c r="AB9" s="209"/>
    </row>
    <row r="10" spans="1:54" ht="70.150000000000006" customHeight="1">
      <c r="C10" s="5" t="s">
        <v>127</v>
      </c>
      <c r="D10" s="545"/>
      <c r="E10" s="544"/>
      <c r="F10" s="544"/>
      <c r="K10" s="546"/>
      <c r="L10" s="209"/>
      <c r="M10" s="209"/>
      <c r="N10" s="209"/>
      <c r="O10" s="556"/>
      <c r="P10" s="550"/>
      <c r="Q10" s="554"/>
      <c r="R10" s="556"/>
      <c r="S10" s="550"/>
      <c r="T10" s="554"/>
      <c r="U10" s="556"/>
      <c r="V10" s="550"/>
      <c r="W10" s="554"/>
      <c r="X10" s="556"/>
      <c r="Y10" s="550"/>
      <c r="Z10" s="554"/>
      <c r="AA10" s="209"/>
      <c r="AB10" s="209"/>
    </row>
    <row r="11" spans="1:54" ht="70.349999999999994" customHeight="1">
      <c r="C11" s="5" t="s">
        <v>127</v>
      </c>
      <c r="D11" s="209"/>
      <c r="E11" s="544"/>
      <c r="F11" s="544"/>
      <c r="G11" s="611"/>
      <c r="K11" s="546"/>
      <c r="L11" s="209"/>
      <c r="M11" s="209"/>
      <c r="N11" s="209"/>
      <c r="O11" s="556"/>
      <c r="P11" s="550"/>
      <c r="Q11" s="554"/>
      <c r="R11" s="556"/>
      <c r="S11" s="550"/>
      <c r="T11" s="554"/>
      <c r="U11" s="556"/>
      <c r="V11" s="550"/>
      <c r="W11" s="554"/>
      <c r="X11" s="556"/>
      <c r="Y11" s="550"/>
      <c r="Z11" s="554"/>
      <c r="AA11" s="209"/>
      <c r="AB11" s="209"/>
    </row>
    <row r="12" spans="1:54" ht="70.349999999999994" customHeight="1">
      <c r="C12" s="5" t="s">
        <v>127</v>
      </c>
      <c r="D12" s="209"/>
      <c r="E12" s="544"/>
      <c r="F12" s="544"/>
      <c r="K12" s="546"/>
      <c r="L12" s="209"/>
      <c r="M12" s="209"/>
      <c r="N12" s="209"/>
      <c r="O12" s="556"/>
      <c r="P12" s="550"/>
      <c r="Q12" s="554"/>
      <c r="R12" s="556"/>
      <c r="S12" s="550"/>
      <c r="T12" s="554"/>
      <c r="U12" s="556"/>
      <c r="V12" s="550"/>
      <c r="W12" s="554"/>
      <c r="X12" s="556"/>
      <c r="Y12" s="550"/>
      <c r="Z12" s="554"/>
      <c r="AA12" s="209"/>
      <c r="AB12" s="209"/>
    </row>
    <row r="13" spans="1:54" ht="69.75" customHeight="1">
      <c r="C13" s="5" t="s">
        <v>127</v>
      </c>
      <c r="D13" s="209"/>
      <c r="E13" s="544"/>
      <c r="F13" s="544"/>
      <c r="K13" s="546"/>
      <c r="L13" s="209"/>
      <c r="M13" s="209"/>
      <c r="N13" s="209"/>
      <c r="O13" s="556"/>
      <c r="P13" s="552"/>
      <c r="Q13" s="554"/>
      <c r="R13" s="556"/>
      <c r="S13" s="550"/>
      <c r="T13" s="554"/>
      <c r="U13" s="560"/>
      <c r="V13" s="561"/>
      <c r="W13" s="562"/>
      <c r="X13" s="560"/>
      <c r="Y13" s="561"/>
      <c r="Z13" s="562"/>
      <c r="AA13" s="549"/>
      <c r="AB13" s="549"/>
      <c r="AC13" s="358"/>
    </row>
    <row r="14" spans="1:54" ht="70.349999999999994" customHeight="1">
      <c r="C14" s="5" t="s">
        <v>127</v>
      </c>
      <c r="D14" s="209"/>
      <c r="E14" s="544"/>
      <c r="F14" s="544"/>
      <c r="K14" s="546"/>
      <c r="L14" s="209"/>
      <c r="M14" s="209"/>
      <c r="N14" s="209"/>
      <c r="O14" s="556"/>
      <c r="P14" s="550"/>
      <c r="Q14" s="554"/>
      <c r="R14" s="556"/>
      <c r="S14" s="550"/>
      <c r="T14" s="554"/>
      <c r="U14" s="556"/>
      <c r="V14" s="550"/>
      <c r="W14" s="554"/>
      <c r="X14" s="556"/>
      <c r="Y14" s="550"/>
      <c r="Z14" s="554"/>
      <c r="AA14" s="209"/>
      <c r="AB14" s="209"/>
    </row>
    <row r="15" spans="1:54" ht="70.349999999999994" customHeight="1">
      <c r="C15" s="5" t="s">
        <v>127</v>
      </c>
      <c r="D15" s="209"/>
      <c r="E15" s="209"/>
      <c r="F15" s="209"/>
      <c r="K15" s="546"/>
      <c r="L15" s="209"/>
      <c r="M15" s="209"/>
      <c r="N15" s="209"/>
      <c r="O15" s="556"/>
      <c r="P15" s="550"/>
      <c r="Q15" s="554"/>
      <c r="R15" s="556"/>
      <c r="S15" s="550"/>
      <c r="T15" s="554"/>
      <c r="U15" s="556"/>
      <c r="V15" s="550"/>
      <c r="W15" s="554"/>
      <c r="X15" s="556"/>
      <c r="Y15" s="550"/>
      <c r="Z15" s="554"/>
      <c r="AA15" s="209"/>
      <c r="AB15" s="209"/>
    </row>
    <row r="16" spans="1:54" ht="70.349999999999994" customHeight="1">
      <c r="C16" s="5" t="s">
        <v>127</v>
      </c>
      <c r="D16" s="209"/>
      <c r="E16" s="541"/>
      <c r="F16" s="541"/>
      <c r="K16" s="546"/>
      <c r="L16" s="209"/>
      <c r="M16" s="209"/>
      <c r="N16" s="209"/>
      <c r="O16" s="556"/>
      <c r="P16" s="550"/>
      <c r="Q16" s="554"/>
      <c r="R16" s="556"/>
      <c r="S16" s="550"/>
      <c r="T16" s="554"/>
      <c r="U16" s="556"/>
      <c r="V16" s="550"/>
      <c r="W16" s="554"/>
      <c r="X16" s="556"/>
      <c r="Y16" s="550"/>
      <c r="Z16" s="554"/>
      <c r="AA16" s="209"/>
      <c r="AB16" s="209"/>
    </row>
    <row r="17" spans="3:28" ht="70.349999999999994" customHeight="1">
      <c r="C17" s="5" t="s">
        <v>127</v>
      </c>
      <c r="D17" s="209"/>
      <c r="E17" s="541"/>
      <c r="F17" s="541"/>
      <c r="K17" s="546"/>
      <c r="L17" s="209"/>
      <c r="M17" s="209"/>
      <c r="N17" s="209"/>
      <c r="O17" s="556"/>
      <c r="P17" s="550"/>
      <c r="Q17" s="554"/>
      <c r="R17" s="556"/>
      <c r="S17" s="550"/>
      <c r="T17" s="554"/>
      <c r="U17" s="556"/>
      <c r="V17" s="550"/>
      <c r="W17" s="554"/>
      <c r="X17" s="556"/>
      <c r="Y17" s="550"/>
      <c r="Z17" s="554"/>
      <c r="AA17" s="209"/>
      <c r="AB17" s="209"/>
    </row>
    <row r="18" spans="3:28" ht="70.349999999999994" customHeight="1">
      <c r="C18" s="5" t="s">
        <v>127</v>
      </c>
      <c r="D18" s="209"/>
      <c r="E18" s="541"/>
      <c r="F18" s="541"/>
      <c r="K18" s="546"/>
      <c r="L18" s="209"/>
      <c r="M18" s="209"/>
      <c r="N18" s="209"/>
      <c r="O18" s="556"/>
      <c r="P18" s="550"/>
      <c r="Q18" s="554"/>
      <c r="R18" s="556"/>
      <c r="S18" s="550"/>
      <c r="T18" s="554"/>
      <c r="U18" s="556"/>
      <c r="V18" s="550"/>
      <c r="W18" s="554"/>
      <c r="X18" s="556"/>
      <c r="Y18" s="550"/>
      <c r="Z18" s="554"/>
      <c r="AA18" s="209"/>
      <c r="AB18" s="209"/>
    </row>
    <row r="19" spans="3:28" ht="70.349999999999994" customHeight="1">
      <c r="C19" s="5" t="s">
        <v>127</v>
      </c>
      <c r="D19" s="209"/>
      <c r="E19" s="541"/>
      <c r="F19" s="541"/>
      <c r="K19" s="546"/>
      <c r="L19" s="209"/>
      <c r="M19" s="209"/>
      <c r="N19" s="209"/>
      <c r="O19" s="556"/>
      <c r="P19" s="550"/>
      <c r="Q19" s="554"/>
      <c r="R19" s="556"/>
      <c r="S19" s="550"/>
      <c r="T19" s="554"/>
      <c r="U19" s="556"/>
      <c r="V19" s="550"/>
      <c r="W19" s="554"/>
      <c r="X19" s="556"/>
      <c r="Y19" s="550"/>
      <c r="Z19" s="554"/>
      <c r="AA19" s="209"/>
      <c r="AB19" s="209"/>
    </row>
    <row r="20" spans="3:28" ht="70.349999999999994" customHeight="1">
      <c r="C20" s="5" t="s">
        <v>127</v>
      </c>
      <c r="D20" s="209"/>
      <c r="E20" s="541"/>
      <c r="F20" s="541"/>
      <c r="K20" s="546"/>
      <c r="L20" s="209"/>
      <c r="M20" s="209"/>
      <c r="N20" s="209"/>
      <c r="O20" s="556"/>
      <c r="P20" s="550"/>
      <c r="Q20" s="554"/>
      <c r="R20" s="556"/>
      <c r="S20" s="550"/>
      <c r="T20" s="554"/>
      <c r="U20" s="556"/>
      <c r="V20" s="550"/>
      <c r="W20" s="554"/>
      <c r="X20" s="556"/>
      <c r="Y20" s="550"/>
      <c r="Z20" s="554"/>
      <c r="AA20" s="209"/>
      <c r="AB20" s="209"/>
    </row>
    <row r="21" spans="3:28" ht="70.349999999999994" customHeight="1">
      <c r="C21" s="5" t="s">
        <v>127</v>
      </c>
      <c r="D21" s="209"/>
      <c r="E21" s="541"/>
      <c r="F21" s="541"/>
      <c r="K21" s="546"/>
      <c r="L21" s="209"/>
      <c r="M21" s="209"/>
      <c r="N21" s="209"/>
      <c r="O21" s="556"/>
      <c r="P21" s="550"/>
      <c r="Q21" s="554"/>
      <c r="R21" s="556"/>
      <c r="S21" s="550"/>
      <c r="T21" s="554"/>
      <c r="U21" s="556"/>
      <c r="V21" s="550"/>
      <c r="W21" s="554"/>
      <c r="X21" s="556"/>
      <c r="Y21" s="550"/>
      <c r="Z21" s="554"/>
      <c r="AA21" s="209"/>
      <c r="AB21" s="209"/>
    </row>
    <row r="22" spans="3:28" ht="70.349999999999994" customHeight="1">
      <c r="C22" s="5" t="s">
        <v>127</v>
      </c>
      <c r="D22" s="209"/>
      <c r="E22" s="541"/>
      <c r="F22" s="541"/>
      <c r="K22" s="546"/>
      <c r="L22" s="209"/>
      <c r="M22" s="209"/>
      <c r="N22" s="209"/>
      <c r="O22" s="556"/>
      <c r="P22" s="550"/>
      <c r="Q22" s="554"/>
      <c r="R22" s="556"/>
      <c r="S22" s="550"/>
      <c r="T22" s="554"/>
      <c r="U22" s="556"/>
      <c r="V22" s="550"/>
      <c r="W22" s="554"/>
      <c r="X22" s="556"/>
      <c r="Y22" s="550"/>
      <c r="Z22" s="554"/>
      <c r="AA22" s="209"/>
      <c r="AB22" s="209"/>
    </row>
    <row r="23" spans="3:28" ht="70.349999999999994" customHeight="1">
      <c r="C23" s="5" t="s">
        <v>127</v>
      </c>
      <c r="D23" s="209"/>
      <c r="E23" s="541"/>
      <c r="F23" s="541"/>
      <c r="K23" s="546"/>
      <c r="L23" s="209"/>
      <c r="M23" s="209"/>
      <c r="N23" s="209"/>
      <c r="O23" s="556"/>
      <c r="P23" s="550"/>
      <c r="Q23" s="554"/>
      <c r="R23" s="556"/>
      <c r="S23" s="550"/>
      <c r="T23" s="554"/>
      <c r="U23" s="556"/>
      <c r="V23" s="550"/>
      <c r="W23" s="554"/>
      <c r="X23" s="556"/>
      <c r="Y23" s="550"/>
      <c r="Z23" s="554"/>
      <c r="AA23" s="209"/>
      <c r="AB23" s="209"/>
    </row>
    <row r="24" spans="3:28" ht="70.349999999999994" customHeight="1">
      <c r="C24" s="5" t="s">
        <v>127</v>
      </c>
      <c r="D24" s="209"/>
      <c r="E24" s="541"/>
      <c r="F24" s="541"/>
      <c r="K24" s="546"/>
      <c r="L24" s="209"/>
      <c r="M24" s="209"/>
      <c r="N24" s="209"/>
      <c r="O24" s="556"/>
      <c r="P24" s="550"/>
      <c r="Q24" s="554"/>
      <c r="R24" s="556"/>
      <c r="S24" s="550"/>
      <c r="T24" s="554"/>
      <c r="U24" s="556"/>
      <c r="V24" s="550"/>
      <c r="W24" s="554"/>
      <c r="X24" s="556"/>
      <c r="Y24" s="550"/>
      <c r="Z24" s="554"/>
      <c r="AA24" s="209"/>
      <c r="AB24" s="209"/>
    </row>
    <row r="25" spans="3:28" ht="70.349999999999994" customHeight="1">
      <c r="C25" s="5" t="s">
        <v>127</v>
      </c>
      <c r="D25" s="209"/>
      <c r="E25" s="541"/>
      <c r="F25" s="541"/>
      <c r="K25" s="546"/>
      <c r="L25" s="209"/>
      <c r="M25" s="209"/>
      <c r="N25" s="209"/>
      <c r="O25" s="556"/>
      <c r="P25" s="550"/>
      <c r="Q25" s="554"/>
      <c r="R25" s="556"/>
      <c r="S25" s="550"/>
      <c r="T25" s="554"/>
      <c r="U25" s="556"/>
      <c r="V25" s="550"/>
      <c r="W25" s="554"/>
      <c r="X25" s="556"/>
      <c r="Y25" s="550"/>
      <c r="Z25" s="554"/>
      <c r="AA25" s="209"/>
      <c r="AB25" s="209"/>
    </row>
    <row r="26" spans="3:28" ht="70.349999999999994" customHeight="1">
      <c r="C26" s="5" t="s">
        <v>127</v>
      </c>
      <c r="D26" s="209"/>
      <c r="E26" s="541"/>
      <c r="F26" s="541"/>
      <c r="K26" s="546"/>
      <c r="L26" s="209"/>
      <c r="M26" s="209"/>
      <c r="N26" s="209"/>
      <c r="O26" s="556"/>
      <c r="P26" s="550"/>
      <c r="Q26" s="554"/>
      <c r="R26" s="556"/>
      <c r="S26" s="550"/>
      <c r="T26" s="554"/>
      <c r="U26" s="556"/>
      <c r="V26" s="550"/>
      <c r="W26" s="554"/>
      <c r="X26" s="556"/>
      <c r="Y26" s="550"/>
      <c r="Z26" s="554"/>
      <c r="AA26" s="209"/>
      <c r="AB26" s="209"/>
    </row>
    <row r="27" spans="3:28" ht="70.349999999999994" customHeight="1">
      <c r="C27" s="5" t="s">
        <v>127</v>
      </c>
      <c r="D27" s="209"/>
      <c r="E27" s="541"/>
      <c r="F27" s="541"/>
      <c r="K27" s="546"/>
      <c r="L27" s="209"/>
      <c r="M27" s="209"/>
      <c r="N27" s="209"/>
      <c r="O27" s="556"/>
      <c r="P27" s="550"/>
      <c r="Q27" s="554"/>
      <c r="R27" s="556"/>
      <c r="S27" s="550"/>
      <c r="T27" s="554"/>
      <c r="U27" s="556"/>
      <c r="V27" s="550"/>
      <c r="W27" s="554"/>
      <c r="X27" s="556"/>
      <c r="Y27" s="550"/>
      <c r="Z27" s="554"/>
      <c r="AA27" s="209"/>
      <c r="AB27" s="209"/>
    </row>
    <row r="28" spans="3:28" ht="70.349999999999994" customHeight="1">
      <c r="C28" s="5" t="s">
        <v>127</v>
      </c>
      <c r="D28" s="209"/>
      <c r="E28" s="541"/>
      <c r="F28" s="541"/>
      <c r="K28" s="546"/>
      <c r="L28" s="209"/>
      <c r="M28" s="209"/>
      <c r="N28" s="209"/>
      <c r="O28" s="556"/>
      <c r="P28" s="550"/>
      <c r="Q28" s="554"/>
      <c r="R28" s="556"/>
      <c r="S28" s="550"/>
      <c r="T28" s="554"/>
      <c r="U28" s="556"/>
      <c r="V28" s="550"/>
      <c r="W28" s="554"/>
      <c r="X28" s="556"/>
      <c r="Y28" s="550"/>
      <c r="Z28" s="554"/>
      <c r="AA28" s="209"/>
      <c r="AB28" s="209"/>
    </row>
    <row r="29" spans="3:28" ht="70.349999999999994" customHeight="1">
      <c r="C29" s="5" t="s">
        <v>127</v>
      </c>
      <c r="D29" s="209"/>
      <c r="E29" s="541"/>
      <c r="F29" s="541"/>
      <c r="K29" s="546"/>
      <c r="L29" s="209"/>
      <c r="M29" s="209"/>
      <c r="N29" s="209"/>
      <c r="O29" s="556"/>
      <c r="P29" s="550"/>
      <c r="Q29" s="554"/>
      <c r="R29" s="556"/>
      <c r="S29" s="550"/>
      <c r="T29" s="554"/>
      <c r="U29" s="556"/>
      <c r="V29" s="550"/>
      <c r="W29" s="554"/>
      <c r="X29" s="556"/>
      <c r="Y29" s="550"/>
      <c r="Z29" s="554"/>
      <c r="AA29" s="209"/>
      <c r="AB29" s="209"/>
    </row>
    <row r="30" spans="3:28" ht="70.349999999999994" customHeight="1">
      <c r="C30" s="5" t="s">
        <v>127</v>
      </c>
      <c r="D30" s="209"/>
      <c r="E30" s="541"/>
      <c r="F30" s="541"/>
      <c r="K30" s="546"/>
      <c r="L30" s="209"/>
      <c r="M30" s="209"/>
      <c r="N30" s="209"/>
      <c r="O30" s="556"/>
      <c r="P30" s="550"/>
      <c r="Q30" s="554"/>
      <c r="R30" s="556"/>
      <c r="S30" s="550"/>
      <c r="T30" s="554"/>
      <c r="U30" s="556"/>
      <c r="V30" s="550"/>
      <c r="W30" s="554"/>
      <c r="X30" s="556"/>
      <c r="Y30" s="550"/>
      <c r="Z30" s="554"/>
      <c r="AA30" s="209"/>
      <c r="AB30" s="209"/>
    </row>
    <row r="31" spans="3:28" ht="70.349999999999994" customHeight="1">
      <c r="C31" s="5" t="s">
        <v>127</v>
      </c>
      <c r="D31" s="209"/>
      <c r="E31" s="541"/>
      <c r="F31" s="541"/>
      <c r="K31" s="546"/>
      <c r="L31" s="209"/>
      <c r="M31" s="209"/>
      <c r="N31" s="209"/>
      <c r="O31" s="556"/>
      <c r="P31" s="550"/>
      <c r="Q31" s="554"/>
      <c r="R31" s="556"/>
      <c r="S31" s="550"/>
      <c r="T31" s="554"/>
      <c r="U31" s="556"/>
      <c r="V31" s="550"/>
      <c r="W31" s="554"/>
      <c r="X31" s="556"/>
      <c r="Y31" s="550"/>
      <c r="Z31" s="554"/>
      <c r="AA31" s="209"/>
      <c r="AB31" s="209"/>
    </row>
    <row r="32" spans="3:28" ht="70.349999999999994" customHeight="1">
      <c r="C32" s="5" t="s">
        <v>127</v>
      </c>
      <c r="D32" s="209"/>
      <c r="E32" s="541"/>
      <c r="F32" s="541"/>
      <c r="K32" s="546"/>
      <c r="L32" s="209"/>
      <c r="M32" s="209"/>
      <c r="N32" s="209"/>
      <c r="O32" s="556"/>
      <c r="P32" s="550"/>
      <c r="Q32" s="554"/>
      <c r="R32" s="556"/>
      <c r="S32" s="550"/>
      <c r="T32" s="554"/>
      <c r="U32" s="556"/>
      <c r="V32" s="550"/>
      <c r="W32" s="554"/>
      <c r="X32" s="556"/>
      <c r="Y32" s="550"/>
      <c r="Z32" s="554"/>
      <c r="AA32" s="209"/>
      <c r="AB32" s="209"/>
    </row>
    <row r="33" spans="3:28" ht="70.349999999999994" customHeight="1">
      <c r="C33" s="5" t="s">
        <v>127</v>
      </c>
      <c r="D33" s="209"/>
      <c r="E33" s="541"/>
      <c r="F33" s="541"/>
      <c r="K33" s="546"/>
      <c r="L33" s="209"/>
      <c r="M33" s="209"/>
      <c r="N33" s="209"/>
      <c r="O33" s="556"/>
      <c r="P33" s="550"/>
      <c r="Q33" s="554"/>
      <c r="R33" s="556"/>
      <c r="S33" s="550"/>
      <c r="T33" s="554"/>
      <c r="U33" s="556"/>
      <c r="V33" s="550"/>
      <c r="W33" s="554"/>
      <c r="X33" s="556"/>
      <c r="Y33" s="550"/>
      <c r="Z33" s="554"/>
      <c r="AA33" s="209"/>
      <c r="AB33" s="209"/>
    </row>
    <row r="34" spans="3:28" ht="70.349999999999994" customHeight="1">
      <c r="C34" s="5" t="s">
        <v>127</v>
      </c>
      <c r="D34" s="209"/>
      <c r="E34" s="541"/>
      <c r="F34" s="541"/>
      <c r="K34" s="546"/>
      <c r="L34" s="209"/>
      <c r="M34" s="209"/>
      <c r="N34" s="209"/>
      <c r="O34" s="556"/>
      <c r="P34" s="550"/>
      <c r="Q34" s="554"/>
      <c r="R34" s="556"/>
      <c r="S34" s="550"/>
      <c r="T34" s="554"/>
      <c r="U34" s="556"/>
      <c r="V34" s="550"/>
      <c r="W34" s="554"/>
      <c r="X34" s="556"/>
      <c r="Y34" s="550"/>
      <c r="Z34" s="554"/>
      <c r="AA34" s="209"/>
      <c r="AB34" s="209"/>
    </row>
    <row r="35" spans="3:28" ht="70.349999999999994" customHeight="1">
      <c r="C35" s="5" t="s">
        <v>127</v>
      </c>
      <c r="D35" s="209"/>
      <c r="E35" s="541"/>
      <c r="F35" s="541"/>
      <c r="K35" s="546"/>
      <c r="L35" s="209"/>
      <c r="M35" s="209"/>
      <c r="N35" s="209"/>
      <c r="O35" s="556"/>
      <c r="P35" s="550"/>
      <c r="Q35" s="554"/>
      <c r="R35" s="556"/>
      <c r="S35" s="550"/>
      <c r="T35" s="554"/>
      <c r="U35" s="556"/>
      <c r="V35" s="550"/>
      <c r="W35" s="554"/>
      <c r="X35" s="556"/>
      <c r="Y35" s="550"/>
      <c r="Z35" s="554"/>
      <c r="AA35" s="209"/>
      <c r="AB35" s="209"/>
    </row>
    <row r="36" spans="3:28" ht="70.349999999999994" customHeight="1">
      <c r="C36" s="5" t="s">
        <v>127</v>
      </c>
      <c r="D36" s="209"/>
      <c r="E36" s="541"/>
      <c r="F36" s="541"/>
      <c r="K36" s="546"/>
      <c r="L36" s="209"/>
      <c r="M36" s="209"/>
      <c r="N36" s="209"/>
      <c r="O36" s="556"/>
      <c r="P36" s="550"/>
      <c r="Q36" s="554"/>
      <c r="R36" s="556"/>
      <c r="S36" s="550"/>
      <c r="T36" s="554"/>
      <c r="U36" s="556"/>
      <c r="V36" s="550"/>
      <c r="W36" s="554"/>
      <c r="X36" s="556"/>
      <c r="Y36" s="550"/>
      <c r="Z36" s="554"/>
      <c r="AA36" s="209"/>
      <c r="AB36" s="209"/>
    </row>
    <row r="37" spans="3:28" ht="70.349999999999994" customHeight="1">
      <c r="C37" s="5" t="s">
        <v>127</v>
      </c>
      <c r="D37" s="209"/>
      <c r="E37" s="541"/>
      <c r="F37" s="541"/>
      <c r="K37" s="546"/>
      <c r="L37" s="209"/>
      <c r="M37" s="209"/>
      <c r="N37" s="209"/>
      <c r="O37" s="556"/>
      <c r="P37" s="550"/>
      <c r="Q37" s="554"/>
      <c r="R37" s="556"/>
      <c r="S37" s="550"/>
      <c r="T37" s="554"/>
      <c r="U37" s="556"/>
      <c r="V37" s="550"/>
      <c r="W37" s="554"/>
      <c r="X37" s="556"/>
      <c r="Y37" s="550"/>
      <c r="Z37" s="554"/>
      <c r="AA37" s="209"/>
      <c r="AB37" s="209"/>
    </row>
    <row r="38" spans="3:28" ht="70.349999999999994" customHeight="1">
      <c r="C38" s="5" t="s">
        <v>127</v>
      </c>
      <c r="D38" s="209"/>
      <c r="E38" s="541"/>
      <c r="F38" s="541"/>
      <c r="K38" s="546"/>
      <c r="L38" s="209"/>
      <c r="M38" s="209"/>
      <c r="N38" s="209"/>
      <c r="O38" s="556"/>
      <c r="P38" s="550"/>
      <c r="Q38" s="554"/>
      <c r="R38" s="556"/>
      <c r="S38" s="550"/>
      <c r="T38" s="554"/>
      <c r="U38" s="556"/>
      <c r="V38" s="550"/>
      <c r="W38" s="554"/>
      <c r="X38" s="556"/>
      <c r="Y38" s="550"/>
      <c r="Z38" s="554"/>
      <c r="AA38" s="209"/>
      <c r="AB38" s="209"/>
    </row>
    <row r="39" spans="3:28" ht="70.349999999999994" customHeight="1">
      <c r="C39" s="5" t="s">
        <v>127</v>
      </c>
      <c r="D39" s="209"/>
      <c r="E39" s="541"/>
      <c r="F39" s="541"/>
      <c r="K39" s="546"/>
      <c r="L39" s="209"/>
      <c r="M39" s="209"/>
      <c r="N39" s="209"/>
      <c r="O39" s="556"/>
      <c r="P39" s="550"/>
      <c r="Q39" s="554"/>
      <c r="R39" s="556"/>
      <c r="S39" s="550"/>
      <c r="T39" s="554"/>
      <c r="U39" s="556"/>
      <c r="V39" s="550"/>
      <c r="W39" s="554"/>
      <c r="X39" s="556"/>
      <c r="Y39" s="550"/>
      <c r="Z39" s="554"/>
      <c r="AA39" s="209"/>
      <c r="AB39" s="209"/>
    </row>
    <row r="40" spans="3:28" ht="70.349999999999994" customHeight="1">
      <c r="C40" s="5" t="s">
        <v>127</v>
      </c>
      <c r="D40" s="209"/>
      <c r="E40" s="541"/>
      <c r="F40" s="541"/>
      <c r="K40" s="546"/>
      <c r="L40" s="209"/>
      <c r="M40" s="209"/>
      <c r="N40" s="209"/>
      <c r="O40" s="556"/>
      <c r="P40" s="550"/>
      <c r="Q40" s="554"/>
      <c r="R40" s="556"/>
      <c r="S40" s="550"/>
      <c r="T40" s="554"/>
      <c r="U40" s="556"/>
      <c r="V40" s="550"/>
      <c r="W40" s="554"/>
      <c r="X40" s="556"/>
      <c r="Y40" s="550"/>
      <c r="Z40" s="554"/>
      <c r="AA40" s="209"/>
      <c r="AB40" s="209"/>
    </row>
    <row r="41" spans="3:28" ht="70.349999999999994" customHeight="1">
      <c r="E41" s="295"/>
      <c r="K41" s="6"/>
    </row>
    <row r="42" spans="3:28" ht="70.349999999999994" customHeight="1">
      <c r="E42" s="295"/>
      <c r="K42" s="6"/>
    </row>
    <row r="43" spans="3:28" ht="70.349999999999994" customHeight="1">
      <c r="E43" s="295"/>
      <c r="K43" s="6"/>
    </row>
    <row r="44" spans="3:28" ht="70.349999999999994" customHeight="1">
      <c r="E44" s="295"/>
      <c r="K44" s="6"/>
    </row>
    <row r="45" spans="3:28" ht="70.349999999999994" customHeight="1">
      <c r="E45" s="295"/>
      <c r="K45" s="6"/>
    </row>
    <row r="46" spans="3:28" ht="70.349999999999994" customHeight="1">
      <c r="E46" s="295"/>
      <c r="K46" s="6"/>
    </row>
    <row r="47" spans="3:28" ht="70.349999999999994" customHeight="1">
      <c r="E47" s="295"/>
      <c r="K47" s="6"/>
    </row>
    <row r="48" spans="3:28" ht="70.349999999999994" customHeight="1">
      <c r="E48" s="295"/>
      <c r="K48" s="6"/>
    </row>
    <row r="49" spans="5:11" ht="70.349999999999994" customHeight="1">
      <c r="E49" s="295"/>
      <c r="K49" s="6"/>
    </row>
    <row r="50" spans="5:11" ht="70.349999999999994" customHeight="1">
      <c r="E50" s="295"/>
      <c r="K50" s="6"/>
    </row>
    <row r="51" spans="5:11" ht="70.349999999999994" customHeight="1">
      <c r="E51" s="295"/>
      <c r="K51" s="6"/>
    </row>
    <row r="52" spans="5:11" ht="70.349999999999994" customHeight="1">
      <c r="E52" s="295"/>
      <c r="K52" s="6"/>
    </row>
    <row r="53" spans="5:11" ht="70.349999999999994" customHeight="1">
      <c r="E53" s="295"/>
      <c r="K53" s="6"/>
    </row>
    <row r="54" spans="5:11" ht="70.349999999999994" customHeight="1">
      <c r="E54" s="295"/>
      <c r="K54" s="6"/>
    </row>
    <row r="55" spans="5:11" ht="70.349999999999994" customHeight="1">
      <c r="E55" s="295"/>
      <c r="K55" s="6"/>
    </row>
    <row r="56" spans="5:11" ht="70.349999999999994" customHeight="1">
      <c r="E56" s="295"/>
      <c r="K56" s="6"/>
    </row>
    <row r="57" spans="5:11" ht="70.349999999999994" customHeight="1">
      <c r="E57" s="295"/>
      <c r="K57" s="6"/>
    </row>
    <row r="58" spans="5:11" ht="70.349999999999994" customHeight="1">
      <c r="E58" s="295"/>
      <c r="K58" s="6"/>
    </row>
    <row r="59" spans="5:11" ht="70.349999999999994" customHeight="1">
      <c r="E59" s="295"/>
      <c r="K59" s="6"/>
    </row>
    <row r="60" spans="5:11" ht="70.349999999999994" customHeight="1">
      <c r="E60" s="295"/>
      <c r="K60" s="6"/>
    </row>
    <row r="61" spans="5:11" ht="70.349999999999994" customHeight="1">
      <c r="E61" s="295"/>
      <c r="K61" s="6"/>
    </row>
    <row r="62" spans="5:11" ht="70.349999999999994" customHeight="1">
      <c r="E62" s="295"/>
      <c r="K62" s="6"/>
    </row>
    <row r="63" spans="5:11" ht="70.349999999999994" customHeight="1">
      <c r="E63" s="295"/>
      <c r="K63" s="6"/>
    </row>
    <row r="64" spans="5:11" ht="70.349999999999994" customHeight="1">
      <c r="E64" s="295"/>
      <c r="K64" s="6"/>
    </row>
    <row r="65" spans="5:11" ht="70.349999999999994" customHeight="1">
      <c r="E65" s="295"/>
      <c r="K65" s="6"/>
    </row>
  </sheetData>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8FC53-A3B9-4CBB-B7B1-BA690248FB77}">
  <dimension ref="A1:BG74"/>
  <sheetViews>
    <sheetView zoomScale="70" zoomScaleNormal="70" workbookViewId="0">
      <pane xSplit="8" ySplit="15" topLeftCell="AG17" activePane="bottomRight" state="frozen"/>
      <selection pane="bottomRight" activeCell="AG17" sqref="AG17"/>
      <selection pane="bottomLeft" activeCell="C27" sqref="C27:K27"/>
      <selection pane="topRight" activeCell="C27" sqref="C27:K27"/>
    </sheetView>
  </sheetViews>
  <sheetFormatPr defaultColWidth="9" defaultRowHeight="13.5" customHeight="1" outlineLevelRow="1" outlineLevelCol="1"/>
  <cols>
    <col min="1" max="1" width="2.75" style="38" customWidth="1"/>
    <col min="2" max="4" width="9.5" style="38" customWidth="1"/>
    <col min="5" max="6" width="9.5" style="38" customWidth="1" outlineLevel="1"/>
    <col min="7" max="7" width="19.5" style="38" bestFit="1" customWidth="1" outlineLevel="1"/>
    <col min="8" max="8" width="9" style="38"/>
    <col min="9" max="11" width="6.75" style="38" customWidth="1"/>
    <col min="12" max="12" width="5.25" style="38" customWidth="1"/>
    <col min="13" max="22" width="4.75" style="38" customWidth="1" outlineLevel="1"/>
    <col min="23" max="29" width="9" style="38"/>
    <col min="30" max="30" width="11.125" style="38" customWidth="1"/>
    <col min="31" max="31" width="8" style="38" customWidth="1"/>
    <col min="32" max="33" width="9" style="38"/>
    <col min="34" max="34" width="8.5" style="38" customWidth="1"/>
    <col min="35" max="38" width="9" style="38"/>
    <col min="39" max="41" width="8.75" style="38" customWidth="1"/>
    <col min="42" max="43" width="9" style="38"/>
    <col min="44" max="44" width="10.125" style="38" customWidth="1"/>
    <col min="45" max="45" width="10.125" style="269" customWidth="1"/>
    <col min="46" max="46" width="10.125" style="38" customWidth="1"/>
    <col min="47" max="47" width="10.5" style="38" customWidth="1"/>
    <col min="48" max="49" width="9" style="38" customWidth="1" outlineLevel="1"/>
    <col min="50" max="16384" width="9" style="38"/>
  </cols>
  <sheetData>
    <row r="1" spans="1:59" ht="18.600000000000001" customHeight="1" outlineLevel="1">
      <c r="B1" s="261" t="s">
        <v>128</v>
      </c>
      <c r="C1" s="261" t="s">
        <v>129</v>
      </c>
      <c r="D1" s="261" t="s">
        <v>130</v>
      </c>
      <c r="E1" s="261" t="s">
        <v>35</v>
      </c>
      <c r="F1" s="261" t="s">
        <v>131</v>
      </c>
      <c r="G1" s="261" t="s">
        <v>132</v>
      </c>
      <c r="I1" s="300" t="s">
        <v>133</v>
      </c>
      <c r="X1" s="304" t="s">
        <v>134</v>
      </c>
      <c r="AG1" s="272"/>
      <c r="AS1" s="38"/>
    </row>
    <row r="2" spans="1:59" ht="13.5" customHeight="1" outlineLevel="1">
      <c r="B2" s="262">
        <f t="shared" ref="B2:G2" ca="1" si="0">AO14</f>
        <v>0</v>
      </c>
      <c r="C2" s="262">
        <f t="shared" ca="1" si="0"/>
        <v>0</v>
      </c>
      <c r="D2" s="262">
        <f t="shared" ca="1" si="0"/>
        <v>0</v>
      </c>
      <c r="E2" s="262">
        <f t="shared" ca="1" si="0"/>
        <v>0</v>
      </c>
      <c r="F2" s="262">
        <f t="shared" ca="1" si="0"/>
        <v>0</v>
      </c>
      <c r="G2" s="338">
        <f t="shared" ca="1" si="0"/>
        <v>0</v>
      </c>
      <c r="J2" s="263"/>
      <c r="K2" s="263"/>
      <c r="L2" s="263"/>
      <c r="M2" s="368" t="s">
        <v>135</v>
      </c>
      <c r="N2" s="369"/>
      <c r="O2" s="369"/>
      <c r="P2" s="370"/>
      <c r="Q2" s="370"/>
      <c r="R2" s="370"/>
      <c r="S2" s="370"/>
      <c r="T2" s="370"/>
      <c r="U2" s="371"/>
      <c r="V2" s="303"/>
      <c r="X2" s="1524"/>
      <c r="Y2" s="1525"/>
      <c r="Z2" s="1525"/>
      <c r="AA2" s="1525"/>
      <c r="AB2" s="1525"/>
      <c r="AC2" s="1525"/>
      <c r="AD2" s="1525"/>
      <c r="AE2" s="1525"/>
      <c r="AF2" s="1526"/>
      <c r="AG2" s="273"/>
      <c r="AH2" s="305" t="s">
        <v>136</v>
      </c>
      <c r="AL2" s="264"/>
    </row>
    <row r="3" spans="1:59" ht="13.5" customHeight="1" outlineLevel="1">
      <c r="A3" s="263" t="s">
        <v>137</v>
      </c>
      <c r="B3" s="265"/>
      <c r="J3" s="263"/>
      <c r="K3" s="263"/>
      <c r="L3" s="263"/>
      <c r="M3" s="372"/>
      <c r="N3" s="366"/>
      <c r="O3" s="366"/>
      <c r="P3" s="367"/>
      <c r="Q3" s="367"/>
      <c r="R3" s="367"/>
      <c r="S3" s="367"/>
      <c r="T3" s="367"/>
      <c r="U3" s="373"/>
      <c r="V3" s="303"/>
      <c r="X3" s="1527"/>
      <c r="Y3" s="1528"/>
      <c r="Z3" s="1528"/>
      <c r="AA3" s="1528"/>
      <c r="AB3" s="1528"/>
      <c r="AC3" s="1528"/>
      <c r="AD3" s="1528"/>
      <c r="AE3" s="1528"/>
      <c r="AF3" s="1529"/>
      <c r="AH3" s="263" t="s">
        <v>138</v>
      </c>
    </row>
    <row r="4" spans="1:59" ht="13.5" customHeight="1" outlineLevel="1">
      <c r="K4" s="263"/>
      <c r="L4" s="263"/>
      <c r="M4" s="374" t="s">
        <v>139</v>
      </c>
      <c r="N4" s="366"/>
      <c r="O4" s="366"/>
      <c r="P4" s="367"/>
      <c r="Q4" s="367"/>
      <c r="R4" s="367"/>
      <c r="S4" s="367"/>
      <c r="T4" s="367"/>
      <c r="U4" s="373"/>
      <c r="V4" s="303"/>
      <c r="X4" s="1527"/>
      <c r="Y4" s="1528"/>
      <c r="Z4" s="1528"/>
      <c r="AA4" s="1528"/>
      <c r="AB4" s="1528"/>
      <c r="AC4" s="1528"/>
      <c r="AD4" s="1528"/>
      <c r="AE4" s="1528"/>
      <c r="AF4" s="1529"/>
      <c r="AH4" s="807" t="s">
        <v>140</v>
      </c>
      <c r="AI4" s="808"/>
      <c r="AJ4" s="808"/>
      <c r="AK4" s="808"/>
      <c r="AL4" s="808"/>
      <c r="AM4" s="808"/>
      <c r="AN4" s="809"/>
    </row>
    <row r="5" spans="1:59" ht="13.5" customHeight="1" outlineLevel="1">
      <c r="A5" s="820" t="s">
        <v>141</v>
      </c>
      <c r="B5" s="821"/>
      <c r="C5" s="822"/>
      <c r="D5" s="823"/>
      <c r="E5" s="823"/>
      <c r="F5" s="824"/>
      <c r="G5" s="263"/>
      <c r="H5" s="263"/>
      <c r="K5" s="263"/>
      <c r="L5" s="263"/>
      <c r="M5" s="374" t="s">
        <v>142</v>
      </c>
      <c r="N5" s="366"/>
      <c r="O5" s="366"/>
      <c r="P5" s="367"/>
      <c r="Q5" s="367"/>
      <c r="R5" s="367"/>
      <c r="S5" s="367"/>
      <c r="T5" s="367"/>
      <c r="U5" s="373"/>
      <c r="V5" s="303"/>
      <c r="X5" s="1527"/>
      <c r="Y5" s="1528"/>
      <c r="Z5" s="1528"/>
      <c r="AA5" s="1528"/>
      <c r="AB5" s="1528"/>
      <c r="AC5" s="1528"/>
      <c r="AD5" s="1528"/>
      <c r="AE5" s="1528"/>
      <c r="AF5" s="1529"/>
      <c r="AH5" s="817" t="s">
        <v>143</v>
      </c>
      <c r="AI5" s="818"/>
      <c r="AJ5" s="818"/>
      <c r="AK5" s="818"/>
      <c r="AL5" s="818"/>
      <c r="AM5" s="818"/>
      <c r="AN5" s="819"/>
    </row>
    <row r="6" spans="1:59" ht="13.5" customHeight="1" outlineLevel="1">
      <c r="A6" s="820" t="s">
        <v>144</v>
      </c>
      <c r="B6" s="821"/>
      <c r="C6" s="822"/>
      <c r="D6" s="823"/>
      <c r="E6" s="823"/>
      <c r="F6" s="824"/>
      <c r="G6" s="263"/>
      <c r="H6" s="263"/>
      <c r="K6" s="263"/>
      <c r="L6" s="263"/>
      <c r="M6" s="374" t="s">
        <v>145</v>
      </c>
      <c r="N6" s="366"/>
      <c r="O6" s="366"/>
      <c r="P6" s="367"/>
      <c r="Q6" s="367"/>
      <c r="R6" s="367"/>
      <c r="S6" s="367"/>
      <c r="T6" s="367"/>
      <c r="U6" s="373"/>
      <c r="V6" s="303"/>
      <c r="X6" s="1527"/>
      <c r="Y6" s="1528"/>
      <c r="Z6" s="1528"/>
      <c r="AA6" s="1528"/>
      <c r="AB6" s="1528"/>
      <c r="AC6" s="1528"/>
      <c r="AD6" s="1528"/>
      <c r="AE6" s="1528"/>
      <c r="AF6" s="1529"/>
      <c r="AH6" s="813" t="s">
        <v>146</v>
      </c>
      <c r="AI6" s="814"/>
      <c r="AJ6" s="814"/>
      <c r="AK6" s="814"/>
      <c r="AL6" s="814"/>
      <c r="AM6" s="814"/>
      <c r="AN6" s="815"/>
    </row>
    <row r="7" spans="1:59" ht="13.5" customHeight="1" outlineLevel="1">
      <c r="A7" s="820" t="s">
        <v>147</v>
      </c>
      <c r="B7" s="821"/>
      <c r="C7" s="822"/>
      <c r="D7" s="823"/>
      <c r="E7" s="823"/>
      <c r="F7" s="824"/>
      <c r="K7" s="263"/>
      <c r="L7" s="263"/>
      <c r="M7" s="374" t="s">
        <v>148</v>
      </c>
      <c r="N7" s="366"/>
      <c r="O7" s="366"/>
      <c r="P7" s="367"/>
      <c r="Q7" s="367"/>
      <c r="R7" s="367"/>
      <c r="S7" s="367"/>
      <c r="T7" s="367"/>
      <c r="U7" s="373"/>
      <c r="V7" s="303"/>
      <c r="X7" s="1527"/>
      <c r="Y7" s="1528"/>
      <c r="Z7" s="1528"/>
      <c r="AA7" s="1528"/>
      <c r="AB7" s="1528"/>
      <c r="AC7" s="1528"/>
      <c r="AD7" s="1528"/>
      <c r="AE7" s="1528"/>
      <c r="AF7" s="1529"/>
    </row>
    <row r="8" spans="1:59" ht="13.5" customHeight="1" outlineLevel="1">
      <c r="A8" s="820" t="s">
        <v>149</v>
      </c>
      <c r="B8" s="821"/>
      <c r="C8" s="823"/>
      <c r="D8" s="823"/>
      <c r="E8" s="823"/>
      <c r="F8" s="824"/>
      <c r="J8" s="263"/>
      <c r="K8" s="263"/>
      <c r="L8" s="263"/>
      <c r="M8" s="374" t="s">
        <v>150</v>
      </c>
      <c r="N8" s="366"/>
      <c r="O8" s="366"/>
      <c r="P8" s="367"/>
      <c r="Q8" s="367"/>
      <c r="R8" s="367"/>
      <c r="S8" s="367"/>
      <c r="T8" s="367"/>
      <c r="U8" s="373"/>
      <c r="V8" s="303"/>
      <c r="X8" s="1527"/>
      <c r="Y8" s="1528"/>
      <c r="Z8" s="1528"/>
      <c r="AA8" s="1528"/>
      <c r="AB8" s="1528"/>
      <c r="AC8" s="1528"/>
      <c r="AD8" s="1528"/>
      <c r="AE8" s="1528"/>
      <c r="AF8" s="1529"/>
      <c r="AR8" s="300" t="s">
        <v>151</v>
      </c>
    </row>
    <row r="9" spans="1:59" ht="13.5" customHeight="1" outlineLevel="1">
      <c r="A9" s="263" t="s">
        <v>152</v>
      </c>
      <c r="M9" s="375" t="s">
        <v>153</v>
      </c>
      <c r="N9" s="376"/>
      <c r="O9" s="376"/>
      <c r="P9" s="377"/>
      <c r="Q9" s="377"/>
      <c r="R9" s="377"/>
      <c r="S9" s="377"/>
      <c r="T9" s="377"/>
      <c r="U9" s="378"/>
      <c r="V9" s="303"/>
      <c r="X9" s="1527"/>
      <c r="Y9" s="1528"/>
      <c r="Z9" s="1528"/>
      <c r="AA9" s="1528"/>
      <c r="AB9" s="1528"/>
      <c r="AC9" s="1528"/>
      <c r="AD9" s="1528"/>
      <c r="AE9" s="1528"/>
      <c r="AF9" s="1529"/>
      <c r="AN9" s="263"/>
      <c r="AQ9" s="299" t="s">
        <v>154</v>
      </c>
      <c r="AR9" s="515">
        <f>代理店入力用!D8</f>
        <v>0</v>
      </c>
    </row>
    <row r="10" spans="1:59" ht="13.5" customHeight="1">
      <c r="A10" s="807"/>
      <c r="B10" s="808"/>
      <c r="C10" s="808"/>
      <c r="D10" s="808"/>
      <c r="E10" s="808"/>
      <c r="F10" s="808"/>
      <c r="G10" s="809"/>
      <c r="M10" s="263"/>
      <c r="N10" s="263"/>
      <c r="O10" s="263"/>
      <c r="P10" s="303"/>
      <c r="Q10" s="303"/>
      <c r="R10" s="303"/>
      <c r="S10" s="303"/>
      <c r="T10" s="303"/>
      <c r="U10" s="303"/>
      <c r="V10" s="303"/>
      <c r="X10" s="1527"/>
      <c r="Y10" s="1528"/>
      <c r="Z10" s="1528"/>
      <c r="AA10" s="1528"/>
      <c r="AB10" s="1528"/>
      <c r="AC10" s="1528"/>
      <c r="AD10" s="1528"/>
      <c r="AE10" s="1528"/>
      <c r="AF10" s="1529"/>
      <c r="AL10" s="816" t="s">
        <v>155</v>
      </c>
      <c r="AM10" s="816"/>
      <c r="AN10" s="816"/>
      <c r="AO10" s="297"/>
    </row>
    <row r="11" spans="1:59" ht="13.5" customHeight="1">
      <c r="A11" s="817"/>
      <c r="B11" s="818"/>
      <c r="C11" s="818"/>
      <c r="D11" s="818"/>
      <c r="E11" s="818"/>
      <c r="F11" s="818"/>
      <c r="G11" s="819"/>
      <c r="L11" s="263"/>
      <c r="M11" s="387" t="s">
        <v>74</v>
      </c>
      <c r="N11" s="387" t="s">
        <v>75</v>
      </c>
      <c r="O11" s="387" t="s">
        <v>76</v>
      </c>
      <c r="P11" s="387" t="s">
        <v>156</v>
      </c>
      <c r="Q11" s="386" t="s">
        <v>157</v>
      </c>
      <c r="R11" s="303"/>
      <c r="S11" s="303"/>
      <c r="T11" s="303"/>
      <c r="U11" s="303"/>
      <c r="V11" s="303"/>
      <c r="X11" s="1530"/>
      <c r="Y11" s="1531"/>
      <c r="Z11" s="1531"/>
      <c r="AA11" s="1531"/>
      <c r="AB11" s="1531"/>
      <c r="AC11" s="1531"/>
      <c r="AD11" s="1531"/>
      <c r="AE11" s="1531"/>
      <c r="AF11" s="1532"/>
      <c r="AH11" s="829" t="s">
        <v>158</v>
      </c>
      <c r="AI11" s="829"/>
      <c r="AJ11" s="339" t="s">
        <v>159</v>
      </c>
      <c r="AL11" s="501" t="s">
        <v>160</v>
      </c>
      <c r="AM11" s="501" t="s">
        <v>161</v>
      </c>
      <c r="AN11" s="501" t="s">
        <v>162</v>
      </c>
      <c r="AQ11" s="38" t="s">
        <v>163</v>
      </c>
      <c r="AR11" s="268"/>
      <c r="AS11" s="301" t="s">
        <v>164</v>
      </c>
      <c r="AT11" s="270"/>
    </row>
    <row r="12" spans="1:59" ht="13.5" customHeight="1" thickBot="1">
      <c r="A12" s="817"/>
      <c r="B12" s="818"/>
      <c r="C12" s="818"/>
      <c r="D12" s="818"/>
      <c r="E12" s="818"/>
      <c r="F12" s="818"/>
      <c r="G12" s="819"/>
      <c r="J12" s="810" t="s">
        <v>165</v>
      </c>
      <c r="K12" s="811"/>
      <c r="L12" s="466">
        <f>SUM(M12:P12)</f>
        <v>0</v>
      </c>
      <c r="M12" s="439"/>
      <c r="N12" s="439"/>
      <c r="O12" s="439"/>
      <c r="P12" s="439"/>
      <c r="Q12" s="386" t="s">
        <v>166</v>
      </c>
      <c r="R12" s="303"/>
      <c r="S12" s="303"/>
      <c r="T12" s="303"/>
      <c r="U12" s="303"/>
      <c r="V12" s="303"/>
      <c r="X12" s="1533"/>
      <c r="Y12" s="1533"/>
      <c r="Z12" s="1533"/>
      <c r="AA12" s="1533"/>
      <c r="AB12" s="1533"/>
      <c r="AC12" s="1533"/>
      <c r="AD12" s="1533"/>
      <c r="AE12" s="1533"/>
      <c r="AF12" s="1533"/>
      <c r="AH12" s="812"/>
      <c r="AI12" s="812"/>
      <c r="AJ12" s="340"/>
      <c r="AL12" s="502" t="str">
        <f ca="1">IFERROR(AO14/AH14,"0")</f>
        <v>0</v>
      </c>
      <c r="AM12" s="502" t="str">
        <f ca="1">IFERROR(AQ14/AH14,"0")</f>
        <v>0</v>
      </c>
      <c r="AN12" s="503" t="str">
        <f ca="1">⑨シミュレーション!AQ32</f>
        <v>0</v>
      </c>
      <c r="AQ12" s="38" t="s">
        <v>167</v>
      </c>
      <c r="AR12" s="266">
        <v>0.05</v>
      </c>
      <c r="AS12" s="301" t="s">
        <v>168</v>
      </c>
      <c r="AT12" s="270">
        <v>0.03</v>
      </c>
    </row>
    <row r="13" spans="1:59" ht="13.5" customHeight="1" thickBot="1">
      <c r="A13" s="813"/>
      <c r="B13" s="828"/>
      <c r="C13" s="814"/>
      <c r="D13" s="814"/>
      <c r="E13" s="814"/>
      <c r="F13" s="814"/>
      <c r="G13" s="815"/>
      <c r="X13" s="357"/>
      <c r="AG13" s="263"/>
      <c r="AH13" s="269"/>
      <c r="AK13" s="269"/>
      <c r="AL13" s="274"/>
      <c r="AM13" s="271"/>
      <c r="AN13" s="271"/>
      <c r="AO13" s="271"/>
      <c r="AP13" s="271"/>
      <c r="AS13" s="38"/>
      <c r="AY13" s="801" t="s">
        <v>169</v>
      </c>
      <c r="AZ13" s="802"/>
      <c r="BA13" s="802"/>
      <c r="BB13" s="802"/>
      <c r="BC13" s="802"/>
      <c r="BD13" s="802"/>
      <c r="BE13" s="802"/>
      <c r="BF13" s="802"/>
      <c r="BG13" s="803"/>
    </row>
    <row r="14" spans="1:59" ht="13.5" customHeight="1" thickBot="1">
      <c r="B14" s="596" t="s">
        <v>55</v>
      </c>
      <c r="C14" s="23" t="s">
        <v>170</v>
      </c>
      <c r="G14" s="38" t="s">
        <v>171</v>
      </c>
      <c r="L14" s="38">
        <f>SUM(L16:L45)</f>
        <v>0</v>
      </c>
      <c r="W14" s="275">
        <f>SUM(W16:W45)</f>
        <v>0</v>
      </c>
      <c r="Y14" s="276">
        <f>SUM(Y16:Y45)</f>
        <v>0</v>
      </c>
      <c r="AB14" s="275">
        <f>SUM(AB16:AB45)</f>
        <v>0</v>
      </c>
      <c r="AC14" s="276">
        <f>SUM(AC16:AC45)</f>
        <v>0</v>
      </c>
      <c r="AD14" s="271"/>
      <c r="AE14" s="23" t="s">
        <v>172</v>
      </c>
      <c r="AF14" s="274"/>
      <c r="AH14" s="277">
        <f>SUM(AH16:AH45)</f>
        <v>0</v>
      </c>
      <c r="AI14" s="278">
        <f>SUM(AI16:AI45)</f>
        <v>0</v>
      </c>
      <c r="AJ14" s="278">
        <f ca="1">SUM(AJ16:AJ45)+AJ12</f>
        <v>0</v>
      </c>
      <c r="AK14" s="279">
        <f ca="1">AL14/54</f>
        <v>0</v>
      </c>
      <c r="AL14" s="279">
        <f ca="1">SUM(AL16:AL45)+AJ12</f>
        <v>0</v>
      </c>
      <c r="AM14" s="279">
        <f ca="1">SUM(AM16:AM45)</f>
        <v>0</v>
      </c>
      <c r="AN14" s="271"/>
      <c r="AO14" s="279">
        <f t="shared" ref="AO14:AT14" ca="1" si="1">SUM(AO16:AO45)</f>
        <v>0</v>
      </c>
      <c r="AP14" s="279">
        <f t="shared" ca="1" si="1"/>
        <v>0</v>
      </c>
      <c r="AQ14" s="324">
        <f t="shared" ca="1" si="1"/>
        <v>0</v>
      </c>
      <c r="AR14" s="325">
        <f t="shared" ca="1" si="1"/>
        <v>0</v>
      </c>
      <c r="AS14" s="279">
        <f t="shared" ca="1" si="1"/>
        <v>0</v>
      </c>
      <c r="AT14" s="325">
        <f t="shared" ca="1" si="1"/>
        <v>0</v>
      </c>
      <c r="AU14" s="300" t="s">
        <v>173</v>
      </c>
      <c r="AY14" s="804"/>
      <c r="AZ14" s="805"/>
      <c r="BA14" s="805"/>
      <c r="BB14" s="805"/>
      <c r="BC14" s="805"/>
      <c r="BD14" s="805"/>
      <c r="BE14" s="805"/>
      <c r="BF14" s="805"/>
      <c r="BG14" s="806"/>
    </row>
    <row r="15" spans="1:59" s="281" customFormat="1" ht="13.5" customHeight="1">
      <c r="A15" s="280"/>
      <c r="B15" s="595" t="s">
        <v>87</v>
      </c>
      <c r="C15" s="280" t="s">
        <v>174</v>
      </c>
      <c r="D15" s="280" t="s">
        <v>175</v>
      </c>
      <c r="E15" s="280" t="s">
        <v>176</v>
      </c>
      <c r="F15" s="280" t="s">
        <v>177</v>
      </c>
      <c r="G15" s="280" t="s">
        <v>178</v>
      </c>
      <c r="H15" s="280" t="s">
        <v>179</v>
      </c>
      <c r="I15" s="280" t="s">
        <v>180</v>
      </c>
      <c r="J15" s="280" t="s">
        <v>181</v>
      </c>
      <c r="K15" s="280" t="s">
        <v>182</v>
      </c>
      <c r="L15" s="280" t="s">
        <v>183</v>
      </c>
      <c r="M15" s="280" t="s">
        <v>184</v>
      </c>
      <c r="N15" s="280" t="s">
        <v>185</v>
      </c>
      <c r="O15" s="280" t="s">
        <v>186</v>
      </c>
      <c r="P15" s="280" t="s">
        <v>187</v>
      </c>
      <c r="Q15" s="280" t="s">
        <v>188</v>
      </c>
      <c r="R15" s="280" t="s">
        <v>189</v>
      </c>
      <c r="S15" s="280" t="s">
        <v>190</v>
      </c>
      <c r="T15" s="280" t="s">
        <v>191</v>
      </c>
      <c r="U15" s="280" t="s">
        <v>192</v>
      </c>
      <c r="V15" s="280" t="s">
        <v>193</v>
      </c>
      <c r="W15" s="280" t="s">
        <v>194</v>
      </c>
      <c r="X15" s="280" t="s">
        <v>195</v>
      </c>
      <c r="Y15" s="280" t="s">
        <v>196</v>
      </c>
      <c r="Z15" s="281" t="s">
        <v>197</v>
      </c>
      <c r="AA15" s="280" t="s">
        <v>182</v>
      </c>
      <c r="AB15" s="280" t="s">
        <v>194</v>
      </c>
      <c r="AC15" s="280" t="s">
        <v>196</v>
      </c>
      <c r="AD15" s="731" t="s">
        <v>198</v>
      </c>
      <c r="AE15" s="296" t="s">
        <v>199</v>
      </c>
      <c r="AG15" s="280" t="s">
        <v>87</v>
      </c>
      <c r="AH15" s="282" t="s">
        <v>200</v>
      </c>
      <c r="AI15" s="280" t="s">
        <v>201</v>
      </c>
      <c r="AJ15" s="326" t="s">
        <v>5</v>
      </c>
      <c r="AK15" s="334" t="s">
        <v>35</v>
      </c>
      <c r="AL15" s="296" t="s">
        <v>202</v>
      </c>
      <c r="AM15" s="361" t="s">
        <v>203</v>
      </c>
      <c r="AN15" s="296" t="s">
        <v>204</v>
      </c>
      <c r="AO15" s="331" t="s">
        <v>205</v>
      </c>
      <c r="AP15" s="332" t="s">
        <v>206</v>
      </c>
      <c r="AQ15" s="332" t="s">
        <v>207</v>
      </c>
      <c r="AR15" s="332" t="s">
        <v>208</v>
      </c>
      <c r="AS15" s="332" t="s">
        <v>209</v>
      </c>
      <c r="AT15" s="333" t="s">
        <v>210</v>
      </c>
      <c r="AU15" s="280" t="s">
        <v>211</v>
      </c>
      <c r="AV15" s="360" t="s">
        <v>212</v>
      </c>
      <c r="AW15" s="281" t="s">
        <v>213</v>
      </c>
      <c r="AY15" s="531" t="s">
        <v>214</v>
      </c>
      <c r="AZ15" s="532" t="s">
        <v>215</v>
      </c>
      <c r="BA15" s="532" t="s">
        <v>216</v>
      </c>
      <c r="BB15" s="532" t="s">
        <v>105</v>
      </c>
      <c r="BC15" s="532" t="s">
        <v>217</v>
      </c>
      <c r="BD15" s="532" t="s">
        <v>218</v>
      </c>
      <c r="BE15" s="532" t="s">
        <v>219</v>
      </c>
      <c r="BF15" s="532" t="s">
        <v>220</v>
      </c>
      <c r="BG15" s="533" t="s">
        <v>200</v>
      </c>
    </row>
    <row r="16" spans="1:59" ht="13.5" customHeight="1">
      <c r="A16" s="654" t="s">
        <v>221</v>
      </c>
      <c r="B16" s="779" t="str">
        <f>IF(C16="","",$C$5)</f>
        <v/>
      </c>
      <c r="C16" s="284"/>
      <c r="D16" s="284"/>
      <c r="E16" s="285"/>
      <c r="F16" s="285"/>
      <c r="G16" s="442"/>
      <c r="H16" s="775">
        <f>PRODUCT(I16,J16)</f>
        <v>0</v>
      </c>
      <c r="I16" s="776"/>
      <c r="J16" s="776" t="str">
        <f>IF(I16&lt;&gt;"",30,"")</f>
        <v/>
      </c>
      <c r="K16" s="776"/>
      <c r="L16" s="283">
        <f t="shared" ref="L16:L32" si="2">SUM(M16:V16)</f>
        <v>0</v>
      </c>
      <c r="M16" s="284"/>
      <c r="N16" s="284"/>
      <c r="O16" s="284"/>
      <c r="P16" s="284"/>
      <c r="Q16" s="284"/>
      <c r="R16" s="284"/>
      <c r="S16" s="284"/>
      <c r="T16" s="284"/>
      <c r="U16" s="284"/>
      <c r="V16" s="284"/>
      <c r="W16" s="283">
        <f>($L16*$K16*$H16)/1000</f>
        <v>0</v>
      </c>
      <c r="X16" s="284">
        <v>30</v>
      </c>
      <c r="Y16" s="286">
        <f>ROUNDDOWN($W16*$X16,0)</f>
        <v>0</v>
      </c>
      <c r="AA16" s="287">
        <f>IFERROR(VLOOKUP($G16,選定!$C$3:$AG$100,5,FALSE),0)</f>
        <v>0</v>
      </c>
      <c r="AB16" s="283">
        <f t="shared" ref="AB16:AB45" si="3">($AA16*$L16*$H16)/1000</f>
        <v>0</v>
      </c>
      <c r="AC16" s="286">
        <f>ROUNDDOWN($AB16*$AD16,0)</f>
        <v>0</v>
      </c>
      <c r="AD16" s="284">
        <v>30</v>
      </c>
      <c r="AE16" s="612">
        <v>3000</v>
      </c>
      <c r="AF16" s="289">
        <v>1</v>
      </c>
      <c r="AG16" s="668">
        <f>C5</f>
        <v>0</v>
      </c>
      <c r="AH16" s="290">
        <f t="shared" ref="AH16:AH45" si="4">SUMIF($B$16:$B$45,$AG16,$L$16:$L$45)</f>
        <v>0</v>
      </c>
      <c r="AI16" s="291">
        <f>SUMIF($B$16:$B$45,$AG16,LED計算式!$T$4:$T$33)</f>
        <v>0</v>
      </c>
      <c r="AJ16" s="291">
        <f ca="1">SUMIF($B$16:$B$45,$AG16,LED計算式!$U$4)</f>
        <v>0</v>
      </c>
      <c r="AK16" s="329">
        <f ca="1">IFERROR(AL16*LED計算式!$AC$2,"")</f>
        <v>0</v>
      </c>
      <c r="AL16" s="329">
        <f ca="1">ROUNDDOWN((AI16+AJ16)/(100%-$AN16),-3)</f>
        <v>0</v>
      </c>
      <c r="AM16" s="330">
        <f t="shared" ref="AM16:AM45" ca="1" si="5">IFERROR($AL16-$AI16-$AJ16,"")</f>
        <v>0</v>
      </c>
      <c r="AN16" s="499">
        <v>0.4</v>
      </c>
      <c r="AO16" s="327">
        <f ca="1">IFERROR(ROUNDDOWN($AL16*(100%-($AR$11+AU16)),-3),"")</f>
        <v>0</v>
      </c>
      <c r="AP16" s="328">
        <f t="shared" ref="AP16:AP45" ca="1" si="6">AI16+AJ16</f>
        <v>0</v>
      </c>
      <c r="AQ16" s="328">
        <f t="shared" ref="AQ16:AQ45" ca="1" si="7">IFERROR(AO16-AI16-AJ16-AS16-AT16,"")</f>
        <v>0</v>
      </c>
      <c r="AR16" s="327">
        <f ca="1">ROUNDDOWN(AO16*LED計算式!$AC$2,0)</f>
        <v>0</v>
      </c>
      <c r="AS16" s="327">
        <f t="shared" ref="AS16:AS45" ca="1" si="8">IFERROR(AO16*$AT$11,"")</f>
        <v>0</v>
      </c>
      <c r="AT16" s="327">
        <f t="shared" ref="AT16:AT45" ca="1" si="9">AO16*$AT$12</f>
        <v>0</v>
      </c>
      <c r="AU16" s="337"/>
      <c r="AV16" s="359">
        <f t="shared" ref="AV16:AV45" ca="1" si="10">IFERROR(AO16/AH16,0)</f>
        <v>0</v>
      </c>
      <c r="AW16" s="359">
        <f t="shared" ref="AW16:AW45" ca="1" si="11">IFERROR(AQ16/AH16,0)</f>
        <v>0</v>
      </c>
      <c r="AY16" s="526" t="str">
        <f>IFERROR(VLOOKUP(G16,選定!$C$3:$AG$100,28,FALSE),"0")</f>
        <v>0</v>
      </c>
      <c r="AZ16" s="38">
        <f>C16</f>
        <v>0</v>
      </c>
      <c r="BA16" s="38">
        <f>D16</f>
        <v>0</v>
      </c>
      <c r="BB16" s="38" t="str">
        <f>IFERROR(VLOOKUP(G16,選定!$C$2:$AG$100,11,FALSE),"0")</f>
        <v>0</v>
      </c>
      <c r="BC16" s="38" t="str">
        <f>IFERROR(VLOOKUP(G16,選定!$C$2:$AG$100,13,FALSE),"")</f>
        <v/>
      </c>
      <c r="BD16" s="38" t="str">
        <f>IFERROR(VLOOKUP(G16,選定!$C$2:$AG$100,16,FALSE),"")</f>
        <v/>
      </c>
      <c r="BE16" s="38" t="str">
        <f>IFERROR(VLOOKUP(G16,選定!$C$2:$AG$100,19,FALSE),"")</f>
        <v/>
      </c>
      <c r="BF16" s="38" t="str">
        <f>IFERROR(VLOOKUP(G16,選定!$C$2:$AG$100,22,FALSE),"")</f>
        <v/>
      </c>
      <c r="BG16" s="527">
        <f>L16</f>
        <v>0</v>
      </c>
    </row>
    <row r="17" spans="1:59" ht="13.5" customHeight="1">
      <c r="A17" s="654" t="s">
        <v>30</v>
      </c>
      <c r="B17" s="779" t="str">
        <f t="shared" ref="B17:B45" si="12">IF(C17="","",$C$5)</f>
        <v/>
      </c>
      <c r="C17" s="284"/>
      <c r="D17" s="284"/>
      <c r="E17" s="285"/>
      <c r="F17" s="285"/>
      <c r="G17" s="442"/>
      <c r="H17" s="775">
        <f>PRODUCT(I17,J17)</f>
        <v>0</v>
      </c>
      <c r="I17" s="776"/>
      <c r="J17" s="776" t="str">
        <f t="shared" ref="J17:J45" si="13">IF(I17&lt;&gt;"",30,"")</f>
        <v/>
      </c>
      <c r="K17" s="776"/>
      <c r="L17" s="283">
        <f t="shared" si="2"/>
        <v>0</v>
      </c>
      <c r="M17" s="284"/>
      <c r="N17" s="284"/>
      <c r="O17" s="284"/>
      <c r="P17" s="284"/>
      <c r="Q17" s="284"/>
      <c r="R17" s="284"/>
      <c r="S17" s="284"/>
      <c r="T17" s="284"/>
      <c r="U17" s="284"/>
      <c r="V17" s="284"/>
      <c r="W17" s="283">
        <f t="shared" ref="W17:W32" si="14">($L17*$K17*$H17)/1000</f>
        <v>0</v>
      </c>
      <c r="X17" s="283">
        <f t="shared" ref="X17:X36" si="15">$X$16</f>
        <v>30</v>
      </c>
      <c r="Y17" s="286">
        <f t="shared" ref="Y17:Y45" si="16">ROUNDDOWN($W17*$X17,0)</f>
        <v>0</v>
      </c>
      <c r="AA17" s="287">
        <f>IFERROR(VLOOKUP($G17,選定!$C$3:$AG$100,5,FALSE),0)</f>
        <v>0</v>
      </c>
      <c r="AB17" s="283">
        <f t="shared" si="3"/>
        <v>0</v>
      </c>
      <c r="AC17" s="286">
        <f t="shared" ref="AC17:AC45" si="17">ROUNDDOWN($AB17*$AD17,0)</f>
        <v>0</v>
      </c>
      <c r="AD17" s="283">
        <f>$AD$16</f>
        <v>30</v>
      </c>
      <c r="AE17" s="613">
        <v>3000</v>
      </c>
      <c r="AF17" s="289">
        <v>2</v>
      </c>
      <c r="AG17" s="668"/>
      <c r="AH17" s="290">
        <f t="shared" si="4"/>
        <v>0</v>
      </c>
      <c r="AI17" s="291">
        <f>SUMIF($B$16:$B$45,$AG17,LED計算式!$T$4:$T$33)</f>
        <v>0</v>
      </c>
      <c r="AJ17" s="291">
        <f ca="1">SUMIF($B$16:$B$45,$AG17,LED計算式!$U$4)</f>
        <v>0</v>
      </c>
      <c r="AK17" s="329">
        <f ca="1">IFERROR(AL17*LED計算式!$AC$2,"")</f>
        <v>0</v>
      </c>
      <c r="AL17" s="292">
        <f t="shared" ref="AL17:AL19" ca="1" si="18">ROUNDDOWN((AI17+AJ17)/(100%-$AN17),-3)</f>
        <v>0</v>
      </c>
      <c r="AM17" s="362">
        <f t="shared" ca="1" si="5"/>
        <v>0</v>
      </c>
      <c r="AN17" s="500">
        <f t="shared" ref="AN17:AN29" si="19">$AN$16</f>
        <v>0.4</v>
      </c>
      <c r="AO17" s="322">
        <f t="shared" ref="AO17:AO19" ca="1" si="20">IFERROR(ROUNDDOWN($AL17*(100%-($AR$11+AU17)),-3),"")</f>
        <v>0</v>
      </c>
      <c r="AP17" s="323">
        <f t="shared" ca="1" si="6"/>
        <v>0</v>
      </c>
      <c r="AQ17" s="323">
        <f t="shared" ca="1" si="7"/>
        <v>0</v>
      </c>
      <c r="AR17" s="327">
        <f ca="1">ROUNDDOWN(AO17*LED計算式!$AC$2,0)</f>
        <v>0</v>
      </c>
      <c r="AS17" s="322">
        <f t="shared" ca="1" si="8"/>
        <v>0</v>
      </c>
      <c r="AT17" s="322">
        <f t="shared" ca="1" si="9"/>
        <v>0</v>
      </c>
      <c r="AU17" s="337"/>
      <c r="AV17" s="359">
        <f t="shared" ca="1" si="10"/>
        <v>0</v>
      </c>
      <c r="AW17" s="359">
        <f t="shared" ca="1" si="11"/>
        <v>0</v>
      </c>
      <c r="AY17" s="526" t="str">
        <f>IFERROR(VLOOKUP(G17,選定!$C$3:$AG$100,28,FALSE),"0")</f>
        <v>0</v>
      </c>
      <c r="AZ17" s="38">
        <f t="shared" ref="AZ17:AZ45" si="21">C17</f>
        <v>0</v>
      </c>
      <c r="BA17" s="38">
        <f t="shared" ref="BA17:BA45" si="22">D17</f>
        <v>0</v>
      </c>
      <c r="BB17" s="38" t="str">
        <f>IFERROR(VLOOKUP(G17,選定!$C$2:$AG$100,11,FALSE),"0")</f>
        <v>0</v>
      </c>
      <c r="BC17" s="38" t="str">
        <f>IFERROR(VLOOKUP(G17,選定!$C$2:$AG$100,13,FALSE),"")</f>
        <v/>
      </c>
      <c r="BD17" s="38" t="str">
        <f>IFERROR(VLOOKUP(G17,選定!$C$2:$AG$100,16,FALSE),"")</f>
        <v/>
      </c>
      <c r="BE17" s="38" t="str">
        <f>IFERROR(VLOOKUP(G17,選定!$C$2:$AG$100,19,FALSE),"")</f>
        <v/>
      </c>
      <c r="BF17" s="38" t="str">
        <f>IFERROR(VLOOKUP(G17,選定!$C$2:$AG$100,22,FALSE),"")</f>
        <v/>
      </c>
      <c r="BG17" s="527">
        <f t="shared" ref="BG17:BG45" si="23">L17</f>
        <v>0</v>
      </c>
    </row>
    <row r="18" spans="1:59" ht="13.5" customHeight="1">
      <c r="A18" s="654" t="s">
        <v>222</v>
      </c>
      <c r="B18" s="779" t="str">
        <f t="shared" si="12"/>
        <v/>
      </c>
      <c r="C18" s="284"/>
      <c r="D18" s="284"/>
      <c r="E18" s="285"/>
      <c r="F18" s="285"/>
      <c r="G18" s="442"/>
      <c r="H18" s="775">
        <f>PRODUCT(I18,J18)</f>
        <v>0</v>
      </c>
      <c r="I18" s="776"/>
      <c r="J18" s="776" t="str">
        <f t="shared" ref="J18:J19" si="24">IF(I18&lt;&gt;"",30,"")</f>
        <v/>
      </c>
      <c r="K18" s="776"/>
      <c r="L18" s="283">
        <f t="shared" ref="L18:L19" si="25">SUM(M18:V18)</f>
        <v>0</v>
      </c>
      <c r="M18" s="284"/>
      <c r="N18" s="284"/>
      <c r="O18" s="284"/>
      <c r="P18" s="284"/>
      <c r="Q18" s="284"/>
      <c r="R18" s="284"/>
      <c r="S18" s="284"/>
      <c r="T18" s="284"/>
      <c r="U18" s="284"/>
      <c r="V18" s="284"/>
      <c r="W18" s="283">
        <f t="shared" si="14"/>
        <v>0</v>
      </c>
      <c r="X18" s="283">
        <f t="shared" si="15"/>
        <v>30</v>
      </c>
      <c r="Y18" s="286">
        <f t="shared" si="16"/>
        <v>0</v>
      </c>
      <c r="AA18" s="287">
        <f>IFERROR(VLOOKUP($G18,選定!$C$3:$AG$100,5,FALSE),0)</f>
        <v>0</v>
      </c>
      <c r="AB18" s="283">
        <f t="shared" si="3"/>
        <v>0</v>
      </c>
      <c r="AC18" s="286">
        <f t="shared" si="17"/>
        <v>0</v>
      </c>
      <c r="AD18" s="283">
        <f t="shared" ref="AD18:AD45" si="26">$AD$16</f>
        <v>30</v>
      </c>
      <c r="AE18" s="613">
        <v>3000</v>
      </c>
      <c r="AF18" s="289">
        <v>3</v>
      </c>
      <c r="AG18" s="781"/>
      <c r="AH18" s="290">
        <f t="shared" si="4"/>
        <v>0</v>
      </c>
      <c r="AI18" s="291">
        <f>SUMIF($B$16:$B$45,$AG18,LED計算式!$T$4:$T$33)</f>
        <v>0</v>
      </c>
      <c r="AJ18" s="291">
        <f ca="1">SUMIF($B$16:$B$45,$AG18,LED計算式!$U$4)</f>
        <v>0</v>
      </c>
      <c r="AK18" s="329">
        <f ca="1">IFERROR(AL18*LED計算式!$AC$2,"")</f>
        <v>0</v>
      </c>
      <c r="AL18" s="292">
        <f t="shared" ca="1" si="18"/>
        <v>0</v>
      </c>
      <c r="AM18" s="362">
        <f t="shared" ca="1" si="5"/>
        <v>0</v>
      </c>
      <c r="AN18" s="500">
        <f t="shared" si="19"/>
        <v>0.4</v>
      </c>
      <c r="AO18" s="322">
        <f t="shared" ca="1" si="20"/>
        <v>0</v>
      </c>
      <c r="AP18" s="323">
        <f t="shared" ca="1" si="6"/>
        <v>0</v>
      </c>
      <c r="AQ18" s="323">
        <f t="shared" ca="1" si="7"/>
        <v>0</v>
      </c>
      <c r="AR18" s="327">
        <f ca="1">ROUNDDOWN(AO18*LED計算式!$AC$2,0)</f>
        <v>0</v>
      </c>
      <c r="AS18" s="322">
        <f t="shared" ca="1" si="8"/>
        <v>0</v>
      </c>
      <c r="AT18" s="322">
        <f t="shared" ca="1" si="9"/>
        <v>0</v>
      </c>
      <c r="AU18" s="337"/>
      <c r="AV18" s="359">
        <f t="shared" ca="1" si="10"/>
        <v>0</v>
      </c>
      <c r="AW18" s="359">
        <f t="shared" ca="1" si="11"/>
        <v>0</v>
      </c>
      <c r="AY18" s="526" t="str">
        <f>IFERROR(VLOOKUP(G18,選定!$C$3:$AG$100,28,FALSE),"0")</f>
        <v>0</v>
      </c>
      <c r="AZ18" s="38">
        <f t="shared" si="21"/>
        <v>0</v>
      </c>
      <c r="BA18" s="38">
        <f t="shared" si="22"/>
        <v>0</v>
      </c>
      <c r="BB18" s="38" t="str">
        <f>IFERROR(VLOOKUP(G18,選定!$C$2:$AG$100,11,FALSE),"0")</f>
        <v>0</v>
      </c>
      <c r="BC18" s="38" t="str">
        <f>IFERROR(VLOOKUP(G18,選定!$C$2:$AG$100,13,FALSE),"")</f>
        <v/>
      </c>
      <c r="BD18" s="38" t="str">
        <f>IFERROR(VLOOKUP(G18,選定!$C$2:$AG$100,16,FALSE),"")</f>
        <v/>
      </c>
      <c r="BE18" s="38" t="str">
        <f>IFERROR(VLOOKUP(G18,選定!$C$2:$AG$100,19,FALSE),"")</f>
        <v/>
      </c>
      <c r="BF18" s="38" t="str">
        <f>IFERROR(VLOOKUP(G18,選定!$C$2:$AG$100,22,FALSE),"")</f>
        <v/>
      </c>
      <c r="BG18" s="527">
        <f t="shared" si="23"/>
        <v>0</v>
      </c>
    </row>
    <row r="19" spans="1:59" ht="13.5" customHeight="1">
      <c r="A19" s="654" t="s">
        <v>223</v>
      </c>
      <c r="B19" s="779" t="str">
        <f t="shared" si="12"/>
        <v/>
      </c>
      <c r="C19" s="284"/>
      <c r="D19" s="284"/>
      <c r="E19" s="285"/>
      <c r="F19" s="285"/>
      <c r="G19" s="442"/>
      <c r="H19" s="775">
        <f>PRODUCT(I19,J19)</f>
        <v>0</v>
      </c>
      <c r="I19" s="776"/>
      <c r="J19" s="776" t="str">
        <f t="shared" si="24"/>
        <v/>
      </c>
      <c r="K19" s="776"/>
      <c r="L19" s="283">
        <f t="shared" si="25"/>
        <v>0</v>
      </c>
      <c r="M19" s="284"/>
      <c r="N19" s="284"/>
      <c r="O19" s="284"/>
      <c r="P19" s="284"/>
      <c r="Q19" s="284"/>
      <c r="R19" s="284"/>
      <c r="S19" s="284"/>
      <c r="T19" s="284"/>
      <c r="U19" s="284"/>
      <c r="V19" s="284"/>
      <c r="W19" s="283">
        <f t="shared" si="14"/>
        <v>0</v>
      </c>
      <c r="X19" s="283">
        <f t="shared" si="15"/>
        <v>30</v>
      </c>
      <c r="Y19" s="286">
        <f t="shared" si="16"/>
        <v>0</v>
      </c>
      <c r="AA19" s="287">
        <f>IFERROR(VLOOKUP($G19,選定!$C$3:$AG$100,5,FALSE),0)</f>
        <v>0</v>
      </c>
      <c r="AB19" s="283">
        <f t="shared" si="3"/>
        <v>0</v>
      </c>
      <c r="AC19" s="286">
        <f t="shared" si="17"/>
        <v>0</v>
      </c>
      <c r="AD19" s="283">
        <f t="shared" si="26"/>
        <v>30</v>
      </c>
      <c r="AE19" s="613">
        <v>3000</v>
      </c>
      <c r="AF19" s="288">
        <v>4</v>
      </c>
      <c r="AG19" s="781"/>
      <c r="AH19" s="290">
        <f t="shared" si="4"/>
        <v>0</v>
      </c>
      <c r="AI19" s="291">
        <f>SUMIF($B$16:$B$45,$AG19,LED計算式!$T$4:$T$33)</f>
        <v>0</v>
      </c>
      <c r="AJ19" s="291">
        <f ca="1">SUMIF($B$16:$B$45,$AG19,LED計算式!$U$4)</f>
        <v>0</v>
      </c>
      <c r="AK19" s="329">
        <f ca="1">IFERROR(AL19*LED計算式!$AC$2,"")</f>
        <v>0</v>
      </c>
      <c r="AL19" s="292">
        <f t="shared" ca="1" si="18"/>
        <v>0</v>
      </c>
      <c r="AM19" s="362">
        <f t="shared" ca="1" si="5"/>
        <v>0</v>
      </c>
      <c r="AN19" s="500">
        <f t="shared" si="19"/>
        <v>0.4</v>
      </c>
      <c r="AO19" s="322">
        <f t="shared" ca="1" si="20"/>
        <v>0</v>
      </c>
      <c r="AP19" s="323">
        <f t="shared" ca="1" si="6"/>
        <v>0</v>
      </c>
      <c r="AQ19" s="323">
        <f t="shared" ca="1" si="7"/>
        <v>0</v>
      </c>
      <c r="AR19" s="327">
        <f ca="1">ROUNDDOWN(AO19*LED計算式!$AC$2,0)</f>
        <v>0</v>
      </c>
      <c r="AS19" s="322">
        <f t="shared" ca="1" si="8"/>
        <v>0</v>
      </c>
      <c r="AT19" s="322">
        <f t="shared" ca="1" si="9"/>
        <v>0</v>
      </c>
      <c r="AU19" s="337"/>
      <c r="AV19" s="359">
        <f t="shared" ca="1" si="10"/>
        <v>0</v>
      </c>
      <c r="AW19" s="359">
        <f t="shared" ca="1" si="11"/>
        <v>0</v>
      </c>
      <c r="AY19" s="526" t="str">
        <f>IFERROR(VLOOKUP(G19,選定!$C$3:$AG$100,28,FALSE),"0")</f>
        <v>0</v>
      </c>
      <c r="AZ19" s="38">
        <f t="shared" si="21"/>
        <v>0</v>
      </c>
      <c r="BA19" s="38">
        <f t="shared" si="22"/>
        <v>0</v>
      </c>
      <c r="BB19" s="38" t="str">
        <f>IFERROR(VLOOKUP(G19,選定!$C$2:$AG$100,11,FALSE),"0")</f>
        <v>0</v>
      </c>
      <c r="BC19" s="38" t="str">
        <f>IFERROR(VLOOKUP(G19,選定!$C$2:$AG$100,13,FALSE),"")</f>
        <v/>
      </c>
      <c r="BD19" s="38" t="str">
        <f>IFERROR(VLOOKUP(G19,選定!$C$2:$AG$100,16,FALSE),"")</f>
        <v/>
      </c>
      <c r="BE19" s="38" t="str">
        <f>IFERROR(VLOOKUP(G19,選定!$C$2:$AG$100,19,FALSE),"")</f>
        <v/>
      </c>
      <c r="BF19" s="38" t="str">
        <f>IFERROR(VLOOKUP(G19,選定!$C$2:$AG$100,22,FALSE),"")</f>
        <v/>
      </c>
      <c r="BG19" s="527">
        <f t="shared" si="23"/>
        <v>0</v>
      </c>
    </row>
    <row r="20" spans="1:59" ht="13.5" customHeight="1">
      <c r="A20" s="654" t="s">
        <v>224</v>
      </c>
      <c r="B20" s="779" t="str">
        <f t="shared" si="12"/>
        <v/>
      </c>
      <c r="C20" s="284"/>
      <c r="D20" s="284"/>
      <c r="E20" s="285"/>
      <c r="F20" s="285"/>
      <c r="G20" s="442"/>
      <c r="H20" s="775">
        <f t="shared" ref="H20:H32" si="27">PRODUCT(I20,J20)</f>
        <v>0</v>
      </c>
      <c r="I20" s="776"/>
      <c r="J20" s="776" t="str">
        <f t="shared" si="13"/>
        <v/>
      </c>
      <c r="K20" s="776"/>
      <c r="L20" s="283">
        <f t="shared" si="2"/>
        <v>0</v>
      </c>
      <c r="M20" s="284"/>
      <c r="N20" s="284"/>
      <c r="O20" s="284"/>
      <c r="P20" s="284"/>
      <c r="Q20" s="284"/>
      <c r="R20" s="284"/>
      <c r="S20" s="284"/>
      <c r="T20" s="284"/>
      <c r="U20" s="284"/>
      <c r="V20" s="284"/>
      <c r="W20" s="283">
        <f t="shared" si="14"/>
        <v>0</v>
      </c>
      <c r="X20" s="283">
        <f t="shared" si="15"/>
        <v>30</v>
      </c>
      <c r="Y20" s="286">
        <f t="shared" si="16"/>
        <v>0</v>
      </c>
      <c r="AA20" s="287">
        <f>IFERROR(VLOOKUP($G20,選定!$C$3:$AG$100,5,FALSE),0)</f>
        <v>0</v>
      </c>
      <c r="AB20" s="283">
        <f t="shared" si="3"/>
        <v>0</v>
      </c>
      <c r="AC20" s="286">
        <f t="shared" si="17"/>
        <v>0</v>
      </c>
      <c r="AD20" s="283">
        <f t="shared" si="26"/>
        <v>30</v>
      </c>
      <c r="AE20" s="613">
        <v>3000</v>
      </c>
      <c r="AF20" s="288">
        <v>5</v>
      </c>
      <c r="AG20" s="668"/>
      <c r="AH20" s="669">
        <f t="shared" si="4"/>
        <v>0</v>
      </c>
      <c r="AI20" s="395">
        <f>SUMIF($B$16:$B$45,$AG20,LED計算式!$T$4:$T$33)</f>
        <v>0</v>
      </c>
      <c r="AJ20" s="395">
        <f ca="1">SUMIF($B$16:$B$45,$AG20,LED計算式!$U$4)</f>
        <v>0</v>
      </c>
      <c r="AK20" s="395">
        <f t="shared" ref="AK20:AK45" ca="1" si="28">IFERROR(AL20/54,"")</f>
        <v>0</v>
      </c>
      <c r="AL20" s="395">
        <f t="shared" ref="AL20:AL45" ca="1" si="29">ROUNDDOWN((AI20+AJ20)/(100%-$AN20),0)</f>
        <v>0</v>
      </c>
      <c r="AM20" s="670">
        <f t="shared" ca="1" si="5"/>
        <v>0</v>
      </c>
      <c r="AN20" s="671">
        <f t="shared" si="19"/>
        <v>0.4</v>
      </c>
      <c r="AO20" s="395">
        <f t="shared" ref="AO20:AO45" ca="1" si="30">IFERROR(ROUNDDOWN($AL20*(100%-($AR$11+AU20)),0),"")</f>
        <v>0</v>
      </c>
      <c r="AP20" s="672">
        <f t="shared" ca="1" si="6"/>
        <v>0</v>
      </c>
      <c r="AQ20" s="672">
        <f t="shared" ca="1" si="7"/>
        <v>0</v>
      </c>
      <c r="AR20" s="395">
        <f t="shared" ref="AR20:AR45" ca="1" si="31">ROUNDDOWN(AO20/54,0)</f>
        <v>0</v>
      </c>
      <c r="AS20" s="395">
        <f t="shared" ca="1" si="8"/>
        <v>0</v>
      </c>
      <c r="AT20" s="395">
        <f t="shared" ca="1" si="9"/>
        <v>0</v>
      </c>
      <c r="AU20" s="673"/>
      <c r="AV20" s="674">
        <f t="shared" ca="1" si="10"/>
        <v>0</v>
      </c>
      <c r="AW20" s="674">
        <f t="shared" ca="1" si="11"/>
        <v>0</v>
      </c>
      <c r="AY20" s="526" t="str">
        <f>IFERROR(VLOOKUP(G20,選定!$C$3:$AG$100,28,FALSE),"0")</f>
        <v>0</v>
      </c>
      <c r="AZ20" s="38">
        <f t="shared" si="21"/>
        <v>0</v>
      </c>
      <c r="BA20" s="38">
        <f t="shared" si="22"/>
        <v>0</v>
      </c>
      <c r="BB20" s="38" t="str">
        <f>IFERROR(VLOOKUP(G20,選定!$C$2:$AG$100,11,FALSE),"0")</f>
        <v>0</v>
      </c>
      <c r="BC20" s="38" t="str">
        <f>IFERROR(VLOOKUP(G20,選定!$C$2:$AG$100,13,FALSE),"")</f>
        <v/>
      </c>
      <c r="BD20" s="38" t="str">
        <f>IFERROR(VLOOKUP(G20,選定!$C$2:$AG$100,16,FALSE),"")</f>
        <v/>
      </c>
      <c r="BE20" s="38" t="str">
        <f>IFERROR(VLOOKUP(G20,選定!$C$2:$AG$100,19,FALSE),"")</f>
        <v/>
      </c>
      <c r="BF20" s="38" t="str">
        <f>IFERROR(VLOOKUP(G20,選定!$C$2:$AG$100,22,FALSE),"")</f>
        <v/>
      </c>
      <c r="BG20" s="527">
        <f t="shared" si="23"/>
        <v>0</v>
      </c>
    </row>
    <row r="21" spans="1:59" ht="13.5" customHeight="1">
      <c r="A21" s="654" t="s">
        <v>225</v>
      </c>
      <c r="B21" s="779" t="str">
        <f t="shared" si="12"/>
        <v/>
      </c>
      <c r="C21" s="284"/>
      <c r="D21" s="284"/>
      <c r="E21" s="285"/>
      <c r="F21" s="285"/>
      <c r="G21" s="442"/>
      <c r="H21" s="775">
        <f t="shared" si="27"/>
        <v>0</v>
      </c>
      <c r="I21" s="776"/>
      <c r="J21" s="776" t="str">
        <f t="shared" si="13"/>
        <v/>
      </c>
      <c r="K21" s="776"/>
      <c r="L21" s="283">
        <f t="shared" si="2"/>
        <v>0</v>
      </c>
      <c r="M21" s="284"/>
      <c r="N21" s="284"/>
      <c r="O21" s="284"/>
      <c r="P21" s="284"/>
      <c r="Q21" s="284"/>
      <c r="R21" s="284"/>
      <c r="S21" s="284"/>
      <c r="T21" s="284"/>
      <c r="U21" s="284"/>
      <c r="V21" s="284"/>
      <c r="W21" s="283">
        <f t="shared" si="14"/>
        <v>0</v>
      </c>
      <c r="X21" s="283">
        <f t="shared" si="15"/>
        <v>30</v>
      </c>
      <c r="Y21" s="286">
        <f t="shared" si="16"/>
        <v>0</v>
      </c>
      <c r="AA21" s="287">
        <f>IFERROR(VLOOKUP($G21,選定!$C$3:$AG$100,5,FALSE),0)</f>
        <v>0</v>
      </c>
      <c r="AB21" s="283">
        <f t="shared" si="3"/>
        <v>0</v>
      </c>
      <c r="AC21" s="286">
        <f t="shared" si="17"/>
        <v>0</v>
      </c>
      <c r="AD21" s="283">
        <f t="shared" si="26"/>
        <v>30</v>
      </c>
      <c r="AE21" s="613">
        <v>3000</v>
      </c>
      <c r="AF21" s="288">
        <v>6</v>
      </c>
      <c r="AG21" s="668"/>
      <c r="AH21" s="669">
        <f t="shared" si="4"/>
        <v>0</v>
      </c>
      <c r="AI21" s="395">
        <f>SUMIF($B$16:$B$45,$AG21,LED計算式!$T$4:$T$33)</f>
        <v>0</v>
      </c>
      <c r="AJ21" s="395">
        <f ca="1">SUMIF($B$16:$B$45,$AG21,LED計算式!$U$4)</f>
        <v>0</v>
      </c>
      <c r="AK21" s="395">
        <f t="shared" ca="1" si="28"/>
        <v>0</v>
      </c>
      <c r="AL21" s="395">
        <f t="shared" ca="1" si="29"/>
        <v>0</v>
      </c>
      <c r="AM21" s="670">
        <f t="shared" ca="1" si="5"/>
        <v>0</v>
      </c>
      <c r="AN21" s="671">
        <f t="shared" si="19"/>
        <v>0.4</v>
      </c>
      <c r="AO21" s="395">
        <f t="shared" ca="1" si="30"/>
        <v>0</v>
      </c>
      <c r="AP21" s="672">
        <f t="shared" ca="1" si="6"/>
        <v>0</v>
      </c>
      <c r="AQ21" s="672">
        <f t="shared" ca="1" si="7"/>
        <v>0</v>
      </c>
      <c r="AR21" s="395">
        <f t="shared" ca="1" si="31"/>
        <v>0</v>
      </c>
      <c r="AS21" s="395">
        <f t="shared" ca="1" si="8"/>
        <v>0</v>
      </c>
      <c r="AT21" s="395">
        <f t="shared" ca="1" si="9"/>
        <v>0</v>
      </c>
      <c r="AU21" s="673"/>
      <c r="AV21" s="674">
        <f t="shared" ca="1" si="10"/>
        <v>0</v>
      </c>
      <c r="AW21" s="674">
        <f t="shared" ca="1" si="11"/>
        <v>0</v>
      </c>
      <c r="AY21" s="526" t="str">
        <f>IFERROR(VLOOKUP(G21,選定!$C$3:$AG$100,28,FALSE),"0")</f>
        <v>0</v>
      </c>
      <c r="AZ21" s="38">
        <f t="shared" si="21"/>
        <v>0</v>
      </c>
      <c r="BA21" s="38">
        <f t="shared" si="22"/>
        <v>0</v>
      </c>
      <c r="BB21" s="38" t="str">
        <f>IFERROR(VLOOKUP(G21,選定!$C$2:$AG$100,11,FALSE),"0")</f>
        <v>0</v>
      </c>
      <c r="BC21" s="38" t="str">
        <f>IFERROR(VLOOKUP(G21,選定!$C$2:$AG$100,13,FALSE),"")</f>
        <v/>
      </c>
      <c r="BD21" s="38" t="str">
        <f>IFERROR(VLOOKUP(G21,選定!$C$2:$AG$100,16,FALSE),"")</f>
        <v/>
      </c>
      <c r="BE21" s="38" t="str">
        <f>IFERROR(VLOOKUP(G21,選定!$C$2:$AG$100,19,FALSE),"")</f>
        <v/>
      </c>
      <c r="BF21" s="38" t="str">
        <f>IFERROR(VLOOKUP(G21,選定!$C$2:$AG$100,22,FALSE),"")</f>
        <v/>
      </c>
      <c r="BG21" s="527">
        <f t="shared" si="23"/>
        <v>0</v>
      </c>
    </row>
    <row r="22" spans="1:59" ht="13.5" customHeight="1">
      <c r="A22" s="654" t="s">
        <v>226</v>
      </c>
      <c r="B22" s="779" t="str">
        <f t="shared" si="12"/>
        <v/>
      </c>
      <c r="C22" s="284"/>
      <c r="D22" s="284"/>
      <c r="E22" s="285"/>
      <c r="F22" s="285"/>
      <c r="G22" s="442"/>
      <c r="H22" s="775">
        <f t="shared" si="27"/>
        <v>0</v>
      </c>
      <c r="I22" s="776"/>
      <c r="J22" s="776" t="str">
        <f t="shared" si="13"/>
        <v/>
      </c>
      <c r="K22" s="776"/>
      <c r="L22" s="283">
        <f t="shared" si="2"/>
        <v>0</v>
      </c>
      <c r="M22" s="284"/>
      <c r="N22" s="284"/>
      <c r="O22" s="284"/>
      <c r="P22" s="284"/>
      <c r="Q22" s="284"/>
      <c r="R22" s="284"/>
      <c r="S22" s="284"/>
      <c r="T22" s="284"/>
      <c r="U22" s="284"/>
      <c r="V22" s="284"/>
      <c r="W22" s="283">
        <f t="shared" si="14"/>
        <v>0</v>
      </c>
      <c r="X22" s="283">
        <f t="shared" si="15"/>
        <v>30</v>
      </c>
      <c r="Y22" s="286">
        <f t="shared" si="16"/>
        <v>0</v>
      </c>
      <c r="AA22" s="287">
        <f>IFERROR(VLOOKUP($G22,選定!$C$3:$AG$100,5,FALSE),0)</f>
        <v>0</v>
      </c>
      <c r="AB22" s="283">
        <f t="shared" si="3"/>
        <v>0</v>
      </c>
      <c r="AC22" s="286">
        <f t="shared" si="17"/>
        <v>0</v>
      </c>
      <c r="AD22" s="283">
        <f t="shared" si="26"/>
        <v>30</v>
      </c>
      <c r="AE22" s="613">
        <v>3000</v>
      </c>
      <c r="AF22" s="288">
        <v>7</v>
      </c>
      <c r="AG22" s="668"/>
      <c r="AH22" s="669">
        <f t="shared" si="4"/>
        <v>0</v>
      </c>
      <c r="AI22" s="395">
        <f>SUMIF($B$16:$B$45,$AG22,LED計算式!$T$4:$T$33)</f>
        <v>0</v>
      </c>
      <c r="AJ22" s="395">
        <f ca="1">SUMIF($B$16:$B$45,$AG22,LED計算式!$U$4)</f>
        <v>0</v>
      </c>
      <c r="AK22" s="395">
        <f t="shared" ca="1" si="28"/>
        <v>0</v>
      </c>
      <c r="AL22" s="395">
        <f t="shared" ca="1" si="29"/>
        <v>0</v>
      </c>
      <c r="AM22" s="670">
        <f t="shared" ca="1" si="5"/>
        <v>0</v>
      </c>
      <c r="AN22" s="671">
        <f t="shared" si="19"/>
        <v>0.4</v>
      </c>
      <c r="AO22" s="395">
        <f t="shared" ca="1" si="30"/>
        <v>0</v>
      </c>
      <c r="AP22" s="672">
        <f t="shared" ca="1" si="6"/>
        <v>0</v>
      </c>
      <c r="AQ22" s="672">
        <f t="shared" ca="1" si="7"/>
        <v>0</v>
      </c>
      <c r="AR22" s="395">
        <f t="shared" ca="1" si="31"/>
        <v>0</v>
      </c>
      <c r="AS22" s="395">
        <f t="shared" ca="1" si="8"/>
        <v>0</v>
      </c>
      <c r="AT22" s="395">
        <f t="shared" ca="1" si="9"/>
        <v>0</v>
      </c>
      <c r="AU22" s="673"/>
      <c r="AV22" s="674">
        <f t="shared" ca="1" si="10"/>
        <v>0</v>
      </c>
      <c r="AW22" s="674">
        <f t="shared" ca="1" si="11"/>
        <v>0</v>
      </c>
      <c r="AY22" s="526" t="str">
        <f>IFERROR(VLOOKUP(G22,選定!$C$3:$AG$100,28,FALSE),"0")</f>
        <v>0</v>
      </c>
      <c r="AZ22" s="38">
        <f t="shared" si="21"/>
        <v>0</v>
      </c>
      <c r="BA22" s="38">
        <f t="shared" si="22"/>
        <v>0</v>
      </c>
      <c r="BB22" s="38" t="str">
        <f>IFERROR(VLOOKUP(G22,選定!$C$2:$AG$100,11,FALSE),"0")</f>
        <v>0</v>
      </c>
      <c r="BC22" s="38" t="str">
        <f>IFERROR(VLOOKUP(G22,選定!$C$2:$AG$100,13,FALSE),"")</f>
        <v/>
      </c>
      <c r="BD22" s="38" t="str">
        <f>IFERROR(VLOOKUP(G22,選定!$C$2:$AG$100,16,FALSE),"")</f>
        <v/>
      </c>
      <c r="BE22" s="38" t="str">
        <f>IFERROR(VLOOKUP(G22,選定!$C$2:$AG$100,19,FALSE),"")</f>
        <v/>
      </c>
      <c r="BF22" s="38" t="str">
        <f>IFERROR(VLOOKUP(G22,選定!$C$2:$AG$100,22,FALSE),"")</f>
        <v/>
      </c>
      <c r="BG22" s="527">
        <f t="shared" si="23"/>
        <v>0</v>
      </c>
    </row>
    <row r="23" spans="1:59" ht="13.5" customHeight="1">
      <c r="A23" s="654" t="s">
        <v>227</v>
      </c>
      <c r="B23" s="779" t="str">
        <f t="shared" si="12"/>
        <v/>
      </c>
      <c r="C23" s="284"/>
      <c r="D23" s="284"/>
      <c r="E23" s="285"/>
      <c r="F23" s="285"/>
      <c r="G23" s="442"/>
      <c r="H23" s="775">
        <f t="shared" si="27"/>
        <v>0</v>
      </c>
      <c r="I23" s="776"/>
      <c r="J23" s="776" t="str">
        <f t="shared" si="13"/>
        <v/>
      </c>
      <c r="K23" s="776"/>
      <c r="L23" s="283">
        <f t="shared" si="2"/>
        <v>0</v>
      </c>
      <c r="M23" s="284"/>
      <c r="N23" s="284"/>
      <c r="O23" s="284"/>
      <c r="P23" s="284"/>
      <c r="Q23" s="284"/>
      <c r="R23" s="284"/>
      <c r="S23" s="284"/>
      <c r="T23" s="284"/>
      <c r="U23" s="284"/>
      <c r="V23" s="284"/>
      <c r="W23" s="283">
        <f t="shared" si="14"/>
        <v>0</v>
      </c>
      <c r="X23" s="283">
        <f t="shared" si="15"/>
        <v>30</v>
      </c>
      <c r="Y23" s="286">
        <f t="shared" si="16"/>
        <v>0</v>
      </c>
      <c r="AA23" s="287">
        <f>IFERROR(VLOOKUP($G23,選定!$C$3:$AG$100,5,FALSE),0)</f>
        <v>0</v>
      </c>
      <c r="AB23" s="283">
        <f t="shared" si="3"/>
        <v>0</v>
      </c>
      <c r="AC23" s="286">
        <f t="shared" si="17"/>
        <v>0</v>
      </c>
      <c r="AD23" s="283">
        <f t="shared" si="26"/>
        <v>30</v>
      </c>
      <c r="AE23" s="613">
        <v>3000</v>
      </c>
      <c r="AF23" s="288">
        <v>8</v>
      </c>
      <c r="AG23" s="668"/>
      <c r="AH23" s="669">
        <f t="shared" si="4"/>
        <v>0</v>
      </c>
      <c r="AI23" s="395">
        <f>SUMIF($B$16:$B$45,$AG23,LED計算式!$T$4:$T$33)</f>
        <v>0</v>
      </c>
      <c r="AJ23" s="395">
        <f ca="1">SUMIF($B$16:$B$45,$AG23,LED計算式!$U$4)</f>
        <v>0</v>
      </c>
      <c r="AK23" s="395">
        <f t="shared" ca="1" si="28"/>
        <v>0</v>
      </c>
      <c r="AL23" s="395">
        <f t="shared" ca="1" si="29"/>
        <v>0</v>
      </c>
      <c r="AM23" s="670">
        <f t="shared" ca="1" si="5"/>
        <v>0</v>
      </c>
      <c r="AN23" s="671">
        <f t="shared" si="19"/>
        <v>0.4</v>
      </c>
      <c r="AO23" s="395">
        <f t="shared" ca="1" si="30"/>
        <v>0</v>
      </c>
      <c r="AP23" s="672">
        <f t="shared" ca="1" si="6"/>
        <v>0</v>
      </c>
      <c r="AQ23" s="672">
        <f t="shared" ca="1" si="7"/>
        <v>0</v>
      </c>
      <c r="AR23" s="395">
        <f t="shared" ca="1" si="31"/>
        <v>0</v>
      </c>
      <c r="AS23" s="395">
        <f t="shared" ca="1" si="8"/>
        <v>0</v>
      </c>
      <c r="AT23" s="395">
        <f t="shared" ca="1" si="9"/>
        <v>0</v>
      </c>
      <c r="AU23" s="673"/>
      <c r="AV23" s="674">
        <f t="shared" ca="1" si="10"/>
        <v>0</v>
      </c>
      <c r="AW23" s="674">
        <f t="shared" ca="1" si="11"/>
        <v>0</v>
      </c>
      <c r="AY23" s="526" t="str">
        <f>IFERROR(VLOOKUP(G23,選定!$C$3:$AG$100,28,FALSE),"0")</f>
        <v>0</v>
      </c>
      <c r="AZ23" s="38">
        <f t="shared" si="21"/>
        <v>0</v>
      </c>
      <c r="BA23" s="38">
        <f t="shared" si="22"/>
        <v>0</v>
      </c>
      <c r="BB23" s="38" t="str">
        <f>IFERROR(VLOOKUP(G23,選定!$C$2:$AG$100,11,FALSE),"0")</f>
        <v>0</v>
      </c>
      <c r="BC23" s="38" t="str">
        <f>IFERROR(VLOOKUP(G23,選定!$C$2:$AG$100,13,FALSE),"")</f>
        <v/>
      </c>
      <c r="BD23" s="38" t="str">
        <f>IFERROR(VLOOKUP(G23,選定!$C$2:$AG$100,16,FALSE),"")</f>
        <v/>
      </c>
      <c r="BE23" s="38" t="str">
        <f>IFERROR(VLOOKUP(G23,選定!$C$2:$AG$100,19,FALSE),"")</f>
        <v/>
      </c>
      <c r="BF23" s="38" t="str">
        <f>IFERROR(VLOOKUP(G23,選定!$C$2:$AG$100,22,FALSE),"")</f>
        <v/>
      </c>
      <c r="BG23" s="527">
        <f t="shared" si="23"/>
        <v>0</v>
      </c>
    </row>
    <row r="24" spans="1:59" ht="13.5" customHeight="1">
      <c r="A24" s="654" t="s">
        <v>228</v>
      </c>
      <c r="B24" s="779" t="str">
        <f t="shared" si="12"/>
        <v/>
      </c>
      <c r="C24" s="284"/>
      <c r="D24" s="284"/>
      <c r="E24" s="285"/>
      <c r="F24" s="285"/>
      <c r="G24" s="442"/>
      <c r="H24" s="775">
        <f t="shared" si="27"/>
        <v>0</v>
      </c>
      <c r="I24" s="776"/>
      <c r="J24" s="776" t="str">
        <f t="shared" si="13"/>
        <v/>
      </c>
      <c r="K24" s="776"/>
      <c r="L24" s="283">
        <f t="shared" si="2"/>
        <v>0</v>
      </c>
      <c r="M24" s="284"/>
      <c r="N24" s="284"/>
      <c r="O24" s="284"/>
      <c r="P24" s="284"/>
      <c r="Q24" s="284"/>
      <c r="R24" s="284"/>
      <c r="S24" s="284"/>
      <c r="T24" s="284"/>
      <c r="U24" s="284"/>
      <c r="V24" s="284"/>
      <c r="W24" s="283">
        <f t="shared" si="14"/>
        <v>0</v>
      </c>
      <c r="X24" s="283">
        <f t="shared" si="15"/>
        <v>30</v>
      </c>
      <c r="Y24" s="286">
        <f t="shared" si="16"/>
        <v>0</v>
      </c>
      <c r="AA24" s="287">
        <f>IFERROR(VLOOKUP($G24,選定!$C$3:$AG$100,5,FALSE),0)</f>
        <v>0</v>
      </c>
      <c r="AB24" s="283">
        <f t="shared" si="3"/>
        <v>0</v>
      </c>
      <c r="AC24" s="286">
        <f t="shared" si="17"/>
        <v>0</v>
      </c>
      <c r="AD24" s="283">
        <f t="shared" si="26"/>
        <v>30</v>
      </c>
      <c r="AE24" s="613">
        <v>3000</v>
      </c>
      <c r="AF24" s="288">
        <v>9</v>
      </c>
      <c r="AG24" s="668"/>
      <c r="AH24" s="669">
        <f t="shared" si="4"/>
        <v>0</v>
      </c>
      <c r="AI24" s="395">
        <f>SUMIF($B$16:$B$45,$AG24,LED計算式!$T$4:$T$33)</f>
        <v>0</v>
      </c>
      <c r="AJ24" s="395">
        <f ca="1">SUMIF($B$16:$B$45,$AG24,LED計算式!$U$4)</f>
        <v>0</v>
      </c>
      <c r="AK24" s="395">
        <f t="shared" ca="1" si="28"/>
        <v>0</v>
      </c>
      <c r="AL24" s="395">
        <f t="shared" ca="1" si="29"/>
        <v>0</v>
      </c>
      <c r="AM24" s="670">
        <f t="shared" ca="1" si="5"/>
        <v>0</v>
      </c>
      <c r="AN24" s="671">
        <f t="shared" si="19"/>
        <v>0.4</v>
      </c>
      <c r="AO24" s="395">
        <f t="shared" ca="1" si="30"/>
        <v>0</v>
      </c>
      <c r="AP24" s="672">
        <f t="shared" ca="1" si="6"/>
        <v>0</v>
      </c>
      <c r="AQ24" s="672">
        <f t="shared" ca="1" si="7"/>
        <v>0</v>
      </c>
      <c r="AR24" s="395">
        <f t="shared" ca="1" si="31"/>
        <v>0</v>
      </c>
      <c r="AS24" s="395">
        <f t="shared" ca="1" si="8"/>
        <v>0</v>
      </c>
      <c r="AT24" s="395">
        <f t="shared" ca="1" si="9"/>
        <v>0</v>
      </c>
      <c r="AU24" s="673"/>
      <c r="AV24" s="674">
        <f t="shared" ca="1" si="10"/>
        <v>0</v>
      </c>
      <c r="AW24" s="674">
        <f t="shared" ca="1" si="11"/>
        <v>0</v>
      </c>
      <c r="AY24" s="526" t="str">
        <f>IFERROR(VLOOKUP(G24,選定!$C$3:$AG$100,28,FALSE),"0")</f>
        <v>0</v>
      </c>
      <c r="AZ24" s="38">
        <f t="shared" si="21"/>
        <v>0</v>
      </c>
      <c r="BA24" s="38">
        <f t="shared" si="22"/>
        <v>0</v>
      </c>
      <c r="BB24" s="38" t="str">
        <f>IFERROR(VLOOKUP(G24,選定!$C$2:$AG$100,11,FALSE),"0")</f>
        <v>0</v>
      </c>
      <c r="BC24" s="38" t="str">
        <f>IFERROR(VLOOKUP(G24,選定!$C$2:$AG$100,13,FALSE),"")</f>
        <v/>
      </c>
      <c r="BD24" s="38" t="str">
        <f>IFERROR(VLOOKUP(G24,選定!$C$2:$AG$100,16,FALSE),"")</f>
        <v/>
      </c>
      <c r="BE24" s="38" t="str">
        <f>IFERROR(VLOOKUP(G24,選定!$C$2:$AG$100,19,FALSE),"")</f>
        <v/>
      </c>
      <c r="BF24" s="38" t="str">
        <f>IFERROR(VLOOKUP(G24,選定!$C$2:$AG$100,22,FALSE),"")</f>
        <v/>
      </c>
      <c r="BG24" s="527">
        <f t="shared" si="23"/>
        <v>0</v>
      </c>
    </row>
    <row r="25" spans="1:59" ht="13.5" customHeight="1">
      <c r="A25" s="654" t="s">
        <v>229</v>
      </c>
      <c r="B25" s="779" t="str">
        <f t="shared" si="12"/>
        <v/>
      </c>
      <c r="C25" s="284"/>
      <c r="D25" s="284"/>
      <c r="E25" s="285"/>
      <c r="F25" s="285"/>
      <c r="G25" s="442"/>
      <c r="H25" s="775">
        <f t="shared" si="27"/>
        <v>0</v>
      </c>
      <c r="I25" s="776"/>
      <c r="J25" s="776" t="str">
        <f t="shared" si="13"/>
        <v/>
      </c>
      <c r="K25" s="776"/>
      <c r="L25" s="283">
        <f t="shared" si="2"/>
        <v>0</v>
      </c>
      <c r="M25" s="284"/>
      <c r="N25" s="284"/>
      <c r="O25" s="284"/>
      <c r="P25" s="284"/>
      <c r="Q25" s="284"/>
      <c r="R25" s="284"/>
      <c r="S25" s="284"/>
      <c r="T25" s="284"/>
      <c r="U25" s="284"/>
      <c r="V25" s="284"/>
      <c r="W25" s="283">
        <f t="shared" si="14"/>
        <v>0</v>
      </c>
      <c r="X25" s="283">
        <f t="shared" si="15"/>
        <v>30</v>
      </c>
      <c r="Y25" s="286">
        <f t="shared" si="16"/>
        <v>0</v>
      </c>
      <c r="AA25" s="287">
        <f>IFERROR(VLOOKUP($G25,選定!$C$3:$AG$100,5,FALSE),0)</f>
        <v>0</v>
      </c>
      <c r="AB25" s="283">
        <f t="shared" si="3"/>
        <v>0</v>
      </c>
      <c r="AC25" s="286">
        <f t="shared" si="17"/>
        <v>0</v>
      </c>
      <c r="AD25" s="283">
        <f t="shared" si="26"/>
        <v>30</v>
      </c>
      <c r="AE25" s="613">
        <v>3000</v>
      </c>
      <c r="AF25" s="288">
        <v>10</v>
      </c>
      <c r="AG25" s="668"/>
      <c r="AH25" s="669">
        <f t="shared" si="4"/>
        <v>0</v>
      </c>
      <c r="AI25" s="395">
        <f>SUMIF($B$16:$B$45,$AG25,LED計算式!$T$4:$T$33)</f>
        <v>0</v>
      </c>
      <c r="AJ25" s="395">
        <f ca="1">SUMIF($B$16:$B$45,$AG25,LED計算式!$U$4)</f>
        <v>0</v>
      </c>
      <c r="AK25" s="395">
        <f t="shared" ca="1" si="28"/>
        <v>0</v>
      </c>
      <c r="AL25" s="395">
        <f t="shared" ca="1" si="29"/>
        <v>0</v>
      </c>
      <c r="AM25" s="670">
        <f t="shared" ca="1" si="5"/>
        <v>0</v>
      </c>
      <c r="AN25" s="671">
        <f t="shared" si="19"/>
        <v>0.4</v>
      </c>
      <c r="AO25" s="395">
        <f t="shared" ca="1" si="30"/>
        <v>0</v>
      </c>
      <c r="AP25" s="672">
        <f t="shared" ca="1" si="6"/>
        <v>0</v>
      </c>
      <c r="AQ25" s="672">
        <f t="shared" ca="1" si="7"/>
        <v>0</v>
      </c>
      <c r="AR25" s="395">
        <f t="shared" ca="1" si="31"/>
        <v>0</v>
      </c>
      <c r="AS25" s="395">
        <f t="shared" ca="1" si="8"/>
        <v>0</v>
      </c>
      <c r="AT25" s="395">
        <f t="shared" ca="1" si="9"/>
        <v>0</v>
      </c>
      <c r="AU25" s="673"/>
      <c r="AV25" s="674">
        <f t="shared" ca="1" si="10"/>
        <v>0</v>
      </c>
      <c r="AW25" s="674">
        <f t="shared" ca="1" si="11"/>
        <v>0</v>
      </c>
      <c r="AY25" s="526" t="str">
        <f>IFERROR(VLOOKUP(G25,選定!$C$3:$AG$100,28,FALSE),"0")</f>
        <v>0</v>
      </c>
      <c r="AZ25" s="38">
        <f t="shared" si="21"/>
        <v>0</v>
      </c>
      <c r="BA25" s="38">
        <f t="shared" si="22"/>
        <v>0</v>
      </c>
      <c r="BB25" s="38" t="str">
        <f>IFERROR(VLOOKUP(G25,選定!$C$2:$AG$100,11,FALSE),"0")</f>
        <v>0</v>
      </c>
      <c r="BC25" s="38" t="str">
        <f>IFERROR(VLOOKUP(G25,選定!$C$2:$AG$100,13,FALSE),"")</f>
        <v/>
      </c>
      <c r="BD25" s="38" t="str">
        <f>IFERROR(VLOOKUP(G25,選定!$C$2:$AG$100,16,FALSE),"")</f>
        <v/>
      </c>
      <c r="BE25" s="38" t="str">
        <f>IFERROR(VLOOKUP(G25,選定!$C$2:$AG$100,19,FALSE),"")</f>
        <v/>
      </c>
      <c r="BF25" s="38" t="str">
        <f>IFERROR(VLOOKUP(G25,選定!$C$2:$AG$100,22,FALSE),"")</f>
        <v/>
      </c>
      <c r="BG25" s="527">
        <f t="shared" si="23"/>
        <v>0</v>
      </c>
    </row>
    <row r="26" spans="1:59" ht="13.5" customHeight="1">
      <c r="A26" s="654" t="s">
        <v>230</v>
      </c>
      <c r="B26" s="668" t="str">
        <f t="shared" si="12"/>
        <v/>
      </c>
      <c r="C26" s="284"/>
      <c r="D26" s="284"/>
      <c r="E26" s="285"/>
      <c r="F26" s="285"/>
      <c r="G26" s="442"/>
      <c r="H26" s="775">
        <f t="shared" si="27"/>
        <v>0</v>
      </c>
      <c r="I26" s="776"/>
      <c r="J26" s="776" t="str">
        <f t="shared" si="13"/>
        <v/>
      </c>
      <c r="K26" s="776"/>
      <c r="L26" s="283">
        <f t="shared" si="2"/>
        <v>0</v>
      </c>
      <c r="M26" s="284"/>
      <c r="N26" s="284"/>
      <c r="O26" s="284"/>
      <c r="P26" s="284"/>
      <c r="Q26" s="284"/>
      <c r="R26" s="284"/>
      <c r="S26" s="284"/>
      <c r="T26" s="284"/>
      <c r="U26" s="284"/>
      <c r="V26" s="284"/>
      <c r="W26" s="283">
        <f t="shared" si="14"/>
        <v>0</v>
      </c>
      <c r="X26" s="283">
        <f t="shared" si="15"/>
        <v>30</v>
      </c>
      <c r="Y26" s="286">
        <f t="shared" si="16"/>
        <v>0</v>
      </c>
      <c r="AA26" s="287">
        <f>IFERROR(VLOOKUP($G26,選定!$C$3:$AG$100,5,FALSE),0)</f>
        <v>0</v>
      </c>
      <c r="AB26" s="283">
        <f t="shared" si="3"/>
        <v>0</v>
      </c>
      <c r="AC26" s="286">
        <f t="shared" si="17"/>
        <v>0</v>
      </c>
      <c r="AD26" s="283">
        <f t="shared" si="26"/>
        <v>30</v>
      </c>
      <c r="AE26" s="613">
        <v>3000</v>
      </c>
      <c r="AF26" s="288">
        <v>11</v>
      </c>
      <c r="AG26" s="668"/>
      <c r="AH26" s="669">
        <f t="shared" si="4"/>
        <v>0</v>
      </c>
      <c r="AI26" s="395">
        <f>SUMIF($B$16:$B$45,$AG26,LED計算式!$T$4:$T$33)</f>
        <v>0</v>
      </c>
      <c r="AJ26" s="395">
        <f ca="1">SUMIF($B$16:$B$45,$AG26,LED計算式!$U$4)</f>
        <v>0</v>
      </c>
      <c r="AK26" s="395">
        <f t="shared" ca="1" si="28"/>
        <v>0</v>
      </c>
      <c r="AL26" s="395">
        <f t="shared" ca="1" si="29"/>
        <v>0</v>
      </c>
      <c r="AM26" s="670">
        <f t="shared" ca="1" si="5"/>
        <v>0</v>
      </c>
      <c r="AN26" s="671">
        <f t="shared" si="19"/>
        <v>0.4</v>
      </c>
      <c r="AO26" s="395">
        <f t="shared" ca="1" si="30"/>
        <v>0</v>
      </c>
      <c r="AP26" s="672">
        <f t="shared" ca="1" si="6"/>
        <v>0</v>
      </c>
      <c r="AQ26" s="672">
        <f t="shared" ca="1" si="7"/>
        <v>0</v>
      </c>
      <c r="AR26" s="395">
        <f t="shared" ca="1" si="31"/>
        <v>0</v>
      </c>
      <c r="AS26" s="395">
        <f t="shared" ca="1" si="8"/>
        <v>0</v>
      </c>
      <c r="AT26" s="395">
        <f t="shared" ca="1" si="9"/>
        <v>0</v>
      </c>
      <c r="AU26" s="673"/>
      <c r="AV26" s="674">
        <f t="shared" ca="1" si="10"/>
        <v>0</v>
      </c>
      <c r="AW26" s="674">
        <f t="shared" ca="1" si="11"/>
        <v>0</v>
      </c>
      <c r="AY26" s="526" t="str">
        <f>IFERROR(VLOOKUP(G26,選定!$C$3:$AG$100,28,FALSE),"0")</f>
        <v>0</v>
      </c>
      <c r="AZ26" s="38">
        <f t="shared" si="21"/>
        <v>0</v>
      </c>
      <c r="BA26" s="38">
        <f t="shared" si="22"/>
        <v>0</v>
      </c>
      <c r="BB26" s="38" t="str">
        <f>IFERROR(VLOOKUP(G26,選定!$C$2:$AG$100,11,FALSE),"0")</f>
        <v>0</v>
      </c>
      <c r="BC26" s="38" t="str">
        <f>IFERROR(VLOOKUP(G26,選定!$C$2:$AG$100,13,FALSE),"")</f>
        <v/>
      </c>
      <c r="BD26" s="38" t="str">
        <f>IFERROR(VLOOKUP(G26,選定!$C$2:$AG$100,16,FALSE),"")</f>
        <v/>
      </c>
      <c r="BE26" s="38" t="str">
        <f>IFERROR(VLOOKUP(G26,選定!$C$2:$AG$100,19,FALSE),"")</f>
        <v/>
      </c>
      <c r="BF26" s="38" t="str">
        <f>IFERROR(VLOOKUP(G26,選定!$C$2:$AG$100,22,FALSE),"")</f>
        <v/>
      </c>
      <c r="BG26" s="527">
        <f t="shared" si="23"/>
        <v>0</v>
      </c>
    </row>
    <row r="27" spans="1:59" ht="13.5" customHeight="1">
      <c r="A27" s="654" t="s">
        <v>231</v>
      </c>
      <c r="B27" s="668" t="str">
        <f t="shared" si="12"/>
        <v/>
      </c>
      <c r="C27" s="284"/>
      <c r="D27" s="284"/>
      <c r="E27" s="285"/>
      <c r="F27" s="285"/>
      <c r="G27" s="442"/>
      <c r="H27" s="775">
        <f t="shared" si="27"/>
        <v>0</v>
      </c>
      <c r="I27" s="776"/>
      <c r="J27" s="776" t="str">
        <f t="shared" si="13"/>
        <v/>
      </c>
      <c r="K27" s="776"/>
      <c r="L27" s="283">
        <f t="shared" si="2"/>
        <v>0</v>
      </c>
      <c r="M27" s="284"/>
      <c r="N27" s="284"/>
      <c r="O27" s="284"/>
      <c r="P27" s="284"/>
      <c r="Q27" s="284"/>
      <c r="R27" s="284"/>
      <c r="S27" s="284"/>
      <c r="T27" s="284"/>
      <c r="U27" s="284"/>
      <c r="V27" s="284"/>
      <c r="W27" s="283">
        <f t="shared" si="14"/>
        <v>0</v>
      </c>
      <c r="X27" s="283">
        <f t="shared" si="15"/>
        <v>30</v>
      </c>
      <c r="Y27" s="286">
        <f t="shared" si="16"/>
        <v>0</v>
      </c>
      <c r="AA27" s="287">
        <f>IFERROR(VLOOKUP($G27,選定!$C$3:$AG$100,5,FALSE),0)</f>
        <v>0</v>
      </c>
      <c r="AB27" s="283">
        <f t="shared" si="3"/>
        <v>0</v>
      </c>
      <c r="AC27" s="286">
        <f t="shared" si="17"/>
        <v>0</v>
      </c>
      <c r="AD27" s="283">
        <f t="shared" si="26"/>
        <v>30</v>
      </c>
      <c r="AE27" s="613">
        <v>3000</v>
      </c>
      <c r="AF27" s="288">
        <v>12</v>
      </c>
      <c r="AG27" s="668"/>
      <c r="AH27" s="669">
        <f t="shared" si="4"/>
        <v>0</v>
      </c>
      <c r="AI27" s="395">
        <f>SUMIF($B$16:$B$45,$AG27,LED計算式!$T$4:$T$33)</f>
        <v>0</v>
      </c>
      <c r="AJ27" s="395">
        <f ca="1">SUMIF($B$16:$B$45,$AG27,LED計算式!$U$4)</f>
        <v>0</v>
      </c>
      <c r="AK27" s="395">
        <f t="shared" ca="1" si="28"/>
        <v>0</v>
      </c>
      <c r="AL27" s="395">
        <f t="shared" ca="1" si="29"/>
        <v>0</v>
      </c>
      <c r="AM27" s="670">
        <f t="shared" ca="1" si="5"/>
        <v>0</v>
      </c>
      <c r="AN27" s="671">
        <f t="shared" si="19"/>
        <v>0.4</v>
      </c>
      <c r="AO27" s="395">
        <f t="shared" ca="1" si="30"/>
        <v>0</v>
      </c>
      <c r="AP27" s="672">
        <f t="shared" ca="1" si="6"/>
        <v>0</v>
      </c>
      <c r="AQ27" s="672">
        <f t="shared" ca="1" si="7"/>
        <v>0</v>
      </c>
      <c r="AR27" s="395">
        <f t="shared" ca="1" si="31"/>
        <v>0</v>
      </c>
      <c r="AS27" s="395">
        <f t="shared" ca="1" si="8"/>
        <v>0</v>
      </c>
      <c r="AT27" s="395">
        <f t="shared" ca="1" si="9"/>
        <v>0</v>
      </c>
      <c r="AU27" s="673"/>
      <c r="AV27" s="674">
        <f t="shared" ca="1" si="10"/>
        <v>0</v>
      </c>
      <c r="AW27" s="674">
        <f t="shared" ca="1" si="11"/>
        <v>0</v>
      </c>
      <c r="AY27" s="526" t="str">
        <f>IFERROR(VLOOKUP(G27,選定!$C$3:$AG$100,28,FALSE),"0")</f>
        <v>0</v>
      </c>
      <c r="AZ27" s="38">
        <f t="shared" si="21"/>
        <v>0</v>
      </c>
      <c r="BA27" s="38">
        <f t="shared" si="22"/>
        <v>0</v>
      </c>
      <c r="BB27" s="38" t="str">
        <f>IFERROR(VLOOKUP(G27,選定!$C$2:$AG$100,11,FALSE),"0")</f>
        <v>0</v>
      </c>
      <c r="BC27" s="38" t="str">
        <f>IFERROR(VLOOKUP(G27,選定!$C$2:$AG$100,13,FALSE),"")</f>
        <v/>
      </c>
      <c r="BD27" s="38" t="str">
        <f>IFERROR(VLOOKUP(G27,選定!$C$2:$AG$100,16,FALSE),"")</f>
        <v/>
      </c>
      <c r="BE27" s="38" t="str">
        <f>IFERROR(VLOOKUP(G27,選定!$C$2:$AG$100,19,FALSE),"")</f>
        <v/>
      </c>
      <c r="BF27" s="38" t="str">
        <f>IFERROR(VLOOKUP(G27,選定!$C$2:$AG$100,22,FALSE),"")</f>
        <v/>
      </c>
      <c r="BG27" s="527">
        <f t="shared" si="23"/>
        <v>0</v>
      </c>
    </row>
    <row r="28" spans="1:59" ht="13.5" customHeight="1">
      <c r="A28" s="654" t="s">
        <v>232</v>
      </c>
      <c r="B28" s="668" t="str">
        <f t="shared" si="12"/>
        <v/>
      </c>
      <c r="C28" s="441"/>
      <c r="D28" s="284"/>
      <c r="E28" s="285"/>
      <c r="F28" s="285"/>
      <c r="G28" s="442"/>
      <c r="H28" s="775">
        <f t="shared" si="27"/>
        <v>0</v>
      </c>
      <c r="I28" s="776"/>
      <c r="J28" s="776" t="str">
        <f t="shared" si="13"/>
        <v/>
      </c>
      <c r="K28" s="776"/>
      <c r="L28" s="283">
        <f t="shared" si="2"/>
        <v>0</v>
      </c>
      <c r="M28" s="284"/>
      <c r="N28" s="284"/>
      <c r="O28" s="284"/>
      <c r="P28" s="284"/>
      <c r="Q28" s="284"/>
      <c r="R28" s="284"/>
      <c r="S28" s="284"/>
      <c r="T28" s="284"/>
      <c r="U28" s="284"/>
      <c r="V28" s="284"/>
      <c r="W28" s="283">
        <f t="shared" si="14"/>
        <v>0</v>
      </c>
      <c r="X28" s="283">
        <f t="shared" si="15"/>
        <v>30</v>
      </c>
      <c r="Y28" s="286">
        <f t="shared" si="16"/>
        <v>0</v>
      </c>
      <c r="AA28" s="287">
        <f>IFERROR(VLOOKUP($G28,選定!$C$3:$AG$100,5,FALSE),0)</f>
        <v>0</v>
      </c>
      <c r="AB28" s="283">
        <f t="shared" si="3"/>
        <v>0</v>
      </c>
      <c r="AC28" s="286">
        <f t="shared" si="17"/>
        <v>0</v>
      </c>
      <c r="AD28" s="283">
        <f t="shared" si="26"/>
        <v>30</v>
      </c>
      <c r="AE28" s="613">
        <v>3000</v>
      </c>
      <c r="AF28" s="288">
        <v>13</v>
      </c>
      <c r="AG28" s="668"/>
      <c r="AH28" s="669">
        <f t="shared" si="4"/>
        <v>0</v>
      </c>
      <c r="AI28" s="395">
        <f>SUMIF($B$16:$B$45,$AG28,LED計算式!$T$4:$T$33)</f>
        <v>0</v>
      </c>
      <c r="AJ28" s="395">
        <f ca="1">SUMIF($B$16:$B$45,$AG28,LED計算式!$U$4)</f>
        <v>0</v>
      </c>
      <c r="AK28" s="395">
        <f t="shared" ca="1" si="28"/>
        <v>0</v>
      </c>
      <c r="AL28" s="395">
        <f t="shared" ca="1" si="29"/>
        <v>0</v>
      </c>
      <c r="AM28" s="670">
        <f t="shared" ca="1" si="5"/>
        <v>0</v>
      </c>
      <c r="AN28" s="671">
        <f t="shared" si="19"/>
        <v>0.4</v>
      </c>
      <c r="AO28" s="395">
        <f t="shared" ca="1" si="30"/>
        <v>0</v>
      </c>
      <c r="AP28" s="672">
        <f t="shared" ca="1" si="6"/>
        <v>0</v>
      </c>
      <c r="AQ28" s="672">
        <f t="shared" ca="1" si="7"/>
        <v>0</v>
      </c>
      <c r="AR28" s="395">
        <f t="shared" ca="1" si="31"/>
        <v>0</v>
      </c>
      <c r="AS28" s="395">
        <f t="shared" ca="1" si="8"/>
        <v>0</v>
      </c>
      <c r="AT28" s="395">
        <f t="shared" ca="1" si="9"/>
        <v>0</v>
      </c>
      <c r="AU28" s="673"/>
      <c r="AV28" s="674">
        <f t="shared" ca="1" si="10"/>
        <v>0</v>
      </c>
      <c r="AW28" s="674">
        <f t="shared" ca="1" si="11"/>
        <v>0</v>
      </c>
      <c r="AY28" s="526" t="str">
        <f>IFERROR(VLOOKUP(G28,選定!$C$3:$AG$100,28,FALSE),"0")</f>
        <v>0</v>
      </c>
      <c r="AZ28" s="38">
        <f t="shared" si="21"/>
        <v>0</v>
      </c>
      <c r="BA28" s="38">
        <f t="shared" si="22"/>
        <v>0</v>
      </c>
      <c r="BB28" s="38" t="str">
        <f>IFERROR(VLOOKUP(G28,選定!$C$2:$AG$100,11,FALSE),"0")</f>
        <v>0</v>
      </c>
      <c r="BC28" s="38" t="str">
        <f>IFERROR(VLOOKUP(G28,選定!$C$2:$AG$100,13,FALSE),"")</f>
        <v/>
      </c>
      <c r="BD28" s="38" t="str">
        <f>IFERROR(VLOOKUP(G28,選定!$C$2:$AG$100,16,FALSE),"")</f>
        <v/>
      </c>
      <c r="BE28" s="38" t="str">
        <f>IFERROR(VLOOKUP(G28,選定!$C$2:$AG$100,19,FALSE),"")</f>
        <v/>
      </c>
      <c r="BF28" s="38" t="str">
        <f>IFERROR(VLOOKUP(G28,選定!$C$2:$AG$100,22,FALSE),"")</f>
        <v/>
      </c>
      <c r="BG28" s="527">
        <f t="shared" si="23"/>
        <v>0</v>
      </c>
    </row>
    <row r="29" spans="1:59" ht="13.5" customHeight="1">
      <c r="A29" s="654" t="s">
        <v>233</v>
      </c>
      <c r="B29" s="779" t="str">
        <f t="shared" si="12"/>
        <v/>
      </c>
      <c r="C29" s="284"/>
      <c r="D29" s="284"/>
      <c r="E29" s="285"/>
      <c r="F29" s="285"/>
      <c r="G29" s="442"/>
      <c r="H29" s="775">
        <f t="shared" si="27"/>
        <v>0</v>
      </c>
      <c r="I29" s="776"/>
      <c r="J29" s="776" t="str">
        <f t="shared" si="13"/>
        <v/>
      </c>
      <c r="K29" s="776"/>
      <c r="L29" s="283">
        <f t="shared" si="2"/>
        <v>0</v>
      </c>
      <c r="M29" s="284"/>
      <c r="N29" s="284"/>
      <c r="O29" s="284"/>
      <c r="P29" s="284"/>
      <c r="Q29" s="284"/>
      <c r="R29" s="284"/>
      <c r="S29" s="284"/>
      <c r="T29" s="284"/>
      <c r="U29" s="284"/>
      <c r="V29" s="284"/>
      <c r="W29" s="283">
        <f t="shared" si="14"/>
        <v>0</v>
      </c>
      <c r="X29" s="283">
        <f t="shared" si="15"/>
        <v>30</v>
      </c>
      <c r="Y29" s="286">
        <f t="shared" si="16"/>
        <v>0</v>
      </c>
      <c r="AA29" s="287">
        <f>IFERROR(VLOOKUP($G29,選定!$C$3:$AG$100,5,FALSE),0)</f>
        <v>0</v>
      </c>
      <c r="AB29" s="283">
        <f t="shared" si="3"/>
        <v>0</v>
      </c>
      <c r="AC29" s="286">
        <f t="shared" si="17"/>
        <v>0</v>
      </c>
      <c r="AD29" s="283">
        <f t="shared" si="26"/>
        <v>30</v>
      </c>
      <c r="AE29" s="613">
        <v>3000</v>
      </c>
      <c r="AF29" s="288">
        <v>14</v>
      </c>
      <c r="AG29" s="668"/>
      <c r="AH29" s="669">
        <f t="shared" si="4"/>
        <v>0</v>
      </c>
      <c r="AI29" s="395">
        <f>SUMIF($B$16:$B$45,$AG29,LED計算式!$T$4:$T$33)</f>
        <v>0</v>
      </c>
      <c r="AJ29" s="395">
        <f ca="1">SUMIF($B$16:$B$45,$AG29,LED計算式!$U$4)</f>
        <v>0</v>
      </c>
      <c r="AK29" s="395">
        <f t="shared" ca="1" si="28"/>
        <v>0</v>
      </c>
      <c r="AL29" s="395">
        <f t="shared" ca="1" si="29"/>
        <v>0</v>
      </c>
      <c r="AM29" s="670">
        <f t="shared" ca="1" si="5"/>
        <v>0</v>
      </c>
      <c r="AN29" s="671">
        <f t="shared" si="19"/>
        <v>0.4</v>
      </c>
      <c r="AO29" s="395">
        <f t="shared" ca="1" si="30"/>
        <v>0</v>
      </c>
      <c r="AP29" s="672">
        <f t="shared" ca="1" si="6"/>
        <v>0</v>
      </c>
      <c r="AQ29" s="672">
        <f t="shared" ca="1" si="7"/>
        <v>0</v>
      </c>
      <c r="AR29" s="395">
        <f t="shared" ca="1" si="31"/>
        <v>0</v>
      </c>
      <c r="AS29" s="395">
        <f t="shared" ca="1" si="8"/>
        <v>0</v>
      </c>
      <c r="AT29" s="395">
        <f t="shared" ca="1" si="9"/>
        <v>0</v>
      </c>
      <c r="AU29" s="673"/>
      <c r="AV29" s="674">
        <f t="shared" ca="1" si="10"/>
        <v>0</v>
      </c>
      <c r="AW29" s="674">
        <f t="shared" ca="1" si="11"/>
        <v>0</v>
      </c>
      <c r="AY29" s="526" t="str">
        <f>IFERROR(VLOOKUP(G29,選定!$C$3:$AG$100,28,FALSE),"0")</f>
        <v>0</v>
      </c>
      <c r="AZ29" s="38">
        <f t="shared" si="21"/>
        <v>0</v>
      </c>
      <c r="BA29" s="38">
        <f t="shared" si="22"/>
        <v>0</v>
      </c>
      <c r="BB29" s="38" t="str">
        <f>IFERROR(VLOOKUP(G29,選定!$C$2:$AG$100,11,FALSE),"0")</f>
        <v>0</v>
      </c>
      <c r="BC29" s="38" t="str">
        <f>IFERROR(VLOOKUP(G29,選定!$C$2:$AG$100,13,FALSE),"")</f>
        <v/>
      </c>
      <c r="BD29" s="38" t="str">
        <f>IFERROR(VLOOKUP(G29,選定!$C$2:$AG$100,16,FALSE),"")</f>
        <v/>
      </c>
      <c r="BE29" s="38" t="str">
        <f>IFERROR(VLOOKUP(G29,選定!$C$2:$AG$100,19,FALSE),"")</f>
        <v/>
      </c>
      <c r="BF29" s="38" t="str">
        <f>IFERROR(VLOOKUP(G29,選定!$C$2:$AG$100,22,FALSE),"")</f>
        <v/>
      </c>
      <c r="BG29" s="527">
        <f t="shared" si="23"/>
        <v>0</v>
      </c>
    </row>
    <row r="30" spans="1:59" ht="13.5" customHeight="1">
      <c r="A30" s="654" t="s">
        <v>234</v>
      </c>
      <c r="B30" s="668" t="str">
        <f t="shared" si="12"/>
        <v/>
      </c>
      <c r="C30" s="284"/>
      <c r="D30" s="284"/>
      <c r="E30" s="285"/>
      <c r="F30" s="285"/>
      <c r="G30" s="442"/>
      <c r="H30" s="775">
        <f t="shared" si="27"/>
        <v>0</v>
      </c>
      <c r="I30" s="776"/>
      <c r="J30" s="776" t="str">
        <f t="shared" si="13"/>
        <v/>
      </c>
      <c r="K30" s="776"/>
      <c r="L30" s="283">
        <f t="shared" si="2"/>
        <v>0</v>
      </c>
      <c r="M30" s="284"/>
      <c r="N30" s="284"/>
      <c r="O30" s="284"/>
      <c r="P30" s="284"/>
      <c r="Q30" s="284"/>
      <c r="R30" s="284"/>
      <c r="S30" s="284"/>
      <c r="T30" s="284"/>
      <c r="U30" s="284"/>
      <c r="V30" s="284"/>
      <c r="W30" s="283">
        <f t="shared" si="14"/>
        <v>0</v>
      </c>
      <c r="X30" s="283">
        <f t="shared" si="15"/>
        <v>30</v>
      </c>
      <c r="Y30" s="286">
        <f t="shared" si="16"/>
        <v>0</v>
      </c>
      <c r="AA30" s="287">
        <f>IFERROR(VLOOKUP($G30,選定!$C$3:$AG$100,5,FALSE),0)</f>
        <v>0</v>
      </c>
      <c r="AB30" s="283">
        <f t="shared" si="3"/>
        <v>0</v>
      </c>
      <c r="AC30" s="286">
        <f t="shared" si="17"/>
        <v>0</v>
      </c>
      <c r="AD30" s="283">
        <f t="shared" si="26"/>
        <v>30</v>
      </c>
      <c r="AE30" s="613">
        <v>3000</v>
      </c>
      <c r="AF30" s="288">
        <v>15</v>
      </c>
      <c r="AG30" s="668"/>
      <c r="AH30" s="669">
        <f t="shared" si="4"/>
        <v>0</v>
      </c>
      <c r="AI30" s="395">
        <f>SUMIF($B$16:$B$45,$AG30,LED計算式!$T$4:$T$33)</f>
        <v>0</v>
      </c>
      <c r="AJ30" s="395">
        <f ca="1">SUMIF($B$16:$B$45,$AG30,LED計算式!$U$4)</f>
        <v>0</v>
      </c>
      <c r="AK30" s="395">
        <f t="shared" ca="1" si="28"/>
        <v>0</v>
      </c>
      <c r="AL30" s="395">
        <f t="shared" ca="1" si="29"/>
        <v>0</v>
      </c>
      <c r="AM30" s="670">
        <f t="shared" ca="1" si="5"/>
        <v>0</v>
      </c>
      <c r="AN30" s="671">
        <f>$AN$16</f>
        <v>0.4</v>
      </c>
      <c r="AO30" s="395">
        <f t="shared" ca="1" si="30"/>
        <v>0</v>
      </c>
      <c r="AP30" s="672">
        <f t="shared" ca="1" si="6"/>
        <v>0</v>
      </c>
      <c r="AQ30" s="672">
        <f t="shared" ca="1" si="7"/>
        <v>0</v>
      </c>
      <c r="AR30" s="395">
        <f t="shared" ca="1" si="31"/>
        <v>0</v>
      </c>
      <c r="AS30" s="395">
        <f t="shared" ca="1" si="8"/>
        <v>0</v>
      </c>
      <c r="AT30" s="395">
        <f t="shared" ca="1" si="9"/>
        <v>0</v>
      </c>
      <c r="AU30" s="673"/>
      <c r="AV30" s="674">
        <f t="shared" ca="1" si="10"/>
        <v>0</v>
      </c>
      <c r="AW30" s="674">
        <f t="shared" ca="1" si="11"/>
        <v>0</v>
      </c>
      <c r="AY30" s="526" t="str">
        <f>IFERROR(VLOOKUP(G30,選定!$C$3:$AG$100,28,FALSE),"0")</f>
        <v>0</v>
      </c>
      <c r="AZ30" s="38">
        <f t="shared" si="21"/>
        <v>0</v>
      </c>
      <c r="BA30" s="38">
        <f t="shared" si="22"/>
        <v>0</v>
      </c>
      <c r="BB30" s="38" t="str">
        <f>IFERROR(VLOOKUP(G30,選定!$C$2:$AG$100,11,FALSE),"0")</f>
        <v>0</v>
      </c>
      <c r="BC30" s="38" t="str">
        <f>IFERROR(VLOOKUP(G30,選定!$C$2:$AG$100,13,FALSE),"")</f>
        <v/>
      </c>
      <c r="BD30" s="38" t="str">
        <f>IFERROR(VLOOKUP(G30,選定!$C$2:$AG$100,16,FALSE),"")</f>
        <v/>
      </c>
      <c r="BE30" s="38" t="str">
        <f>IFERROR(VLOOKUP(G30,選定!$C$2:$AG$100,19,FALSE),"")</f>
        <v/>
      </c>
      <c r="BF30" s="38" t="str">
        <f>IFERROR(VLOOKUP(G30,選定!$C$2:$AG$100,22,FALSE),"")</f>
        <v/>
      </c>
      <c r="BG30" s="527">
        <f t="shared" si="23"/>
        <v>0</v>
      </c>
    </row>
    <row r="31" spans="1:59" ht="13.5" customHeight="1">
      <c r="A31" s="654" t="s">
        <v>235</v>
      </c>
      <c r="B31" s="668" t="str">
        <f t="shared" si="12"/>
        <v/>
      </c>
      <c r="C31" s="284"/>
      <c r="D31" s="284"/>
      <c r="E31" s="285"/>
      <c r="F31" s="285"/>
      <c r="G31" s="442"/>
      <c r="H31" s="775">
        <f t="shared" si="27"/>
        <v>0</v>
      </c>
      <c r="I31" s="776"/>
      <c r="J31" s="776" t="str">
        <f t="shared" si="13"/>
        <v/>
      </c>
      <c r="K31" s="776"/>
      <c r="L31" s="283">
        <f t="shared" si="2"/>
        <v>0</v>
      </c>
      <c r="M31" s="284"/>
      <c r="N31" s="284"/>
      <c r="O31" s="284"/>
      <c r="P31" s="284"/>
      <c r="Q31" s="284"/>
      <c r="R31" s="284"/>
      <c r="S31" s="284"/>
      <c r="T31" s="284"/>
      <c r="U31" s="284"/>
      <c r="V31" s="284"/>
      <c r="W31" s="283">
        <f t="shared" si="14"/>
        <v>0</v>
      </c>
      <c r="X31" s="283">
        <f t="shared" si="15"/>
        <v>30</v>
      </c>
      <c r="Y31" s="293">
        <f t="shared" si="16"/>
        <v>0</v>
      </c>
      <c r="AA31" s="287">
        <f>IFERROR(VLOOKUP($G31,選定!$C$3:$AG$100,5,FALSE),0)</f>
        <v>0</v>
      </c>
      <c r="AB31" s="283">
        <f t="shared" si="3"/>
        <v>0</v>
      </c>
      <c r="AC31" s="293">
        <f t="shared" si="17"/>
        <v>0</v>
      </c>
      <c r="AD31" s="283">
        <f t="shared" si="26"/>
        <v>30</v>
      </c>
      <c r="AE31" s="613">
        <v>3000</v>
      </c>
      <c r="AF31" s="289">
        <v>16</v>
      </c>
      <c r="AG31" s="668"/>
      <c r="AH31" s="669">
        <f t="shared" si="4"/>
        <v>0</v>
      </c>
      <c r="AI31" s="395">
        <f>SUMIF($B$16:$B$45,$AG31,LED計算式!$T$4:$T$33)</f>
        <v>0</v>
      </c>
      <c r="AJ31" s="395">
        <f ca="1">SUMIF($B$16:$B$45,$AG31,LED計算式!$U$4)</f>
        <v>0</v>
      </c>
      <c r="AK31" s="395">
        <f t="shared" ca="1" si="28"/>
        <v>0</v>
      </c>
      <c r="AL31" s="395">
        <f t="shared" ca="1" si="29"/>
        <v>0</v>
      </c>
      <c r="AM31" s="670">
        <f t="shared" ca="1" si="5"/>
        <v>0</v>
      </c>
      <c r="AN31" s="671">
        <f t="shared" ref="AN31:AN40" si="32">$AN$16</f>
        <v>0.4</v>
      </c>
      <c r="AO31" s="395">
        <f t="shared" ca="1" si="30"/>
        <v>0</v>
      </c>
      <c r="AP31" s="672">
        <f t="shared" ca="1" si="6"/>
        <v>0</v>
      </c>
      <c r="AQ31" s="672">
        <f t="shared" ca="1" si="7"/>
        <v>0</v>
      </c>
      <c r="AR31" s="395">
        <f t="shared" ca="1" si="31"/>
        <v>0</v>
      </c>
      <c r="AS31" s="395">
        <f t="shared" ca="1" si="8"/>
        <v>0</v>
      </c>
      <c r="AT31" s="395">
        <f t="shared" ca="1" si="9"/>
        <v>0</v>
      </c>
      <c r="AU31" s="673"/>
      <c r="AV31" s="674">
        <f t="shared" ca="1" si="10"/>
        <v>0</v>
      </c>
      <c r="AW31" s="674">
        <f t="shared" ca="1" si="11"/>
        <v>0</v>
      </c>
      <c r="AY31" s="526" t="str">
        <f>IFERROR(VLOOKUP(G31,選定!$C$3:$AG$100,28,FALSE),"0")</f>
        <v>0</v>
      </c>
      <c r="AZ31" s="38">
        <f t="shared" si="21"/>
        <v>0</v>
      </c>
      <c r="BA31" s="38">
        <f t="shared" si="22"/>
        <v>0</v>
      </c>
      <c r="BB31" s="38" t="str">
        <f>IFERROR(VLOOKUP(G31,選定!$C$2:$AG$100,11,FALSE),"0")</f>
        <v>0</v>
      </c>
      <c r="BC31" s="38" t="str">
        <f>IFERROR(VLOOKUP(G31,選定!$C$2:$AG$100,13,FALSE),"")</f>
        <v/>
      </c>
      <c r="BD31" s="38" t="str">
        <f>IFERROR(VLOOKUP(G31,選定!$C$2:$AG$100,16,FALSE),"")</f>
        <v/>
      </c>
      <c r="BE31" s="38" t="str">
        <f>IFERROR(VLOOKUP(G31,選定!$C$2:$AG$100,19,FALSE),"")</f>
        <v/>
      </c>
      <c r="BF31" s="38" t="str">
        <f>IFERROR(VLOOKUP(G31,選定!$C$2:$AG$100,22,FALSE),"")</f>
        <v/>
      </c>
      <c r="BG31" s="527">
        <f t="shared" si="23"/>
        <v>0</v>
      </c>
    </row>
    <row r="32" spans="1:59" ht="13.5" customHeight="1">
      <c r="A32" s="654" t="s">
        <v>236</v>
      </c>
      <c r="B32" s="779" t="str">
        <f t="shared" si="12"/>
        <v/>
      </c>
      <c r="C32" s="284"/>
      <c r="D32" s="284"/>
      <c r="E32" s="285"/>
      <c r="F32" s="285"/>
      <c r="G32" s="442"/>
      <c r="H32" s="775">
        <f t="shared" si="27"/>
        <v>0</v>
      </c>
      <c r="I32" s="776"/>
      <c r="J32" s="776" t="str">
        <f t="shared" si="13"/>
        <v/>
      </c>
      <c r="K32" s="776"/>
      <c r="L32" s="283">
        <f t="shared" si="2"/>
        <v>0</v>
      </c>
      <c r="M32" s="284"/>
      <c r="N32" s="284"/>
      <c r="O32" s="284"/>
      <c r="P32" s="284"/>
      <c r="Q32" s="284"/>
      <c r="R32" s="284"/>
      <c r="S32" s="284"/>
      <c r="T32" s="284"/>
      <c r="U32" s="284"/>
      <c r="V32" s="284"/>
      <c r="W32" s="283">
        <f t="shared" si="14"/>
        <v>0</v>
      </c>
      <c r="X32" s="283">
        <f t="shared" si="15"/>
        <v>30</v>
      </c>
      <c r="Y32" s="293">
        <f t="shared" si="16"/>
        <v>0</v>
      </c>
      <c r="AA32" s="287">
        <f>IFERROR(VLOOKUP($G32,選定!$C$3:$AG$100,5,FALSE),0)</f>
        <v>0</v>
      </c>
      <c r="AB32" s="283">
        <f t="shared" si="3"/>
        <v>0</v>
      </c>
      <c r="AC32" s="293">
        <f t="shared" si="17"/>
        <v>0</v>
      </c>
      <c r="AD32" s="283">
        <f t="shared" si="26"/>
        <v>30</v>
      </c>
      <c r="AE32" s="613">
        <v>3000</v>
      </c>
      <c r="AF32" s="289">
        <v>17</v>
      </c>
      <c r="AG32" s="668"/>
      <c r="AH32" s="669">
        <f t="shared" si="4"/>
        <v>0</v>
      </c>
      <c r="AI32" s="395">
        <f>SUMIF($B$16:$B$45,$AG32,LED計算式!$T$4:$T$33)</f>
        <v>0</v>
      </c>
      <c r="AJ32" s="395">
        <f ca="1">SUMIF($B$16:$B$45,$AG32,LED計算式!$U$4)</f>
        <v>0</v>
      </c>
      <c r="AK32" s="395">
        <f t="shared" ca="1" si="28"/>
        <v>0</v>
      </c>
      <c r="AL32" s="395">
        <f t="shared" ca="1" si="29"/>
        <v>0</v>
      </c>
      <c r="AM32" s="670">
        <f t="shared" ca="1" si="5"/>
        <v>0</v>
      </c>
      <c r="AN32" s="671">
        <f t="shared" si="32"/>
        <v>0.4</v>
      </c>
      <c r="AO32" s="395">
        <f t="shared" ca="1" si="30"/>
        <v>0</v>
      </c>
      <c r="AP32" s="672">
        <f t="shared" ca="1" si="6"/>
        <v>0</v>
      </c>
      <c r="AQ32" s="672">
        <f t="shared" ca="1" si="7"/>
        <v>0</v>
      </c>
      <c r="AR32" s="395">
        <f t="shared" ca="1" si="31"/>
        <v>0</v>
      </c>
      <c r="AS32" s="395">
        <f t="shared" ca="1" si="8"/>
        <v>0</v>
      </c>
      <c r="AT32" s="395">
        <f t="shared" ca="1" si="9"/>
        <v>0</v>
      </c>
      <c r="AU32" s="673"/>
      <c r="AV32" s="674">
        <f t="shared" ca="1" si="10"/>
        <v>0</v>
      </c>
      <c r="AW32" s="674">
        <f t="shared" ca="1" si="11"/>
        <v>0</v>
      </c>
      <c r="AY32" s="526" t="str">
        <f>IFERROR(VLOOKUP(G32,選定!$C$3:$AG$100,28,FALSE),"0")</f>
        <v>0</v>
      </c>
      <c r="AZ32" s="38">
        <f t="shared" si="21"/>
        <v>0</v>
      </c>
      <c r="BA32" s="38">
        <f t="shared" si="22"/>
        <v>0</v>
      </c>
      <c r="BB32" s="38" t="str">
        <f>IFERROR(VLOOKUP(G32,選定!$C$2:$AG$100,11,FALSE),"0")</f>
        <v>0</v>
      </c>
      <c r="BC32" s="38" t="str">
        <f>IFERROR(VLOOKUP(G32,選定!$C$2:$AG$100,13,FALSE),"")</f>
        <v/>
      </c>
      <c r="BD32" s="38" t="str">
        <f>IFERROR(VLOOKUP(G32,選定!$C$2:$AG$100,16,FALSE),"")</f>
        <v/>
      </c>
      <c r="BE32" s="38" t="str">
        <f>IFERROR(VLOOKUP(G32,選定!$C$2:$AG$100,19,FALSE),"")</f>
        <v/>
      </c>
      <c r="BF32" s="38" t="str">
        <f>IFERROR(VLOOKUP(G32,選定!$C$2:$AG$100,22,FALSE),"")</f>
        <v/>
      </c>
      <c r="BG32" s="527">
        <f t="shared" si="23"/>
        <v>0</v>
      </c>
    </row>
    <row r="33" spans="1:59" ht="13.5" customHeight="1">
      <c r="A33" s="654" t="s">
        <v>237</v>
      </c>
      <c r="B33" s="668" t="str">
        <f t="shared" si="12"/>
        <v/>
      </c>
      <c r="C33" s="284"/>
      <c r="D33" s="284"/>
      <c r="E33" s="285"/>
      <c r="F33" s="285"/>
      <c r="G33" s="442"/>
      <c r="H33" s="775">
        <f t="shared" ref="H33:H45" si="33">PRODUCT(I33,J33)</f>
        <v>0</v>
      </c>
      <c r="I33" s="776"/>
      <c r="J33" s="776" t="str">
        <f t="shared" si="13"/>
        <v/>
      </c>
      <c r="K33" s="776"/>
      <c r="L33" s="283">
        <f t="shared" ref="L33:L45" si="34">SUM(M33:V33)</f>
        <v>0</v>
      </c>
      <c r="M33" s="284"/>
      <c r="N33" s="284"/>
      <c r="O33" s="284"/>
      <c r="P33" s="284"/>
      <c r="Q33" s="284"/>
      <c r="R33" s="284"/>
      <c r="S33" s="284"/>
      <c r="T33" s="284"/>
      <c r="U33" s="284"/>
      <c r="V33" s="284"/>
      <c r="W33" s="283">
        <f t="shared" ref="W33:W45" si="35">($L33*$K33*$H33)/1000</f>
        <v>0</v>
      </c>
      <c r="X33" s="283">
        <f t="shared" si="15"/>
        <v>30</v>
      </c>
      <c r="Y33" s="293">
        <f t="shared" si="16"/>
        <v>0</v>
      </c>
      <c r="AA33" s="287">
        <f>IFERROR(VLOOKUP($G33,選定!$C$3:$AG$100,5,FALSE),0)</f>
        <v>0</v>
      </c>
      <c r="AB33" s="283">
        <f t="shared" si="3"/>
        <v>0</v>
      </c>
      <c r="AC33" s="293">
        <f t="shared" si="17"/>
        <v>0</v>
      </c>
      <c r="AD33" s="283">
        <f t="shared" si="26"/>
        <v>30</v>
      </c>
      <c r="AE33" s="613">
        <v>3000</v>
      </c>
      <c r="AF33" s="289">
        <v>18</v>
      </c>
      <c r="AG33" s="668"/>
      <c r="AH33" s="669">
        <f t="shared" si="4"/>
        <v>0</v>
      </c>
      <c r="AI33" s="395">
        <f>SUMIF($B$16:$B$45,$AG33,LED計算式!$T$4:$T$33)</f>
        <v>0</v>
      </c>
      <c r="AJ33" s="395">
        <f ca="1">SUMIF($B$16:$B$45,$AG33,LED計算式!$U$4)</f>
        <v>0</v>
      </c>
      <c r="AK33" s="395">
        <f t="shared" ca="1" si="28"/>
        <v>0</v>
      </c>
      <c r="AL33" s="395">
        <f t="shared" ca="1" si="29"/>
        <v>0</v>
      </c>
      <c r="AM33" s="670">
        <f t="shared" ca="1" si="5"/>
        <v>0</v>
      </c>
      <c r="AN33" s="671">
        <f t="shared" si="32"/>
        <v>0.4</v>
      </c>
      <c r="AO33" s="395">
        <f t="shared" ca="1" si="30"/>
        <v>0</v>
      </c>
      <c r="AP33" s="672">
        <f t="shared" ca="1" si="6"/>
        <v>0</v>
      </c>
      <c r="AQ33" s="672">
        <f t="shared" ca="1" si="7"/>
        <v>0</v>
      </c>
      <c r="AR33" s="395">
        <f t="shared" ca="1" si="31"/>
        <v>0</v>
      </c>
      <c r="AS33" s="395">
        <f t="shared" ca="1" si="8"/>
        <v>0</v>
      </c>
      <c r="AT33" s="395">
        <f t="shared" ca="1" si="9"/>
        <v>0</v>
      </c>
      <c r="AU33" s="673"/>
      <c r="AV33" s="674">
        <f t="shared" ca="1" si="10"/>
        <v>0</v>
      </c>
      <c r="AW33" s="674">
        <f t="shared" ca="1" si="11"/>
        <v>0</v>
      </c>
      <c r="AY33" s="526" t="str">
        <f>IFERROR(VLOOKUP(G33,選定!$C$3:$AG$100,28,FALSE),"0")</f>
        <v>0</v>
      </c>
      <c r="AZ33" s="38">
        <f t="shared" si="21"/>
        <v>0</v>
      </c>
      <c r="BA33" s="38">
        <f t="shared" si="22"/>
        <v>0</v>
      </c>
      <c r="BB33" s="38" t="str">
        <f>IFERROR(VLOOKUP(G33,選定!$C$2:$AG$100,11,FALSE),"0")</f>
        <v>0</v>
      </c>
      <c r="BC33" s="38" t="str">
        <f>IFERROR(VLOOKUP(G33,選定!$C$2:$AG$100,13,FALSE),"")</f>
        <v/>
      </c>
      <c r="BD33" s="38" t="str">
        <f>IFERROR(VLOOKUP(G33,選定!$C$2:$AG$100,16,FALSE),"")</f>
        <v/>
      </c>
      <c r="BE33" s="38" t="str">
        <f>IFERROR(VLOOKUP(G33,選定!$C$2:$AG$100,19,FALSE),"")</f>
        <v/>
      </c>
      <c r="BF33" s="38" t="str">
        <f>IFERROR(VLOOKUP(G33,選定!$C$2:$AG$100,22,FALSE),"")</f>
        <v/>
      </c>
      <c r="BG33" s="527">
        <f t="shared" si="23"/>
        <v>0</v>
      </c>
    </row>
    <row r="34" spans="1:59" ht="13.5" customHeight="1">
      <c r="A34" s="654" t="s">
        <v>238</v>
      </c>
      <c r="B34" s="668" t="str">
        <f t="shared" si="12"/>
        <v/>
      </c>
      <c r="C34" s="284"/>
      <c r="D34" s="284"/>
      <c r="E34" s="285"/>
      <c r="F34" s="285"/>
      <c r="G34" s="442"/>
      <c r="H34" s="775">
        <f t="shared" si="33"/>
        <v>0</v>
      </c>
      <c r="I34" s="776"/>
      <c r="J34" s="776" t="str">
        <f t="shared" si="13"/>
        <v/>
      </c>
      <c r="K34" s="776"/>
      <c r="L34" s="283">
        <f t="shared" si="34"/>
        <v>0</v>
      </c>
      <c r="M34" s="284"/>
      <c r="N34" s="284"/>
      <c r="O34" s="284"/>
      <c r="P34" s="284"/>
      <c r="Q34" s="284"/>
      <c r="R34" s="284"/>
      <c r="S34" s="284"/>
      <c r="T34" s="284"/>
      <c r="U34" s="284"/>
      <c r="V34" s="284"/>
      <c r="W34" s="283">
        <f t="shared" si="35"/>
        <v>0</v>
      </c>
      <c r="X34" s="283">
        <f t="shared" si="15"/>
        <v>30</v>
      </c>
      <c r="Y34" s="293">
        <f t="shared" si="16"/>
        <v>0</v>
      </c>
      <c r="AA34" s="287">
        <f>IFERROR(VLOOKUP($G34,選定!$C$3:$AG$100,5,FALSE),0)</f>
        <v>0</v>
      </c>
      <c r="AB34" s="283">
        <f t="shared" si="3"/>
        <v>0</v>
      </c>
      <c r="AC34" s="293">
        <f t="shared" si="17"/>
        <v>0</v>
      </c>
      <c r="AD34" s="283">
        <f t="shared" si="26"/>
        <v>30</v>
      </c>
      <c r="AE34" s="613">
        <v>3000</v>
      </c>
      <c r="AF34" s="289">
        <v>19</v>
      </c>
      <c r="AG34" s="668"/>
      <c r="AH34" s="669">
        <f t="shared" si="4"/>
        <v>0</v>
      </c>
      <c r="AI34" s="395">
        <f>SUMIF($B$16:$B$45,$AG34,LED計算式!$T$4:$T$33)</f>
        <v>0</v>
      </c>
      <c r="AJ34" s="395">
        <f ca="1">SUMIF($B$16:$B$45,$AG34,LED計算式!$U$4)</f>
        <v>0</v>
      </c>
      <c r="AK34" s="395">
        <f t="shared" ca="1" si="28"/>
        <v>0</v>
      </c>
      <c r="AL34" s="395">
        <f t="shared" ca="1" si="29"/>
        <v>0</v>
      </c>
      <c r="AM34" s="670">
        <f t="shared" ca="1" si="5"/>
        <v>0</v>
      </c>
      <c r="AN34" s="671">
        <f t="shared" si="32"/>
        <v>0.4</v>
      </c>
      <c r="AO34" s="395">
        <f t="shared" ca="1" si="30"/>
        <v>0</v>
      </c>
      <c r="AP34" s="672">
        <f t="shared" ca="1" si="6"/>
        <v>0</v>
      </c>
      <c r="AQ34" s="672">
        <f t="shared" ca="1" si="7"/>
        <v>0</v>
      </c>
      <c r="AR34" s="395">
        <f t="shared" ca="1" si="31"/>
        <v>0</v>
      </c>
      <c r="AS34" s="395">
        <f t="shared" ca="1" si="8"/>
        <v>0</v>
      </c>
      <c r="AT34" s="395">
        <f t="shared" ca="1" si="9"/>
        <v>0</v>
      </c>
      <c r="AU34" s="673"/>
      <c r="AV34" s="674">
        <f t="shared" ca="1" si="10"/>
        <v>0</v>
      </c>
      <c r="AW34" s="674">
        <f t="shared" ca="1" si="11"/>
        <v>0</v>
      </c>
      <c r="AY34" s="526" t="str">
        <f>IFERROR(VLOOKUP(G34,選定!$C$3:$AG$100,28,FALSE),"0")</f>
        <v>0</v>
      </c>
      <c r="AZ34" s="38">
        <f t="shared" si="21"/>
        <v>0</v>
      </c>
      <c r="BA34" s="38">
        <f t="shared" si="22"/>
        <v>0</v>
      </c>
      <c r="BB34" s="38" t="str">
        <f>IFERROR(VLOOKUP(G34,選定!$C$2:$AG$100,11,FALSE),"0")</f>
        <v>0</v>
      </c>
      <c r="BC34" s="38" t="str">
        <f>IFERROR(VLOOKUP(G34,選定!$C$2:$AG$100,13,FALSE),"")</f>
        <v/>
      </c>
      <c r="BD34" s="38" t="str">
        <f>IFERROR(VLOOKUP(G34,選定!$C$2:$AG$100,16,FALSE),"")</f>
        <v/>
      </c>
      <c r="BE34" s="38" t="str">
        <f>IFERROR(VLOOKUP(G34,選定!$C$2:$AG$100,19,FALSE),"")</f>
        <v/>
      </c>
      <c r="BF34" s="38" t="str">
        <f>IFERROR(VLOOKUP(G34,選定!$C$2:$AG$100,22,FALSE),"")</f>
        <v/>
      </c>
      <c r="BG34" s="527">
        <f t="shared" si="23"/>
        <v>0</v>
      </c>
    </row>
    <row r="35" spans="1:59" ht="13.5" customHeight="1">
      <c r="A35" s="654" t="s">
        <v>239</v>
      </c>
      <c r="B35" s="668" t="str">
        <f t="shared" si="12"/>
        <v/>
      </c>
      <c r="C35" s="284"/>
      <c r="D35" s="284"/>
      <c r="E35" s="285"/>
      <c r="F35" s="285"/>
      <c r="G35" s="442"/>
      <c r="H35" s="775">
        <f t="shared" si="33"/>
        <v>0</v>
      </c>
      <c r="I35" s="776"/>
      <c r="J35" s="776" t="str">
        <f t="shared" si="13"/>
        <v/>
      </c>
      <c r="K35" s="776"/>
      <c r="L35" s="283">
        <f t="shared" si="34"/>
        <v>0</v>
      </c>
      <c r="M35" s="284"/>
      <c r="N35" s="284"/>
      <c r="O35" s="284"/>
      <c r="P35" s="284"/>
      <c r="Q35" s="284"/>
      <c r="R35" s="284"/>
      <c r="S35" s="284"/>
      <c r="T35" s="284"/>
      <c r="U35" s="284"/>
      <c r="V35" s="284"/>
      <c r="W35" s="283">
        <f t="shared" si="35"/>
        <v>0</v>
      </c>
      <c r="X35" s="283">
        <f t="shared" si="15"/>
        <v>30</v>
      </c>
      <c r="Y35" s="293">
        <f t="shared" si="16"/>
        <v>0</v>
      </c>
      <c r="AA35" s="287">
        <f>IFERROR(VLOOKUP($G35,選定!$C$3:$AG$100,5,FALSE),0)</f>
        <v>0</v>
      </c>
      <c r="AB35" s="283">
        <f t="shared" si="3"/>
        <v>0</v>
      </c>
      <c r="AC35" s="293">
        <f t="shared" si="17"/>
        <v>0</v>
      </c>
      <c r="AD35" s="283">
        <f t="shared" si="26"/>
        <v>30</v>
      </c>
      <c r="AE35" s="613">
        <v>3000</v>
      </c>
      <c r="AF35" s="289">
        <v>20</v>
      </c>
      <c r="AG35" s="668"/>
      <c r="AH35" s="669">
        <f t="shared" si="4"/>
        <v>0</v>
      </c>
      <c r="AI35" s="395">
        <f>SUMIF($B$16:$B$45,$AG35,LED計算式!$T$4:$T$33)</f>
        <v>0</v>
      </c>
      <c r="AJ35" s="395">
        <f ca="1">SUMIF($B$16:$B$45,$AG35,LED計算式!$U$4)</f>
        <v>0</v>
      </c>
      <c r="AK35" s="395">
        <f t="shared" ca="1" si="28"/>
        <v>0</v>
      </c>
      <c r="AL35" s="395">
        <f t="shared" ca="1" si="29"/>
        <v>0</v>
      </c>
      <c r="AM35" s="670">
        <f t="shared" ca="1" si="5"/>
        <v>0</v>
      </c>
      <c r="AN35" s="671">
        <f t="shared" si="32"/>
        <v>0.4</v>
      </c>
      <c r="AO35" s="395">
        <f t="shared" ca="1" si="30"/>
        <v>0</v>
      </c>
      <c r="AP35" s="672">
        <f t="shared" ca="1" si="6"/>
        <v>0</v>
      </c>
      <c r="AQ35" s="672">
        <f t="shared" ca="1" si="7"/>
        <v>0</v>
      </c>
      <c r="AR35" s="395">
        <f t="shared" ca="1" si="31"/>
        <v>0</v>
      </c>
      <c r="AS35" s="395">
        <f t="shared" ca="1" si="8"/>
        <v>0</v>
      </c>
      <c r="AT35" s="395">
        <f t="shared" ca="1" si="9"/>
        <v>0</v>
      </c>
      <c r="AU35" s="673"/>
      <c r="AV35" s="674">
        <f t="shared" ca="1" si="10"/>
        <v>0</v>
      </c>
      <c r="AW35" s="674">
        <f t="shared" ca="1" si="11"/>
        <v>0</v>
      </c>
      <c r="AY35" s="526" t="str">
        <f>IFERROR(VLOOKUP(G35,選定!$C$3:$AG$100,28,FALSE),"0")</f>
        <v>0</v>
      </c>
      <c r="AZ35" s="38">
        <f t="shared" si="21"/>
        <v>0</v>
      </c>
      <c r="BA35" s="38">
        <f t="shared" si="22"/>
        <v>0</v>
      </c>
      <c r="BB35" s="38" t="str">
        <f>IFERROR(VLOOKUP(G35,選定!$C$2:$AG$100,11,FALSE),"0")</f>
        <v>0</v>
      </c>
      <c r="BC35" s="38" t="str">
        <f>IFERROR(VLOOKUP(G35,選定!$C$2:$AG$100,13,FALSE),"")</f>
        <v/>
      </c>
      <c r="BD35" s="38" t="str">
        <f>IFERROR(VLOOKUP(G35,選定!$C$2:$AG$100,16,FALSE),"")</f>
        <v/>
      </c>
      <c r="BE35" s="38" t="str">
        <f>IFERROR(VLOOKUP(G35,選定!$C$2:$AG$100,19,FALSE),"")</f>
        <v/>
      </c>
      <c r="BF35" s="38" t="str">
        <f>IFERROR(VLOOKUP(G35,選定!$C$2:$AG$100,22,FALSE),"")</f>
        <v/>
      </c>
      <c r="BG35" s="527">
        <f t="shared" si="23"/>
        <v>0</v>
      </c>
    </row>
    <row r="36" spans="1:59" ht="13.5" customHeight="1">
      <c r="A36" s="654" t="s">
        <v>240</v>
      </c>
      <c r="B36" s="668" t="str">
        <f t="shared" si="12"/>
        <v/>
      </c>
      <c r="C36" s="284"/>
      <c r="D36" s="284"/>
      <c r="E36" s="285"/>
      <c r="F36" s="285"/>
      <c r="G36" s="442"/>
      <c r="H36" s="775">
        <f t="shared" si="33"/>
        <v>0</v>
      </c>
      <c r="I36" s="776"/>
      <c r="J36" s="776" t="str">
        <f t="shared" si="13"/>
        <v/>
      </c>
      <c r="K36" s="776"/>
      <c r="L36" s="283">
        <f t="shared" si="34"/>
        <v>0</v>
      </c>
      <c r="M36" s="284"/>
      <c r="N36" s="284"/>
      <c r="O36" s="284"/>
      <c r="P36" s="284"/>
      <c r="Q36" s="284"/>
      <c r="R36" s="284"/>
      <c r="S36" s="284"/>
      <c r="T36" s="284"/>
      <c r="U36" s="284"/>
      <c r="V36" s="284"/>
      <c r="W36" s="283">
        <f t="shared" si="35"/>
        <v>0</v>
      </c>
      <c r="X36" s="283">
        <f t="shared" si="15"/>
        <v>30</v>
      </c>
      <c r="Y36" s="293">
        <f t="shared" si="16"/>
        <v>0</v>
      </c>
      <c r="AA36" s="287">
        <f>IFERROR(VLOOKUP($G36,選定!$C$3:$AG$100,5,FALSE),0)</f>
        <v>0</v>
      </c>
      <c r="AB36" s="283">
        <f t="shared" si="3"/>
        <v>0</v>
      </c>
      <c r="AC36" s="293">
        <f t="shared" si="17"/>
        <v>0</v>
      </c>
      <c r="AD36" s="283">
        <f t="shared" si="26"/>
        <v>30</v>
      </c>
      <c r="AE36" s="613">
        <v>3000</v>
      </c>
      <c r="AF36" s="289">
        <v>21</v>
      </c>
      <c r="AG36" s="668"/>
      <c r="AH36" s="669">
        <f t="shared" si="4"/>
        <v>0</v>
      </c>
      <c r="AI36" s="395">
        <f>SUMIF($B$16:$B$45,$AG36,LED計算式!$T$4:$T$33)</f>
        <v>0</v>
      </c>
      <c r="AJ36" s="395">
        <f ca="1">SUMIF($B$16:$B$45,$AG36,LED計算式!$U$4)</f>
        <v>0</v>
      </c>
      <c r="AK36" s="395">
        <f t="shared" ca="1" si="28"/>
        <v>0</v>
      </c>
      <c r="AL36" s="395">
        <f t="shared" ca="1" si="29"/>
        <v>0</v>
      </c>
      <c r="AM36" s="670">
        <f t="shared" ca="1" si="5"/>
        <v>0</v>
      </c>
      <c r="AN36" s="671">
        <f t="shared" si="32"/>
        <v>0.4</v>
      </c>
      <c r="AO36" s="395">
        <f t="shared" ca="1" si="30"/>
        <v>0</v>
      </c>
      <c r="AP36" s="672">
        <f t="shared" ca="1" si="6"/>
        <v>0</v>
      </c>
      <c r="AQ36" s="672">
        <f t="shared" ca="1" si="7"/>
        <v>0</v>
      </c>
      <c r="AR36" s="395">
        <f t="shared" ca="1" si="31"/>
        <v>0</v>
      </c>
      <c r="AS36" s="395">
        <f t="shared" ca="1" si="8"/>
        <v>0</v>
      </c>
      <c r="AT36" s="395">
        <f t="shared" ca="1" si="9"/>
        <v>0</v>
      </c>
      <c r="AU36" s="673"/>
      <c r="AV36" s="674">
        <f t="shared" ca="1" si="10"/>
        <v>0</v>
      </c>
      <c r="AW36" s="674">
        <f t="shared" ca="1" si="11"/>
        <v>0</v>
      </c>
      <c r="AY36" s="526" t="str">
        <f>IFERROR(VLOOKUP(G36,選定!$C$3:$AG$100,28,FALSE),"0")</f>
        <v>0</v>
      </c>
      <c r="AZ36" s="38">
        <f t="shared" si="21"/>
        <v>0</v>
      </c>
      <c r="BA36" s="38">
        <f t="shared" si="22"/>
        <v>0</v>
      </c>
      <c r="BB36" s="38" t="str">
        <f>IFERROR(VLOOKUP(G36,選定!$C$2:$AG$100,11,FALSE),"0")</f>
        <v>0</v>
      </c>
      <c r="BC36" s="38" t="str">
        <f>IFERROR(VLOOKUP(G36,選定!$C$2:$AG$100,13,FALSE),"")</f>
        <v/>
      </c>
      <c r="BD36" s="38" t="str">
        <f>IFERROR(VLOOKUP(G36,選定!$C$2:$AG$100,16,FALSE),"")</f>
        <v/>
      </c>
      <c r="BE36" s="38" t="str">
        <f>IFERROR(VLOOKUP(G36,選定!$C$2:$AG$100,19,FALSE),"")</f>
        <v/>
      </c>
      <c r="BF36" s="38" t="str">
        <f>IFERROR(VLOOKUP(G36,選定!$C$2:$AG$100,22,FALSE),"")</f>
        <v/>
      </c>
      <c r="BG36" s="527">
        <f t="shared" si="23"/>
        <v>0</v>
      </c>
    </row>
    <row r="37" spans="1:59" ht="13.5" customHeight="1">
      <c r="A37" s="654" t="s">
        <v>241</v>
      </c>
      <c r="B37" s="668" t="str">
        <f t="shared" si="12"/>
        <v/>
      </c>
      <c r="C37" s="284"/>
      <c r="D37" s="284"/>
      <c r="E37" s="285"/>
      <c r="F37" s="285"/>
      <c r="G37" s="442"/>
      <c r="H37" s="775">
        <f t="shared" si="33"/>
        <v>0</v>
      </c>
      <c r="I37" s="776"/>
      <c r="J37" s="776" t="str">
        <f t="shared" si="13"/>
        <v/>
      </c>
      <c r="K37" s="776"/>
      <c r="L37" s="283">
        <f t="shared" si="34"/>
        <v>0</v>
      </c>
      <c r="M37" s="284"/>
      <c r="N37" s="284"/>
      <c r="O37" s="284"/>
      <c r="P37" s="284"/>
      <c r="Q37" s="284"/>
      <c r="R37" s="284"/>
      <c r="S37" s="284"/>
      <c r="T37" s="284"/>
      <c r="U37" s="284"/>
      <c r="V37" s="284"/>
      <c r="W37" s="283">
        <f t="shared" si="35"/>
        <v>0</v>
      </c>
      <c r="X37" s="283">
        <f t="shared" ref="X37:X45" si="36">$X$16</f>
        <v>30</v>
      </c>
      <c r="Y37" s="293">
        <f>ROUNDDOWN($W37*$X37,0)</f>
        <v>0</v>
      </c>
      <c r="AA37" s="287">
        <f>IFERROR(VLOOKUP($G37,選定!$C$3:$AG$100,5,FALSE),0)</f>
        <v>0</v>
      </c>
      <c r="AB37" s="283">
        <f t="shared" si="3"/>
        <v>0</v>
      </c>
      <c r="AC37" s="293">
        <f t="shared" si="17"/>
        <v>0</v>
      </c>
      <c r="AD37" s="283">
        <f t="shared" si="26"/>
        <v>30</v>
      </c>
      <c r="AE37" s="613">
        <v>3000</v>
      </c>
      <c r="AF37" s="289">
        <v>22</v>
      </c>
      <c r="AG37" s="668"/>
      <c r="AH37" s="669">
        <f t="shared" si="4"/>
        <v>0</v>
      </c>
      <c r="AI37" s="395">
        <f>SUMIF($B$16:$B$45,$AG37,LED計算式!$T$4:$T$33)</f>
        <v>0</v>
      </c>
      <c r="AJ37" s="395">
        <f ca="1">SUMIF($B$16:$B$45,$AG37,LED計算式!$U$4)</f>
        <v>0</v>
      </c>
      <c r="AK37" s="395">
        <f t="shared" ca="1" si="28"/>
        <v>0</v>
      </c>
      <c r="AL37" s="395">
        <f t="shared" ca="1" si="29"/>
        <v>0</v>
      </c>
      <c r="AM37" s="670">
        <f t="shared" ca="1" si="5"/>
        <v>0</v>
      </c>
      <c r="AN37" s="671">
        <f>$AN$16</f>
        <v>0.4</v>
      </c>
      <c r="AO37" s="395">
        <f t="shared" ca="1" si="30"/>
        <v>0</v>
      </c>
      <c r="AP37" s="672">
        <f t="shared" ca="1" si="6"/>
        <v>0</v>
      </c>
      <c r="AQ37" s="672">
        <f t="shared" ca="1" si="7"/>
        <v>0</v>
      </c>
      <c r="AR37" s="395">
        <f t="shared" ca="1" si="31"/>
        <v>0</v>
      </c>
      <c r="AS37" s="395">
        <f t="shared" ca="1" si="8"/>
        <v>0</v>
      </c>
      <c r="AT37" s="395">
        <f t="shared" ca="1" si="9"/>
        <v>0</v>
      </c>
      <c r="AU37" s="673"/>
      <c r="AV37" s="674">
        <f t="shared" ca="1" si="10"/>
        <v>0</v>
      </c>
      <c r="AW37" s="674">
        <f t="shared" ca="1" si="11"/>
        <v>0</v>
      </c>
      <c r="AY37" s="526" t="str">
        <f>IFERROR(VLOOKUP(G37,選定!$C$3:$AG$100,28,FALSE),"0")</f>
        <v>0</v>
      </c>
      <c r="AZ37" s="38">
        <f t="shared" si="21"/>
        <v>0</v>
      </c>
      <c r="BA37" s="38">
        <f t="shared" si="22"/>
        <v>0</v>
      </c>
      <c r="BB37" s="38" t="str">
        <f>IFERROR(VLOOKUP(G37,選定!$C$2:$AG$100,11,FALSE),"0")</f>
        <v>0</v>
      </c>
      <c r="BC37" s="38" t="str">
        <f>IFERROR(VLOOKUP(G37,選定!$C$2:$AG$100,13,FALSE),"")</f>
        <v/>
      </c>
      <c r="BD37" s="38" t="str">
        <f>IFERROR(VLOOKUP(G37,選定!$C$2:$AG$100,16,FALSE),"")</f>
        <v/>
      </c>
      <c r="BE37" s="38" t="str">
        <f>IFERROR(VLOOKUP(G37,選定!$C$2:$AG$100,19,FALSE),"")</f>
        <v/>
      </c>
      <c r="BF37" s="38" t="str">
        <f>IFERROR(VLOOKUP(G37,選定!$C$2:$AG$100,22,FALSE),"")</f>
        <v/>
      </c>
      <c r="BG37" s="527">
        <f t="shared" si="23"/>
        <v>0</v>
      </c>
    </row>
    <row r="38" spans="1:59" ht="13.5" customHeight="1">
      <c r="A38" s="654" t="s">
        <v>242</v>
      </c>
      <c r="B38" s="668" t="str">
        <f t="shared" si="12"/>
        <v/>
      </c>
      <c r="C38" s="284"/>
      <c r="D38" s="284"/>
      <c r="E38" s="285"/>
      <c r="F38" s="285"/>
      <c r="G38" s="442"/>
      <c r="H38" s="775">
        <f t="shared" si="33"/>
        <v>0</v>
      </c>
      <c r="I38" s="776"/>
      <c r="J38" s="776" t="str">
        <f t="shared" si="13"/>
        <v/>
      </c>
      <c r="K38" s="776"/>
      <c r="L38" s="283">
        <f t="shared" si="34"/>
        <v>0</v>
      </c>
      <c r="M38" s="284"/>
      <c r="N38" s="284"/>
      <c r="O38" s="284"/>
      <c r="P38" s="284"/>
      <c r="Q38" s="284"/>
      <c r="R38" s="284"/>
      <c r="S38" s="284"/>
      <c r="T38" s="284"/>
      <c r="U38" s="284"/>
      <c r="V38" s="284"/>
      <c r="W38" s="283">
        <f t="shared" si="35"/>
        <v>0</v>
      </c>
      <c r="X38" s="283">
        <f t="shared" si="36"/>
        <v>30</v>
      </c>
      <c r="Y38" s="293">
        <f t="shared" si="16"/>
        <v>0</v>
      </c>
      <c r="AA38" s="287">
        <f>IFERROR(VLOOKUP($G38,選定!$C$3:$AG$100,5,FALSE),0)</f>
        <v>0</v>
      </c>
      <c r="AB38" s="283">
        <f t="shared" si="3"/>
        <v>0</v>
      </c>
      <c r="AC38" s="293">
        <f t="shared" si="17"/>
        <v>0</v>
      </c>
      <c r="AD38" s="283">
        <f t="shared" si="26"/>
        <v>30</v>
      </c>
      <c r="AE38" s="613">
        <v>3000</v>
      </c>
      <c r="AF38" s="289">
        <v>23</v>
      </c>
      <c r="AG38" s="668"/>
      <c r="AH38" s="669">
        <f t="shared" si="4"/>
        <v>0</v>
      </c>
      <c r="AI38" s="395">
        <f>SUMIF($B$16:$B$45,$AG38,LED計算式!$T$4:$T$33)</f>
        <v>0</v>
      </c>
      <c r="AJ38" s="395">
        <f ca="1">SUMIF($B$16:$B$45,$AG38,LED計算式!$U$4)</f>
        <v>0</v>
      </c>
      <c r="AK38" s="395">
        <f t="shared" ca="1" si="28"/>
        <v>0</v>
      </c>
      <c r="AL38" s="395">
        <f t="shared" ca="1" si="29"/>
        <v>0</v>
      </c>
      <c r="AM38" s="670">
        <f t="shared" ca="1" si="5"/>
        <v>0</v>
      </c>
      <c r="AN38" s="671">
        <f t="shared" si="32"/>
        <v>0.4</v>
      </c>
      <c r="AO38" s="395">
        <f t="shared" ca="1" si="30"/>
        <v>0</v>
      </c>
      <c r="AP38" s="672">
        <f t="shared" ca="1" si="6"/>
        <v>0</v>
      </c>
      <c r="AQ38" s="672">
        <f t="shared" ca="1" si="7"/>
        <v>0</v>
      </c>
      <c r="AR38" s="395">
        <f t="shared" ca="1" si="31"/>
        <v>0</v>
      </c>
      <c r="AS38" s="395">
        <f t="shared" ca="1" si="8"/>
        <v>0</v>
      </c>
      <c r="AT38" s="395">
        <f t="shared" ca="1" si="9"/>
        <v>0</v>
      </c>
      <c r="AU38" s="673"/>
      <c r="AV38" s="674">
        <f t="shared" ca="1" si="10"/>
        <v>0</v>
      </c>
      <c r="AW38" s="674">
        <f t="shared" ca="1" si="11"/>
        <v>0</v>
      </c>
      <c r="AY38" s="526" t="str">
        <f>IFERROR(VLOOKUP(G38,選定!$C$3:$AG$100,28,FALSE),"0")</f>
        <v>0</v>
      </c>
      <c r="AZ38" s="38">
        <f t="shared" si="21"/>
        <v>0</v>
      </c>
      <c r="BA38" s="38">
        <f t="shared" si="22"/>
        <v>0</v>
      </c>
      <c r="BB38" s="38" t="str">
        <f>IFERROR(VLOOKUP(G38,選定!$C$2:$AG$100,11,FALSE),"0")</f>
        <v>0</v>
      </c>
      <c r="BC38" s="38" t="str">
        <f>IFERROR(VLOOKUP(G38,選定!$C$2:$AG$100,13,FALSE),"")</f>
        <v/>
      </c>
      <c r="BD38" s="38" t="str">
        <f>IFERROR(VLOOKUP(G38,選定!$C$2:$AG$100,16,FALSE),"")</f>
        <v/>
      </c>
      <c r="BE38" s="38" t="str">
        <f>IFERROR(VLOOKUP(G38,選定!$C$2:$AG$100,19,FALSE),"")</f>
        <v/>
      </c>
      <c r="BF38" s="38" t="str">
        <f>IFERROR(VLOOKUP(G38,選定!$C$2:$AG$100,22,FALSE),"")</f>
        <v/>
      </c>
      <c r="BG38" s="527">
        <f t="shared" si="23"/>
        <v>0</v>
      </c>
    </row>
    <row r="39" spans="1:59" ht="13.5" customHeight="1">
      <c r="A39" s="654" t="s">
        <v>243</v>
      </c>
      <c r="B39" s="668" t="str">
        <f t="shared" si="12"/>
        <v/>
      </c>
      <c r="C39" s="284"/>
      <c r="D39" s="284"/>
      <c r="E39" s="285"/>
      <c r="F39" s="285"/>
      <c r="G39" s="442"/>
      <c r="H39" s="775">
        <f t="shared" si="33"/>
        <v>0</v>
      </c>
      <c r="I39" s="776"/>
      <c r="J39" s="776" t="str">
        <f t="shared" si="13"/>
        <v/>
      </c>
      <c r="K39" s="776"/>
      <c r="L39" s="283">
        <f t="shared" si="34"/>
        <v>0</v>
      </c>
      <c r="M39" s="284"/>
      <c r="N39" s="284"/>
      <c r="O39" s="284"/>
      <c r="P39" s="284"/>
      <c r="Q39" s="284"/>
      <c r="R39" s="284"/>
      <c r="S39" s="284"/>
      <c r="T39" s="284"/>
      <c r="U39" s="284"/>
      <c r="V39" s="284"/>
      <c r="W39" s="283">
        <f t="shared" si="35"/>
        <v>0</v>
      </c>
      <c r="X39" s="283">
        <f t="shared" si="36"/>
        <v>30</v>
      </c>
      <c r="Y39" s="293">
        <f t="shared" si="16"/>
        <v>0</v>
      </c>
      <c r="AA39" s="287">
        <f>IFERROR(VLOOKUP($G39,選定!$C$3:$AG$100,5,FALSE),0)</f>
        <v>0</v>
      </c>
      <c r="AB39" s="283">
        <f t="shared" si="3"/>
        <v>0</v>
      </c>
      <c r="AC39" s="293">
        <f t="shared" si="17"/>
        <v>0</v>
      </c>
      <c r="AD39" s="283">
        <f t="shared" si="26"/>
        <v>30</v>
      </c>
      <c r="AE39" s="613">
        <v>3000</v>
      </c>
      <c r="AF39" s="289">
        <v>24</v>
      </c>
      <c r="AG39" s="668"/>
      <c r="AH39" s="669">
        <f t="shared" si="4"/>
        <v>0</v>
      </c>
      <c r="AI39" s="395">
        <f>SUMIF($B$16:$B$45,$AG39,LED計算式!$T$4:$T$33)</f>
        <v>0</v>
      </c>
      <c r="AJ39" s="395">
        <f ca="1">SUMIF($B$16:$B$45,$AG39,LED計算式!$U$4)</f>
        <v>0</v>
      </c>
      <c r="AK39" s="395">
        <f t="shared" ca="1" si="28"/>
        <v>0</v>
      </c>
      <c r="AL39" s="395">
        <f t="shared" ca="1" si="29"/>
        <v>0</v>
      </c>
      <c r="AM39" s="670">
        <f t="shared" ca="1" si="5"/>
        <v>0</v>
      </c>
      <c r="AN39" s="671">
        <f t="shared" si="32"/>
        <v>0.4</v>
      </c>
      <c r="AO39" s="395">
        <f t="shared" ca="1" si="30"/>
        <v>0</v>
      </c>
      <c r="AP39" s="672">
        <f t="shared" ca="1" si="6"/>
        <v>0</v>
      </c>
      <c r="AQ39" s="672">
        <f t="shared" ca="1" si="7"/>
        <v>0</v>
      </c>
      <c r="AR39" s="395">
        <f t="shared" ca="1" si="31"/>
        <v>0</v>
      </c>
      <c r="AS39" s="395">
        <f t="shared" ca="1" si="8"/>
        <v>0</v>
      </c>
      <c r="AT39" s="395">
        <f t="shared" ca="1" si="9"/>
        <v>0</v>
      </c>
      <c r="AU39" s="673"/>
      <c r="AV39" s="674">
        <f t="shared" ca="1" si="10"/>
        <v>0</v>
      </c>
      <c r="AW39" s="674">
        <f t="shared" ca="1" si="11"/>
        <v>0</v>
      </c>
      <c r="AY39" s="526" t="str">
        <f>IFERROR(VLOOKUP(G39,選定!$C$3:$AG$100,28,FALSE),"0")</f>
        <v>0</v>
      </c>
      <c r="AZ39" s="38">
        <f t="shared" si="21"/>
        <v>0</v>
      </c>
      <c r="BA39" s="38">
        <f t="shared" si="22"/>
        <v>0</v>
      </c>
      <c r="BB39" s="38" t="str">
        <f>IFERROR(VLOOKUP(G39,選定!$C$2:$AG$100,11,FALSE),"0")</f>
        <v>0</v>
      </c>
      <c r="BC39" s="38" t="str">
        <f>IFERROR(VLOOKUP(G39,選定!$C$2:$AG$100,13,FALSE),"")</f>
        <v/>
      </c>
      <c r="BD39" s="38" t="str">
        <f>IFERROR(VLOOKUP(G39,選定!$C$2:$AG$100,16,FALSE),"")</f>
        <v/>
      </c>
      <c r="BE39" s="38" t="str">
        <f>IFERROR(VLOOKUP(G39,選定!$C$2:$AG$100,19,FALSE),"")</f>
        <v/>
      </c>
      <c r="BF39" s="38" t="str">
        <f>IFERROR(VLOOKUP(G39,選定!$C$2:$AG$100,22,FALSE),"")</f>
        <v/>
      </c>
      <c r="BG39" s="527">
        <f t="shared" si="23"/>
        <v>0</v>
      </c>
    </row>
    <row r="40" spans="1:59" ht="13.5" customHeight="1">
      <c r="A40" s="654" t="s">
        <v>244</v>
      </c>
      <c r="B40" s="668" t="str">
        <f t="shared" si="12"/>
        <v/>
      </c>
      <c r="C40" s="284"/>
      <c r="D40" s="284"/>
      <c r="E40" s="285"/>
      <c r="F40" s="285"/>
      <c r="G40" s="442"/>
      <c r="H40" s="775">
        <f t="shared" si="33"/>
        <v>0</v>
      </c>
      <c r="I40" s="776"/>
      <c r="J40" s="776" t="str">
        <f t="shared" si="13"/>
        <v/>
      </c>
      <c r="K40" s="776"/>
      <c r="L40" s="283">
        <f t="shared" si="34"/>
        <v>0</v>
      </c>
      <c r="M40" s="284"/>
      <c r="N40" s="284"/>
      <c r="O40" s="284"/>
      <c r="P40" s="284"/>
      <c r="Q40" s="284"/>
      <c r="R40" s="284"/>
      <c r="S40" s="284"/>
      <c r="T40" s="284"/>
      <c r="U40" s="284"/>
      <c r="V40" s="284"/>
      <c r="W40" s="283">
        <f t="shared" si="35"/>
        <v>0</v>
      </c>
      <c r="X40" s="283">
        <f t="shared" si="36"/>
        <v>30</v>
      </c>
      <c r="Y40" s="293">
        <f t="shared" si="16"/>
        <v>0</v>
      </c>
      <c r="AA40" s="287">
        <f>IFERROR(VLOOKUP($G40,選定!$C$3:$AG$100,5,FALSE),0)</f>
        <v>0</v>
      </c>
      <c r="AB40" s="283">
        <f t="shared" si="3"/>
        <v>0</v>
      </c>
      <c r="AC40" s="293">
        <f t="shared" si="17"/>
        <v>0</v>
      </c>
      <c r="AD40" s="283">
        <f t="shared" si="26"/>
        <v>30</v>
      </c>
      <c r="AE40" s="613">
        <v>3000</v>
      </c>
      <c r="AF40" s="289">
        <v>25</v>
      </c>
      <c r="AG40" s="668"/>
      <c r="AH40" s="669">
        <f t="shared" si="4"/>
        <v>0</v>
      </c>
      <c r="AI40" s="395">
        <f>SUMIF($B$16:$B$45,$AG40,LED計算式!$T$4:$T$33)</f>
        <v>0</v>
      </c>
      <c r="AJ40" s="395">
        <f ca="1">SUMIF($B$16:$B$45,$AG40,LED計算式!$U$4)</f>
        <v>0</v>
      </c>
      <c r="AK40" s="395">
        <f t="shared" ca="1" si="28"/>
        <v>0</v>
      </c>
      <c r="AL40" s="395">
        <f t="shared" ca="1" si="29"/>
        <v>0</v>
      </c>
      <c r="AM40" s="670">
        <f t="shared" ca="1" si="5"/>
        <v>0</v>
      </c>
      <c r="AN40" s="671">
        <f t="shared" si="32"/>
        <v>0.4</v>
      </c>
      <c r="AO40" s="395">
        <f t="shared" ca="1" si="30"/>
        <v>0</v>
      </c>
      <c r="AP40" s="672">
        <f t="shared" ca="1" si="6"/>
        <v>0</v>
      </c>
      <c r="AQ40" s="672">
        <f t="shared" ca="1" si="7"/>
        <v>0</v>
      </c>
      <c r="AR40" s="395">
        <f t="shared" ca="1" si="31"/>
        <v>0</v>
      </c>
      <c r="AS40" s="395">
        <f t="shared" ca="1" si="8"/>
        <v>0</v>
      </c>
      <c r="AT40" s="395">
        <f t="shared" ca="1" si="9"/>
        <v>0</v>
      </c>
      <c r="AU40" s="673"/>
      <c r="AV40" s="674">
        <f t="shared" ca="1" si="10"/>
        <v>0</v>
      </c>
      <c r="AW40" s="674">
        <f t="shared" ca="1" si="11"/>
        <v>0</v>
      </c>
      <c r="AY40" s="526" t="str">
        <f>IFERROR(VLOOKUP(G40,選定!$C$3:$AG$100,28,FALSE),"0")</f>
        <v>0</v>
      </c>
      <c r="AZ40" s="38">
        <f t="shared" si="21"/>
        <v>0</v>
      </c>
      <c r="BA40" s="38">
        <f t="shared" si="22"/>
        <v>0</v>
      </c>
      <c r="BB40" s="38" t="str">
        <f>IFERROR(VLOOKUP(G40,選定!$C$2:$AG$100,11,FALSE),"0")</f>
        <v>0</v>
      </c>
      <c r="BC40" s="38" t="str">
        <f>IFERROR(VLOOKUP(G40,選定!$C$2:$AG$100,13,FALSE),"")</f>
        <v/>
      </c>
      <c r="BD40" s="38" t="str">
        <f>IFERROR(VLOOKUP(G40,選定!$C$2:$AG$100,16,FALSE),"")</f>
        <v/>
      </c>
      <c r="BE40" s="38" t="str">
        <f>IFERROR(VLOOKUP(G40,選定!$C$2:$AG$100,19,FALSE),"")</f>
        <v/>
      </c>
      <c r="BF40" s="38" t="str">
        <f>IFERROR(VLOOKUP(G40,選定!$C$2:$AG$100,22,FALSE),"")</f>
        <v/>
      </c>
      <c r="BG40" s="527">
        <f t="shared" si="23"/>
        <v>0</v>
      </c>
    </row>
    <row r="41" spans="1:59" ht="13.5" customHeight="1">
      <c r="A41" s="654" t="s">
        <v>243</v>
      </c>
      <c r="B41" s="668" t="str">
        <f t="shared" si="12"/>
        <v/>
      </c>
      <c r="C41" s="284"/>
      <c r="D41" s="284"/>
      <c r="E41" s="285"/>
      <c r="F41" s="285"/>
      <c r="G41" s="442"/>
      <c r="H41" s="775">
        <f t="shared" si="33"/>
        <v>0</v>
      </c>
      <c r="I41" s="776"/>
      <c r="J41" s="776" t="str">
        <f t="shared" si="13"/>
        <v/>
      </c>
      <c r="K41" s="776"/>
      <c r="L41" s="283">
        <f t="shared" si="34"/>
        <v>0</v>
      </c>
      <c r="M41" s="284"/>
      <c r="N41" s="284"/>
      <c r="O41" s="284"/>
      <c r="P41" s="284"/>
      <c r="Q41" s="284"/>
      <c r="R41" s="284"/>
      <c r="S41" s="284"/>
      <c r="T41" s="284"/>
      <c r="U41" s="284"/>
      <c r="V41" s="284"/>
      <c r="W41" s="283">
        <f t="shared" si="35"/>
        <v>0</v>
      </c>
      <c r="X41" s="283">
        <f t="shared" si="36"/>
        <v>30</v>
      </c>
      <c r="Y41" s="293">
        <f t="shared" si="16"/>
        <v>0</v>
      </c>
      <c r="AA41" s="287">
        <f>IFERROR(VLOOKUP($G41,選定!$C$3:$AG$100,5,FALSE),0)</f>
        <v>0</v>
      </c>
      <c r="AB41" s="283">
        <f t="shared" si="3"/>
        <v>0</v>
      </c>
      <c r="AC41" s="293">
        <f t="shared" si="17"/>
        <v>0</v>
      </c>
      <c r="AD41" s="283">
        <f t="shared" si="26"/>
        <v>30</v>
      </c>
      <c r="AE41" s="613">
        <v>3000</v>
      </c>
      <c r="AF41" s="289">
        <v>26</v>
      </c>
      <c r="AG41" s="668"/>
      <c r="AH41" s="669">
        <f t="shared" si="4"/>
        <v>0</v>
      </c>
      <c r="AI41" s="395">
        <f>SUMIF($B$16:$B$45,$AG41,LED計算式!$T$4:$T$33)</f>
        <v>0</v>
      </c>
      <c r="AJ41" s="395">
        <f ca="1">SUMIF($B$16:$B$45,$AG41,LED計算式!$U$4)</f>
        <v>0</v>
      </c>
      <c r="AK41" s="395">
        <f t="shared" ca="1" si="28"/>
        <v>0</v>
      </c>
      <c r="AL41" s="395">
        <f t="shared" ca="1" si="29"/>
        <v>0</v>
      </c>
      <c r="AM41" s="670">
        <f t="shared" ca="1" si="5"/>
        <v>0</v>
      </c>
      <c r="AN41" s="671">
        <f>$AN$16</f>
        <v>0.4</v>
      </c>
      <c r="AO41" s="395">
        <f t="shared" ca="1" si="30"/>
        <v>0</v>
      </c>
      <c r="AP41" s="672">
        <f t="shared" ca="1" si="6"/>
        <v>0</v>
      </c>
      <c r="AQ41" s="672">
        <f t="shared" ca="1" si="7"/>
        <v>0</v>
      </c>
      <c r="AR41" s="395">
        <f t="shared" ca="1" si="31"/>
        <v>0</v>
      </c>
      <c r="AS41" s="395">
        <f t="shared" ca="1" si="8"/>
        <v>0</v>
      </c>
      <c r="AT41" s="395">
        <f t="shared" ca="1" si="9"/>
        <v>0</v>
      </c>
      <c r="AU41" s="673"/>
      <c r="AV41" s="674">
        <f t="shared" ca="1" si="10"/>
        <v>0</v>
      </c>
      <c r="AW41" s="674">
        <f t="shared" ca="1" si="11"/>
        <v>0</v>
      </c>
      <c r="AY41" s="526" t="str">
        <f>IFERROR(VLOOKUP(G41,選定!$C$3:$AG$100,28,FALSE),"0")</f>
        <v>0</v>
      </c>
      <c r="AZ41" s="38">
        <f t="shared" si="21"/>
        <v>0</v>
      </c>
      <c r="BA41" s="38">
        <f t="shared" si="22"/>
        <v>0</v>
      </c>
      <c r="BB41" s="38" t="str">
        <f>IFERROR(VLOOKUP(G41,選定!$C$2:$AG$100,11,FALSE),"0")</f>
        <v>0</v>
      </c>
      <c r="BC41" s="38" t="str">
        <f>IFERROR(VLOOKUP(G41,選定!$C$2:$AG$100,13,FALSE),"")</f>
        <v/>
      </c>
      <c r="BD41" s="38" t="str">
        <f>IFERROR(VLOOKUP(G41,選定!$C$2:$AG$100,16,FALSE),"")</f>
        <v/>
      </c>
      <c r="BE41" s="38" t="str">
        <f>IFERROR(VLOOKUP(G41,選定!$C$2:$AG$100,19,FALSE),"")</f>
        <v/>
      </c>
      <c r="BF41" s="38" t="str">
        <f>IFERROR(VLOOKUP(G41,選定!$C$2:$AG$100,22,FALSE),"")</f>
        <v/>
      </c>
      <c r="BG41" s="527">
        <f t="shared" si="23"/>
        <v>0</v>
      </c>
    </row>
    <row r="42" spans="1:59" ht="13.5" customHeight="1">
      <c r="A42" s="654" t="s">
        <v>245</v>
      </c>
      <c r="B42" s="668" t="str">
        <f t="shared" si="12"/>
        <v/>
      </c>
      <c r="C42" s="284"/>
      <c r="D42" s="284"/>
      <c r="E42" s="285"/>
      <c r="F42" s="285"/>
      <c r="G42" s="442"/>
      <c r="H42" s="775">
        <f t="shared" si="33"/>
        <v>0</v>
      </c>
      <c r="I42" s="776"/>
      <c r="J42" s="776" t="str">
        <f t="shared" si="13"/>
        <v/>
      </c>
      <c r="K42" s="776"/>
      <c r="L42" s="283">
        <f t="shared" si="34"/>
        <v>0</v>
      </c>
      <c r="M42" s="284"/>
      <c r="N42" s="284"/>
      <c r="O42" s="284"/>
      <c r="P42" s="284"/>
      <c r="Q42" s="284"/>
      <c r="R42" s="284"/>
      <c r="S42" s="284"/>
      <c r="T42" s="284"/>
      <c r="U42" s="284"/>
      <c r="V42" s="284"/>
      <c r="W42" s="283">
        <f t="shared" si="35"/>
        <v>0</v>
      </c>
      <c r="X42" s="283">
        <f t="shared" si="36"/>
        <v>30</v>
      </c>
      <c r="Y42" s="293">
        <f t="shared" si="16"/>
        <v>0</v>
      </c>
      <c r="AA42" s="287">
        <f>IFERROR(VLOOKUP($G42,選定!$C$3:$AG$100,5,FALSE),0)</f>
        <v>0</v>
      </c>
      <c r="AB42" s="283">
        <f t="shared" si="3"/>
        <v>0</v>
      </c>
      <c r="AC42" s="293">
        <f t="shared" si="17"/>
        <v>0</v>
      </c>
      <c r="AD42" s="283">
        <f t="shared" si="26"/>
        <v>30</v>
      </c>
      <c r="AE42" s="613">
        <v>3000</v>
      </c>
      <c r="AF42" s="289">
        <v>27</v>
      </c>
      <c r="AG42" s="668"/>
      <c r="AH42" s="669">
        <f t="shared" si="4"/>
        <v>0</v>
      </c>
      <c r="AI42" s="395">
        <f>SUMIF($B$16:$B$45,$AG42,LED計算式!$T$4:$T$33)</f>
        <v>0</v>
      </c>
      <c r="AJ42" s="395">
        <f ca="1">SUMIF($B$16:$B$45,$AG42,LED計算式!$U$4)</f>
        <v>0</v>
      </c>
      <c r="AK42" s="395">
        <f t="shared" ca="1" si="28"/>
        <v>0</v>
      </c>
      <c r="AL42" s="395">
        <f t="shared" ca="1" si="29"/>
        <v>0</v>
      </c>
      <c r="AM42" s="670">
        <f t="shared" ca="1" si="5"/>
        <v>0</v>
      </c>
      <c r="AN42" s="671">
        <f>$AN$16</f>
        <v>0.4</v>
      </c>
      <c r="AO42" s="395">
        <f t="shared" ca="1" si="30"/>
        <v>0</v>
      </c>
      <c r="AP42" s="672">
        <f t="shared" ca="1" si="6"/>
        <v>0</v>
      </c>
      <c r="AQ42" s="672">
        <f t="shared" ca="1" si="7"/>
        <v>0</v>
      </c>
      <c r="AR42" s="395">
        <f t="shared" ca="1" si="31"/>
        <v>0</v>
      </c>
      <c r="AS42" s="395">
        <f t="shared" ca="1" si="8"/>
        <v>0</v>
      </c>
      <c r="AT42" s="395">
        <f t="shared" ca="1" si="9"/>
        <v>0</v>
      </c>
      <c r="AU42" s="673"/>
      <c r="AV42" s="674">
        <f t="shared" ca="1" si="10"/>
        <v>0</v>
      </c>
      <c r="AW42" s="674">
        <f t="shared" ca="1" si="11"/>
        <v>0</v>
      </c>
      <c r="AY42" s="526" t="str">
        <f>IFERROR(VLOOKUP(G42,選定!$C$3:$AG$100,28,FALSE),"0")</f>
        <v>0</v>
      </c>
      <c r="AZ42" s="38">
        <f t="shared" si="21"/>
        <v>0</v>
      </c>
      <c r="BA42" s="38">
        <f t="shared" si="22"/>
        <v>0</v>
      </c>
      <c r="BB42" s="38" t="str">
        <f>IFERROR(VLOOKUP(G42,選定!$C$2:$AG$100,11,FALSE),"0")</f>
        <v>0</v>
      </c>
      <c r="BC42" s="38" t="str">
        <f>IFERROR(VLOOKUP(G42,選定!$C$2:$AG$100,13,FALSE),"")</f>
        <v/>
      </c>
      <c r="BD42" s="38" t="str">
        <f>IFERROR(VLOOKUP(G42,選定!$C$2:$AG$100,16,FALSE),"")</f>
        <v/>
      </c>
      <c r="BE42" s="38" t="str">
        <f>IFERROR(VLOOKUP(G42,選定!$C$2:$AG$100,19,FALSE),"")</f>
        <v/>
      </c>
      <c r="BF42" s="38" t="str">
        <f>IFERROR(VLOOKUP(G42,選定!$C$2:$AG$100,22,FALSE),"")</f>
        <v/>
      </c>
      <c r="BG42" s="527">
        <f t="shared" si="23"/>
        <v>0</v>
      </c>
    </row>
    <row r="43" spans="1:59" ht="13.5" customHeight="1">
      <c r="A43" s="654" t="s">
        <v>246</v>
      </c>
      <c r="B43" s="668" t="str">
        <f t="shared" si="12"/>
        <v/>
      </c>
      <c r="C43" s="284"/>
      <c r="D43" s="284"/>
      <c r="E43" s="285"/>
      <c r="F43" s="285"/>
      <c r="G43" s="442"/>
      <c r="H43" s="775">
        <f t="shared" si="33"/>
        <v>0</v>
      </c>
      <c r="I43" s="776"/>
      <c r="J43" s="776" t="str">
        <f t="shared" si="13"/>
        <v/>
      </c>
      <c r="K43" s="776"/>
      <c r="L43" s="283">
        <f t="shared" si="34"/>
        <v>0</v>
      </c>
      <c r="M43" s="284"/>
      <c r="N43" s="284"/>
      <c r="O43" s="284"/>
      <c r="P43" s="284"/>
      <c r="Q43" s="284"/>
      <c r="R43" s="284"/>
      <c r="S43" s="284"/>
      <c r="T43" s="284"/>
      <c r="U43" s="284"/>
      <c r="V43" s="284"/>
      <c r="W43" s="283">
        <f t="shared" si="35"/>
        <v>0</v>
      </c>
      <c r="X43" s="283">
        <f t="shared" si="36"/>
        <v>30</v>
      </c>
      <c r="Y43" s="293">
        <f t="shared" si="16"/>
        <v>0</v>
      </c>
      <c r="AA43" s="287">
        <f>IFERROR(VLOOKUP($G43,選定!$C$3:$AG$100,5,FALSE),0)</f>
        <v>0</v>
      </c>
      <c r="AB43" s="283">
        <f t="shared" si="3"/>
        <v>0</v>
      </c>
      <c r="AC43" s="293">
        <f t="shared" si="17"/>
        <v>0</v>
      </c>
      <c r="AD43" s="283">
        <f t="shared" si="26"/>
        <v>30</v>
      </c>
      <c r="AE43" s="613">
        <v>3000</v>
      </c>
      <c r="AF43" s="289">
        <v>28</v>
      </c>
      <c r="AG43" s="668"/>
      <c r="AH43" s="669">
        <f t="shared" si="4"/>
        <v>0</v>
      </c>
      <c r="AI43" s="395">
        <f>SUMIF($B$16:$B$45,$AG43,LED計算式!$T$4:$T$33)</f>
        <v>0</v>
      </c>
      <c r="AJ43" s="395">
        <f ca="1">SUMIF($B$16:$B$45,$AG43,LED計算式!$U$4)</f>
        <v>0</v>
      </c>
      <c r="AK43" s="395">
        <f t="shared" ca="1" si="28"/>
        <v>0</v>
      </c>
      <c r="AL43" s="395">
        <f t="shared" ca="1" si="29"/>
        <v>0</v>
      </c>
      <c r="AM43" s="670">
        <f t="shared" ca="1" si="5"/>
        <v>0</v>
      </c>
      <c r="AN43" s="671">
        <f>$AN$16</f>
        <v>0.4</v>
      </c>
      <c r="AO43" s="395">
        <f t="shared" ca="1" si="30"/>
        <v>0</v>
      </c>
      <c r="AP43" s="672">
        <f t="shared" ca="1" si="6"/>
        <v>0</v>
      </c>
      <c r="AQ43" s="672">
        <f t="shared" ca="1" si="7"/>
        <v>0</v>
      </c>
      <c r="AR43" s="395">
        <f t="shared" ca="1" si="31"/>
        <v>0</v>
      </c>
      <c r="AS43" s="395">
        <f t="shared" ca="1" si="8"/>
        <v>0</v>
      </c>
      <c r="AT43" s="395">
        <f t="shared" ca="1" si="9"/>
        <v>0</v>
      </c>
      <c r="AU43" s="673"/>
      <c r="AV43" s="674">
        <f t="shared" ca="1" si="10"/>
        <v>0</v>
      </c>
      <c r="AW43" s="674">
        <f t="shared" ca="1" si="11"/>
        <v>0</v>
      </c>
      <c r="AY43" s="526" t="str">
        <f>IFERROR(VLOOKUP(G43,選定!$C$3:$AG$100,28,FALSE),"0")</f>
        <v>0</v>
      </c>
      <c r="AZ43" s="38">
        <f t="shared" si="21"/>
        <v>0</v>
      </c>
      <c r="BA43" s="38">
        <f t="shared" si="22"/>
        <v>0</v>
      </c>
      <c r="BB43" s="38" t="str">
        <f>IFERROR(VLOOKUP(G43,選定!$C$2:$AG$100,11,FALSE),"0")</f>
        <v>0</v>
      </c>
      <c r="BC43" s="38" t="str">
        <f>IFERROR(VLOOKUP(G43,選定!$C$2:$AG$100,13,FALSE),"")</f>
        <v/>
      </c>
      <c r="BD43" s="38" t="str">
        <f>IFERROR(VLOOKUP(G43,選定!$C$2:$AG$100,16,FALSE),"")</f>
        <v/>
      </c>
      <c r="BE43" s="38" t="str">
        <f>IFERROR(VLOOKUP(G43,選定!$C$2:$AG$100,19,FALSE),"")</f>
        <v/>
      </c>
      <c r="BF43" s="38" t="str">
        <f>IFERROR(VLOOKUP(G43,選定!$C$2:$AG$100,22,FALSE),"")</f>
        <v/>
      </c>
      <c r="BG43" s="527">
        <f t="shared" si="23"/>
        <v>0</v>
      </c>
    </row>
    <row r="44" spans="1:59" ht="13.5" customHeight="1">
      <c r="A44" s="654" t="s">
        <v>247</v>
      </c>
      <c r="B44" s="668" t="str">
        <f t="shared" si="12"/>
        <v/>
      </c>
      <c r="C44" s="284"/>
      <c r="D44" s="284"/>
      <c r="E44" s="285"/>
      <c r="F44" s="285"/>
      <c r="G44" s="442"/>
      <c r="H44" s="775">
        <f t="shared" si="33"/>
        <v>0</v>
      </c>
      <c r="I44" s="776"/>
      <c r="J44" s="776" t="str">
        <f t="shared" si="13"/>
        <v/>
      </c>
      <c r="K44" s="776"/>
      <c r="L44" s="283">
        <f t="shared" si="34"/>
        <v>0</v>
      </c>
      <c r="M44" s="284"/>
      <c r="N44" s="284"/>
      <c r="O44" s="284"/>
      <c r="P44" s="284"/>
      <c r="Q44" s="284"/>
      <c r="R44" s="284"/>
      <c r="S44" s="284"/>
      <c r="T44" s="284"/>
      <c r="U44" s="284"/>
      <c r="V44" s="284"/>
      <c r="W44" s="283">
        <f t="shared" si="35"/>
        <v>0</v>
      </c>
      <c r="X44" s="283">
        <f t="shared" si="36"/>
        <v>30</v>
      </c>
      <c r="Y44" s="293">
        <f t="shared" si="16"/>
        <v>0</v>
      </c>
      <c r="AA44" s="287">
        <f>IFERROR(VLOOKUP($G44,選定!$C$3:$AG$100,5,FALSE),0)</f>
        <v>0</v>
      </c>
      <c r="AB44" s="283">
        <f t="shared" si="3"/>
        <v>0</v>
      </c>
      <c r="AC44" s="293">
        <f t="shared" si="17"/>
        <v>0</v>
      </c>
      <c r="AD44" s="283">
        <f t="shared" si="26"/>
        <v>30</v>
      </c>
      <c r="AE44" s="613">
        <v>3000</v>
      </c>
      <c r="AF44" s="289">
        <v>29</v>
      </c>
      <c r="AG44" s="668"/>
      <c r="AH44" s="669">
        <f t="shared" si="4"/>
        <v>0</v>
      </c>
      <c r="AI44" s="395">
        <f>SUMIF($B$16:$B$45,$AG44,LED計算式!$T$4:$T$33)</f>
        <v>0</v>
      </c>
      <c r="AJ44" s="395">
        <f ca="1">SUMIF($B$16:$B$45,$AG44,LED計算式!$U$4)</f>
        <v>0</v>
      </c>
      <c r="AK44" s="395">
        <f t="shared" ca="1" si="28"/>
        <v>0</v>
      </c>
      <c r="AL44" s="395">
        <f t="shared" ca="1" si="29"/>
        <v>0</v>
      </c>
      <c r="AM44" s="670">
        <f t="shared" ca="1" si="5"/>
        <v>0</v>
      </c>
      <c r="AN44" s="671">
        <f>$AN$16</f>
        <v>0.4</v>
      </c>
      <c r="AO44" s="395">
        <f t="shared" ca="1" si="30"/>
        <v>0</v>
      </c>
      <c r="AP44" s="672">
        <f t="shared" ca="1" si="6"/>
        <v>0</v>
      </c>
      <c r="AQ44" s="672">
        <f t="shared" ca="1" si="7"/>
        <v>0</v>
      </c>
      <c r="AR44" s="395">
        <f t="shared" ca="1" si="31"/>
        <v>0</v>
      </c>
      <c r="AS44" s="395">
        <f t="shared" ca="1" si="8"/>
        <v>0</v>
      </c>
      <c r="AT44" s="395">
        <f t="shared" ca="1" si="9"/>
        <v>0</v>
      </c>
      <c r="AU44" s="673"/>
      <c r="AV44" s="674">
        <f t="shared" ca="1" si="10"/>
        <v>0</v>
      </c>
      <c r="AW44" s="674">
        <f t="shared" ca="1" si="11"/>
        <v>0</v>
      </c>
      <c r="AY44" s="526" t="str">
        <f>IFERROR(VLOOKUP(G44,選定!$C$3:$AG$100,28,FALSE),"0")</f>
        <v>0</v>
      </c>
      <c r="AZ44" s="38">
        <f t="shared" si="21"/>
        <v>0</v>
      </c>
      <c r="BA44" s="38">
        <f t="shared" si="22"/>
        <v>0</v>
      </c>
      <c r="BB44" s="38" t="str">
        <f>IFERROR(VLOOKUP(G44,選定!$C$2:$AG$100,11,FALSE),"0")</f>
        <v>0</v>
      </c>
      <c r="BC44" s="38" t="str">
        <f>IFERROR(VLOOKUP(G44,選定!$C$2:$AG$100,13,FALSE),"")</f>
        <v/>
      </c>
      <c r="BD44" s="38" t="str">
        <f>IFERROR(VLOOKUP(G44,選定!$C$2:$AG$100,16,FALSE),"")</f>
        <v/>
      </c>
      <c r="BE44" s="38" t="str">
        <f>IFERROR(VLOOKUP(G44,選定!$C$2:$AG$100,19,FALSE),"")</f>
        <v/>
      </c>
      <c r="BF44" s="38" t="str">
        <f>IFERROR(VLOOKUP(G44,選定!$C$2:$AG$100,22,FALSE),"")</f>
        <v/>
      </c>
      <c r="BG44" s="527">
        <f t="shared" si="23"/>
        <v>0</v>
      </c>
    </row>
    <row r="45" spans="1:59" ht="13.5" customHeight="1" thickBot="1">
      <c r="A45" s="655" t="s">
        <v>248</v>
      </c>
      <c r="B45" s="675" t="str">
        <f t="shared" si="12"/>
        <v/>
      </c>
      <c r="C45" s="504"/>
      <c r="D45" s="504"/>
      <c r="E45" s="508"/>
      <c r="F45" s="508"/>
      <c r="G45" s="586"/>
      <c r="H45" s="777">
        <f t="shared" si="33"/>
        <v>0</v>
      </c>
      <c r="I45" s="778"/>
      <c r="J45" s="778" t="str">
        <f t="shared" si="13"/>
        <v/>
      </c>
      <c r="K45" s="778"/>
      <c r="L45" s="506">
        <f t="shared" si="34"/>
        <v>0</v>
      </c>
      <c r="M45" s="504"/>
      <c r="N45" s="504"/>
      <c r="O45" s="504"/>
      <c r="P45" s="504"/>
      <c r="Q45" s="504"/>
      <c r="R45" s="504"/>
      <c r="S45" s="504"/>
      <c r="T45" s="504"/>
      <c r="U45" s="504"/>
      <c r="V45" s="504"/>
      <c r="W45" s="506">
        <f t="shared" si="35"/>
        <v>0</v>
      </c>
      <c r="X45" s="506">
        <f t="shared" si="36"/>
        <v>30</v>
      </c>
      <c r="Y45" s="507">
        <f t="shared" si="16"/>
        <v>0</v>
      </c>
      <c r="AA45" s="505">
        <f>IFERROR(VLOOKUP($G45,選定!$C$3:$AG$100,5,FALSE),0)</f>
        <v>0</v>
      </c>
      <c r="AB45" s="506">
        <f t="shared" si="3"/>
        <v>0</v>
      </c>
      <c r="AC45" s="507">
        <f t="shared" si="17"/>
        <v>0</v>
      </c>
      <c r="AD45" s="506">
        <f t="shared" si="26"/>
        <v>30</v>
      </c>
      <c r="AE45" s="340">
        <v>3000</v>
      </c>
      <c r="AF45" s="289">
        <v>30</v>
      </c>
      <c r="AG45" s="675"/>
      <c r="AH45" s="676">
        <f t="shared" si="4"/>
        <v>0</v>
      </c>
      <c r="AI45" s="677">
        <f>SUMIF($B$16:$B$45,$AG45,LED計算式!$T$4:$T$33)</f>
        <v>0</v>
      </c>
      <c r="AJ45" s="677">
        <f ca="1">SUMIF($B$16:$B$45,$AG45,LED計算式!$U$4)</f>
        <v>0</v>
      </c>
      <c r="AK45" s="677">
        <f t="shared" ca="1" si="28"/>
        <v>0</v>
      </c>
      <c r="AL45" s="677">
        <f t="shared" ca="1" si="29"/>
        <v>0</v>
      </c>
      <c r="AM45" s="678">
        <f t="shared" ca="1" si="5"/>
        <v>0</v>
      </c>
      <c r="AN45" s="679">
        <f>$AN$16</f>
        <v>0.4</v>
      </c>
      <c r="AO45" s="677">
        <f t="shared" ca="1" si="30"/>
        <v>0</v>
      </c>
      <c r="AP45" s="680">
        <f t="shared" ca="1" si="6"/>
        <v>0</v>
      </c>
      <c r="AQ45" s="680">
        <f t="shared" ca="1" si="7"/>
        <v>0</v>
      </c>
      <c r="AR45" s="677">
        <f t="shared" ca="1" si="31"/>
        <v>0</v>
      </c>
      <c r="AS45" s="677">
        <f t="shared" ca="1" si="8"/>
        <v>0</v>
      </c>
      <c r="AT45" s="677">
        <f t="shared" ca="1" si="9"/>
        <v>0</v>
      </c>
      <c r="AU45" s="681"/>
      <c r="AV45" s="674">
        <f t="shared" ca="1" si="10"/>
        <v>0</v>
      </c>
      <c r="AW45" s="674">
        <f t="shared" ca="1" si="11"/>
        <v>0</v>
      </c>
      <c r="AY45" s="528" t="str">
        <f>IFERROR(VLOOKUP(G45,選定!$C$3:$AG$100,28,FALSE),"0")</f>
        <v>0</v>
      </c>
      <c r="AZ45" s="529">
        <f t="shared" si="21"/>
        <v>0</v>
      </c>
      <c r="BA45" s="529">
        <f t="shared" si="22"/>
        <v>0</v>
      </c>
      <c r="BB45" s="529" t="str">
        <f>IFERROR(VLOOKUP(G45,選定!$C$2:$AG$100,11,FALSE),"0")</f>
        <v>0</v>
      </c>
      <c r="BC45" s="529" t="str">
        <f>IFERROR(VLOOKUP(G45,選定!$C$2:$AG$100,13,FALSE),"")</f>
        <v/>
      </c>
      <c r="BD45" s="529" t="str">
        <f>IFERROR(VLOOKUP(G45,選定!$C$2:$AG$100,16,FALSE),"")</f>
        <v/>
      </c>
      <c r="BE45" s="529" t="str">
        <f>IFERROR(VLOOKUP(G45,選定!$C$2:$AG$100,19,FALSE),"")</f>
        <v/>
      </c>
      <c r="BF45" s="529" t="str">
        <f>IFERROR(VLOOKUP(G45,選定!$C$2:$AG$100,22,FALSE),"")</f>
        <v/>
      </c>
      <c r="BG45" s="530">
        <f t="shared" si="23"/>
        <v>0</v>
      </c>
    </row>
    <row r="47" spans="1:59" ht="13.5" customHeight="1">
      <c r="B47" s="263" t="s">
        <v>249</v>
      </c>
    </row>
    <row r="48" spans="1:59" ht="13.5" customHeight="1">
      <c r="A48" s="620"/>
      <c r="B48" s="620" t="s">
        <v>87</v>
      </c>
      <c r="C48" s="620" t="s">
        <v>174</v>
      </c>
      <c r="D48" s="620" t="s">
        <v>175</v>
      </c>
      <c r="E48" s="620" t="s">
        <v>176</v>
      </c>
      <c r="F48" s="402"/>
      <c r="G48" s="402"/>
      <c r="H48" s="402"/>
      <c r="I48" s="402"/>
      <c r="J48" s="402"/>
      <c r="K48" s="402"/>
      <c r="L48" s="620" t="s">
        <v>183</v>
      </c>
      <c r="M48" s="620" t="s">
        <v>184</v>
      </c>
      <c r="N48" s="620" t="s">
        <v>185</v>
      </c>
      <c r="O48" s="620" t="s">
        <v>186</v>
      </c>
      <c r="P48" s="620" t="s">
        <v>187</v>
      </c>
      <c r="Q48" s="620" t="s">
        <v>188</v>
      </c>
      <c r="R48" s="620" t="s">
        <v>189</v>
      </c>
      <c r="S48" s="620" t="s">
        <v>190</v>
      </c>
      <c r="T48" s="620" t="s">
        <v>191</v>
      </c>
      <c r="U48" s="620" t="s">
        <v>192</v>
      </c>
      <c r="V48" s="620" t="s">
        <v>193</v>
      </c>
      <c r="W48" s="825" t="s">
        <v>250</v>
      </c>
      <c r="X48" s="826"/>
      <c r="Y48" s="826"/>
      <c r="Z48" s="826"/>
      <c r="AA48" s="826"/>
      <c r="AB48" s="827"/>
      <c r="AC48" s="825" t="s">
        <v>251</v>
      </c>
      <c r="AD48" s="826"/>
      <c r="AE48" s="826"/>
      <c r="AF48" s="826"/>
      <c r="AG48" s="826"/>
      <c r="AH48" s="827"/>
    </row>
    <row r="49" spans="1:45" ht="13.5" customHeight="1">
      <c r="A49" s="280">
        <v>1</v>
      </c>
      <c r="B49" s="779" t="str">
        <f t="shared" ref="B49:B60" si="37">IF(C49="","",$C$5)</f>
        <v/>
      </c>
      <c r="C49" s="621"/>
      <c r="D49" s="621"/>
      <c r="E49" s="622"/>
      <c r="F49" s="402"/>
      <c r="G49" s="402"/>
      <c r="H49" s="402"/>
      <c r="I49" s="402"/>
      <c r="J49" s="402"/>
      <c r="K49" s="402"/>
      <c r="L49" s="619">
        <f>SUM(M49:V49)</f>
        <v>0</v>
      </c>
      <c r="M49" s="621"/>
      <c r="N49" s="621"/>
      <c r="O49" s="621"/>
      <c r="P49" s="621"/>
      <c r="Q49" s="621"/>
      <c r="R49" s="621"/>
      <c r="S49" s="621"/>
      <c r="T49" s="621"/>
      <c r="U49" s="621"/>
      <c r="V49" s="621"/>
      <c r="W49" s="807"/>
      <c r="X49" s="808"/>
      <c r="Y49" s="808"/>
      <c r="Z49" s="808"/>
      <c r="AA49" s="808"/>
      <c r="AB49" s="809"/>
      <c r="AC49" s="830"/>
      <c r="AD49" s="831"/>
      <c r="AE49" s="831"/>
      <c r="AF49" s="831"/>
      <c r="AG49" s="831"/>
      <c r="AH49" s="832"/>
    </row>
    <row r="50" spans="1:45" ht="13.5" customHeight="1">
      <c r="A50" s="654">
        <v>2</v>
      </c>
      <c r="B50" s="779" t="str">
        <f t="shared" si="37"/>
        <v/>
      </c>
      <c r="C50" s="284"/>
      <c r="D50" s="284"/>
      <c r="E50" s="285"/>
      <c r="F50" s="402"/>
      <c r="G50" s="402"/>
      <c r="H50" s="402"/>
      <c r="I50" s="402"/>
      <c r="J50" s="402"/>
      <c r="K50" s="402"/>
      <c r="L50" s="283">
        <f t="shared" ref="L50:L58" si="38">SUM(M50:V50)</f>
        <v>0</v>
      </c>
      <c r="M50" s="284"/>
      <c r="N50" s="284"/>
      <c r="O50" s="284"/>
      <c r="P50" s="284"/>
      <c r="Q50" s="284"/>
      <c r="R50" s="284"/>
      <c r="S50" s="284"/>
      <c r="T50" s="284"/>
      <c r="U50" s="284"/>
      <c r="V50" s="284"/>
      <c r="W50" s="807"/>
      <c r="X50" s="808"/>
      <c r="Y50" s="808"/>
      <c r="Z50" s="808"/>
      <c r="AA50" s="808"/>
      <c r="AB50" s="809"/>
      <c r="AC50" s="833"/>
      <c r="AD50" s="834"/>
      <c r="AE50" s="834"/>
      <c r="AF50" s="834"/>
      <c r="AG50" s="834"/>
      <c r="AH50" s="835"/>
    </row>
    <row r="51" spans="1:45" ht="13.5" customHeight="1">
      <c r="A51" s="654">
        <v>3</v>
      </c>
      <c r="B51" s="779" t="str">
        <f t="shared" si="37"/>
        <v/>
      </c>
      <c r="C51" s="284"/>
      <c r="D51" s="284"/>
      <c r="E51" s="285"/>
      <c r="F51" s="402"/>
      <c r="G51" s="402"/>
      <c r="H51" s="402"/>
      <c r="I51" s="402"/>
      <c r="J51" s="402"/>
      <c r="K51" s="402"/>
      <c r="L51" s="283">
        <f t="shared" si="38"/>
        <v>0</v>
      </c>
      <c r="M51" s="284"/>
      <c r="N51" s="284"/>
      <c r="O51" s="284"/>
      <c r="P51" s="284"/>
      <c r="Q51" s="284"/>
      <c r="R51" s="284"/>
      <c r="S51" s="284"/>
      <c r="T51" s="284"/>
      <c r="U51" s="284"/>
      <c r="V51" s="284"/>
      <c r="W51" s="807"/>
      <c r="X51" s="808"/>
      <c r="Y51" s="808"/>
      <c r="Z51" s="808"/>
      <c r="AA51" s="808"/>
      <c r="AB51" s="809"/>
      <c r="AC51" s="833"/>
      <c r="AD51" s="834"/>
      <c r="AE51" s="834"/>
      <c r="AF51" s="834"/>
      <c r="AG51" s="834"/>
      <c r="AH51" s="835"/>
    </row>
    <row r="52" spans="1:45" ht="13.5" customHeight="1">
      <c r="A52" s="654">
        <v>4</v>
      </c>
      <c r="B52" s="779" t="str">
        <f t="shared" si="37"/>
        <v/>
      </c>
      <c r="C52" s="284"/>
      <c r="D52" s="284"/>
      <c r="E52" s="285"/>
      <c r="F52" s="402"/>
      <c r="G52" s="402"/>
      <c r="H52" s="402"/>
      <c r="I52" s="402"/>
      <c r="J52" s="402"/>
      <c r="K52" s="402"/>
      <c r="L52" s="283">
        <f t="shared" si="38"/>
        <v>0</v>
      </c>
      <c r="M52" s="284"/>
      <c r="N52" s="284"/>
      <c r="O52" s="284"/>
      <c r="P52" s="284"/>
      <c r="Q52" s="284"/>
      <c r="R52" s="284"/>
      <c r="S52" s="284"/>
      <c r="T52" s="284"/>
      <c r="U52" s="284"/>
      <c r="V52" s="284"/>
      <c r="W52" s="807"/>
      <c r="X52" s="808"/>
      <c r="Y52" s="808"/>
      <c r="Z52" s="808"/>
      <c r="AA52" s="808"/>
      <c r="AB52" s="809"/>
      <c r="AC52" s="833"/>
      <c r="AD52" s="834"/>
      <c r="AE52" s="834"/>
      <c r="AF52" s="834"/>
      <c r="AG52" s="834"/>
      <c r="AH52" s="835"/>
    </row>
    <row r="53" spans="1:45" ht="13.5" customHeight="1">
      <c r="A53" s="654">
        <v>5</v>
      </c>
      <c r="B53" s="779" t="str">
        <f t="shared" si="37"/>
        <v/>
      </c>
      <c r="C53" s="284"/>
      <c r="D53" s="284"/>
      <c r="E53" s="285"/>
      <c r="F53" s="402"/>
      <c r="G53" s="402"/>
      <c r="H53" s="402"/>
      <c r="I53" s="402"/>
      <c r="J53" s="402"/>
      <c r="K53" s="402"/>
      <c r="L53" s="283">
        <f t="shared" si="38"/>
        <v>0</v>
      </c>
      <c r="M53" s="284"/>
      <c r="N53" s="284"/>
      <c r="O53" s="284"/>
      <c r="P53" s="284"/>
      <c r="Q53" s="284"/>
      <c r="R53" s="284"/>
      <c r="S53" s="284"/>
      <c r="T53" s="284"/>
      <c r="U53" s="284"/>
      <c r="V53" s="284"/>
      <c r="W53" s="807"/>
      <c r="X53" s="808"/>
      <c r="Y53" s="808"/>
      <c r="Z53" s="808"/>
      <c r="AA53" s="808"/>
      <c r="AB53" s="809"/>
      <c r="AC53" s="833"/>
      <c r="AD53" s="834"/>
      <c r="AE53" s="834"/>
      <c r="AF53" s="834"/>
      <c r="AG53" s="834"/>
      <c r="AH53" s="835"/>
    </row>
    <row r="54" spans="1:45" ht="13.5" customHeight="1">
      <c r="A54" s="654">
        <v>6</v>
      </c>
      <c r="B54" s="779" t="str">
        <f t="shared" si="37"/>
        <v/>
      </c>
      <c r="C54" s="284"/>
      <c r="D54" s="284"/>
      <c r="E54" s="285"/>
      <c r="F54" s="402"/>
      <c r="G54" s="402"/>
      <c r="H54" s="402"/>
      <c r="I54" s="402"/>
      <c r="J54" s="402"/>
      <c r="K54" s="402"/>
      <c r="L54" s="283">
        <f t="shared" si="38"/>
        <v>0</v>
      </c>
      <c r="M54" s="284"/>
      <c r="N54" s="284"/>
      <c r="O54" s="284"/>
      <c r="P54" s="284"/>
      <c r="Q54" s="284"/>
      <c r="R54" s="284"/>
      <c r="S54" s="284"/>
      <c r="T54" s="284"/>
      <c r="U54" s="284"/>
      <c r="V54" s="284"/>
      <c r="W54" s="807"/>
      <c r="X54" s="808"/>
      <c r="Y54" s="808"/>
      <c r="Z54" s="808"/>
      <c r="AA54" s="808"/>
      <c r="AB54" s="809"/>
      <c r="AC54" s="833"/>
      <c r="AD54" s="834"/>
      <c r="AE54" s="834"/>
      <c r="AF54" s="834"/>
      <c r="AG54" s="834"/>
      <c r="AH54" s="835"/>
    </row>
    <row r="55" spans="1:45" ht="13.5" customHeight="1">
      <c r="A55" s="654">
        <v>7</v>
      </c>
      <c r="B55" s="779" t="str">
        <f t="shared" si="37"/>
        <v/>
      </c>
      <c r="C55" s="284"/>
      <c r="D55" s="284"/>
      <c r="E55" s="285"/>
      <c r="F55" s="402"/>
      <c r="G55" s="402"/>
      <c r="H55" s="402"/>
      <c r="I55" s="402"/>
      <c r="J55" s="402"/>
      <c r="K55" s="402"/>
      <c r="L55" s="283">
        <f t="shared" si="38"/>
        <v>0</v>
      </c>
      <c r="M55" s="284"/>
      <c r="N55" s="284"/>
      <c r="O55" s="284"/>
      <c r="P55" s="284"/>
      <c r="Q55" s="284"/>
      <c r="R55" s="284"/>
      <c r="S55" s="284"/>
      <c r="T55" s="284"/>
      <c r="U55" s="284"/>
      <c r="V55" s="284"/>
      <c r="W55" s="807"/>
      <c r="X55" s="808"/>
      <c r="Y55" s="808"/>
      <c r="Z55" s="808"/>
      <c r="AA55" s="808"/>
      <c r="AB55" s="809"/>
      <c r="AC55" s="833"/>
      <c r="AD55" s="834"/>
      <c r="AE55" s="834"/>
      <c r="AF55" s="834"/>
      <c r="AG55" s="834"/>
      <c r="AH55" s="835"/>
    </row>
    <row r="56" spans="1:45" ht="13.5" customHeight="1">
      <c r="A56" s="654">
        <v>8</v>
      </c>
      <c r="B56" s="779" t="str">
        <f t="shared" si="37"/>
        <v/>
      </c>
      <c r="C56" s="284"/>
      <c r="D56" s="284"/>
      <c r="E56" s="285"/>
      <c r="F56" s="402"/>
      <c r="G56" s="402"/>
      <c r="H56" s="402"/>
      <c r="I56" s="402"/>
      <c r="J56" s="402"/>
      <c r="K56" s="402"/>
      <c r="L56" s="283">
        <f t="shared" si="38"/>
        <v>0</v>
      </c>
      <c r="M56" s="284"/>
      <c r="N56" s="284"/>
      <c r="O56" s="284"/>
      <c r="P56" s="284"/>
      <c r="Q56" s="284"/>
      <c r="R56" s="284"/>
      <c r="S56" s="284"/>
      <c r="T56" s="284"/>
      <c r="U56" s="284"/>
      <c r="V56" s="284"/>
      <c r="W56" s="807"/>
      <c r="X56" s="808"/>
      <c r="Y56" s="808"/>
      <c r="Z56" s="808"/>
      <c r="AA56" s="808"/>
      <c r="AB56" s="809"/>
      <c r="AC56" s="833"/>
      <c r="AD56" s="834"/>
      <c r="AE56" s="834"/>
      <c r="AF56" s="834"/>
      <c r="AG56" s="834"/>
      <c r="AH56" s="835"/>
    </row>
    <row r="57" spans="1:45" ht="13.5" customHeight="1">
      <c r="A57" s="654">
        <v>9</v>
      </c>
      <c r="B57" s="779" t="str">
        <f t="shared" si="37"/>
        <v/>
      </c>
      <c r="C57" s="284"/>
      <c r="D57" s="284"/>
      <c r="E57" s="285"/>
      <c r="F57" s="402"/>
      <c r="G57" s="402"/>
      <c r="H57" s="402"/>
      <c r="I57" s="402"/>
      <c r="J57" s="402"/>
      <c r="K57" s="402"/>
      <c r="L57" s="283">
        <f t="shared" si="38"/>
        <v>0</v>
      </c>
      <c r="M57" s="284"/>
      <c r="N57" s="284"/>
      <c r="O57" s="284"/>
      <c r="P57" s="284"/>
      <c r="Q57" s="284"/>
      <c r="R57" s="284"/>
      <c r="S57" s="284"/>
      <c r="T57" s="284"/>
      <c r="U57" s="284"/>
      <c r="V57" s="284"/>
      <c r="W57" s="807"/>
      <c r="X57" s="808"/>
      <c r="Y57" s="808"/>
      <c r="Z57" s="808"/>
      <c r="AA57" s="808"/>
      <c r="AB57" s="809"/>
      <c r="AC57" s="833"/>
      <c r="AD57" s="834"/>
      <c r="AE57" s="834"/>
      <c r="AF57" s="834"/>
      <c r="AG57" s="834"/>
      <c r="AH57" s="835"/>
    </row>
    <row r="58" spans="1:45" ht="13.5" customHeight="1">
      <c r="A58" s="654">
        <v>10</v>
      </c>
      <c r="B58" s="779" t="str">
        <f t="shared" si="37"/>
        <v/>
      </c>
      <c r="C58" s="284"/>
      <c r="D58" s="284"/>
      <c r="E58" s="285"/>
      <c r="F58" s="402"/>
      <c r="G58" s="402"/>
      <c r="H58" s="402"/>
      <c r="I58" s="402"/>
      <c r="J58" s="402"/>
      <c r="K58" s="402"/>
      <c r="L58" s="283">
        <f t="shared" si="38"/>
        <v>0</v>
      </c>
      <c r="M58" s="284"/>
      <c r="N58" s="284"/>
      <c r="O58" s="284"/>
      <c r="P58" s="284"/>
      <c r="Q58" s="284"/>
      <c r="R58" s="284"/>
      <c r="S58" s="284"/>
      <c r="T58" s="284"/>
      <c r="U58" s="284"/>
      <c r="V58" s="284"/>
      <c r="W58" s="817"/>
      <c r="X58" s="818"/>
      <c r="Y58" s="818"/>
      <c r="Z58" s="818"/>
      <c r="AA58" s="818"/>
      <c r="AB58" s="819"/>
      <c r="AC58" s="833"/>
      <c r="AD58" s="834"/>
      <c r="AE58" s="834"/>
      <c r="AF58" s="834"/>
      <c r="AG58" s="834"/>
      <c r="AH58" s="835"/>
    </row>
    <row r="59" spans="1:45" ht="13.5" customHeight="1">
      <c r="A59" s="654">
        <v>11</v>
      </c>
      <c r="B59" s="779" t="str">
        <f t="shared" si="37"/>
        <v/>
      </c>
      <c r="C59" s="284"/>
      <c r="D59" s="284"/>
      <c r="E59" s="285"/>
      <c r="F59" s="402"/>
      <c r="G59" s="402"/>
      <c r="H59" s="402"/>
      <c r="I59" s="402"/>
      <c r="J59" s="402"/>
      <c r="K59" s="402"/>
      <c r="L59" s="283">
        <f t="shared" ref="L59:L60" si="39">SUM(M59:V59)</f>
        <v>0</v>
      </c>
      <c r="M59" s="284"/>
      <c r="N59" s="284"/>
      <c r="O59" s="284"/>
      <c r="P59" s="284"/>
      <c r="Q59" s="284"/>
      <c r="R59" s="284"/>
      <c r="S59" s="284"/>
      <c r="T59" s="284"/>
      <c r="U59" s="284"/>
      <c r="V59" s="284"/>
      <c r="W59" s="817"/>
      <c r="X59" s="818"/>
      <c r="Y59" s="818"/>
      <c r="Z59" s="818"/>
      <c r="AA59" s="818"/>
      <c r="AB59" s="819"/>
      <c r="AC59" s="833"/>
      <c r="AD59" s="834"/>
      <c r="AE59" s="834"/>
      <c r="AF59" s="834"/>
      <c r="AG59" s="834"/>
      <c r="AH59" s="835"/>
    </row>
    <row r="60" spans="1:45" ht="13.5" customHeight="1">
      <c r="A60" s="655">
        <v>12</v>
      </c>
      <c r="B60" s="780" t="str">
        <f t="shared" si="37"/>
        <v/>
      </c>
      <c r="C60" s="504"/>
      <c r="D60" s="504"/>
      <c r="E60" s="508"/>
      <c r="F60" s="402"/>
      <c r="G60" s="402"/>
      <c r="H60" s="402"/>
      <c r="I60" s="402"/>
      <c r="J60" s="402"/>
      <c r="K60" s="402"/>
      <c r="L60" s="506">
        <f t="shared" si="39"/>
        <v>0</v>
      </c>
      <c r="M60" s="504"/>
      <c r="N60" s="504"/>
      <c r="O60" s="504"/>
      <c r="P60" s="504"/>
      <c r="Q60" s="504"/>
      <c r="R60" s="504"/>
      <c r="S60" s="504"/>
      <c r="T60" s="504"/>
      <c r="U60" s="504"/>
      <c r="V60" s="504"/>
      <c r="W60" s="813"/>
      <c r="X60" s="814"/>
      <c r="Y60" s="814"/>
      <c r="Z60" s="814"/>
      <c r="AA60" s="814"/>
      <c r="AB60" s="815"/>
      <c r="AC60" s="836"/>
      <c r="AD60" s="837"/>
      <c r="AE60" s="837"/>
      <c r="AF60" s="837"/>
      <c r="AG60" s="837"/>
      <c r="AH60" s="838"/>
    </row>
    <row r="61" spans="1:45" s="263" customFormat="1" ht="13.5" customHeight="1">
      <c r="AS61" s="272"/>
    </row>
    <row r="62" spans="1:45" s="263" customFormat="1" ht="13.5" customHeight="1">
      <c r="W62" s="1" t="s">
        <v>252</v>
      </c>
      <c r="AC62" s="1" t="s">
        <v>252</v>
      </c>
      <c r="AS62" s="272"/>
    </row>
    <row r="63" spans="1:45" s="263" customFormat="1" ht="13.5" customHeight="1">
      <c r="W63" s="800" t="s">
        <v>253</v>
      </c>
      <c r="X63" s="800"/>
      <c r="Y63" s="800"/>
      <c r="Z63" s="800"/>
      <c r="AA63" s="800"/>
      <c r="AB63" s="800"/>
      <c r="AC63" s="800"/>
      <c r="AD63" s="800"/>
      <c r="AE63" s="800"/>
      <c r="AF63" s="800"/>
      <c r="AG63" s="800"/>
      <c r="AH63" s="800"/>
      <c r="AS63" s="272"/>
    </row>
    <row r="64" spans="1:45" s="263" customFormat="1" ht="13.5" customHeight="1">
      <c r="W64" s="800" t="s">
        <v>254</v>
      </c>
      <c r="X64" s="800"/>
      <c r="Y64" s="800"/>
      <c r="Z64" s="800"/>
      <c r="AA64" s="800"/>
      <c r="AB64" s="800"/>
      <c r="AC64" s="1"/>
      <c r="AD64" s="1"/>
      <c r="AE64" s="1"/>
      <c r="AF64" s="1"/>
      <c r="AG64" s="1"/>
      <c r="AH64" s="1"/>
      <c r="AS64" s="272"/>
    </row>
    <row r="65" spans="6:45" s="263" customFormat="1" ht="13.5" customHeight="1">
      <c r="W65" s="800" t="s">
        <v>255</v>
      </c>
      <c r="X65" s="800"/>
      <c r="Y65" s="800"/>
      <c r="Z65" s="800"/>
      <c r="AA65" s="800"/>
      <c r="AB65" s="800"/>
      <c r="AC65" s="800" t="s">
        <v>256</v>
      </c>
      <c r="AD65" s="800"/>
      <c r="AE65" s="800"/>
      <c r="AF65" s="800"/>
      <c r="AG65" s="800"/>
      <c r="AH65" s="800"/>
      <c r="AS65" s="272"/>
    </row>
    <row r="66" spans="6:45" s="263" customFormat="1" ht="13.5" customHeight="1">
      <c r="W66" s="800" t="s">
        <v>257</v>
      </c>
      <c r="X66" s="800"/>
      <c r="Y66" s="800"/>
      <c r="Z66" s="800"/>
      <c r="AA66" s="800"/>
      <c r="AB66" s="800"/>
      <c r="AC66" s="800" t="s">
        <v>258</v>
      </c>
      <c r="AD66" s="800"/>
      <c r="AE66" s="800"/>
      <c r="AF66" s="800"/>
      <c r="AG66" s="800"/>
      <c r="AH66" s="800"/>
      <c r="AS66" s="272"/>
    </row>
    <row r="67" spans="6:45" s="263" customFormat="1" ht="13.5" customHeight="1">
      <c r="AC67" s="800" t="s">
        <v>259</v>
      </c>
      <c r="AD67" s="800"/>
      <c r="AE67" s="800"/>
      <c r="AF67" s="800"/>
      <c r="AG67" s="800"/>
      <c r="AH67" s="800"/>
      <c r="AS67" s="272"/>
    </row>
    <row r="68" spans="6:45" s="263" customFormat="1" ht="13.5" customHeight="1">
      <c r="AS68" s="272"/>
    </row>
    <row r="69" spans="6:45" ht="13.5" customHeight="1">
      <c r="F69" s="263"/>
      <c r="G69" s="263"/>
      <c r="H69" s="263"/>
      <c r="I69" s="263"/>
      <c r="J69" s="263"/>
      <c r="K69" s="263"/>
    </row>
    <row r="70" spans="6:45" ht="13.5" customHeight="1">
      <c r="F70" s="263"/>
      <c r="G70" s="263"/>
      <c r="H70" s="263"/>
      <c r="I70" s="263"/>
      <c r="J70" s="263"/>
      <c r="K70" s="263"/>
    </row>
    <row r="71" spans="6:45" ht="13.5" customHeight="1">
      <c r="F71" s="263"/>
      <c r="G71" s="263"/>
      <c r="H71" s="263"/>
      <c r="I71" s="263"/>
      <c r="J71" s="263"/>
      <c r="K71" s="263"/>
    </row>
    <row r="72" spans="6:45" ht="13.5" customHeight="1">
      <c r="F72" s="263"/>
      <c r="G72" s="263"/>
      <c r="H72" s="263"/>
      <c r="I72" s="263"/>
      <c r="J72" s="263"/>
      <c r="K72" s="263"/>
    </row>
    <row r="73" spans="6:45" ht="13.5" customHeight="1">
      <c r="F73" s="263"/>
      <c r="G73" s="263"/>
      <c r="H73" s="263"/>
      <c r="I73" s="263"/>
      <c r="J73" s="263"/>
      <c r="K73" s="263"/>
    </row>
    <row r="74" spans="6:45" ht="13.5" customHeight="1">
      <c r="F74" s="263"/>
      <c r="G74" s="263"/>
      <c r="H74" s="263"/>
      <c r="I74" s="263"/>
      <c r="J74" s="263"/>
      <c r="K74" s="263"/>
    </row>
  </sheetData>
  <dataConsolidate topLabels="1" link="1">
    <dataRefs count="1">
      <dataRef ref="BE16:BF40" sheet="☆入力シート" r:id="rId1"/>
    </dataRefs>
  </dataConsolidate>
  <mergeCells count="65">
    <mergeCell ref="W63:AB63"/>
    <mergeCell ref="W64:AB64"/>
    <mergeCell ref="W65:AB65"/>
    <mergeCell ref="W66:AB66"/>
    <mergeCell ref="AC63:AH63"/>
    <mergeCell ref="AC65:AH65"/>
    <mergeCell ref="AC66:AH66"/>
    <mergeCell ref="W59:AB59"/>
    <mergeCell ref="W60:AB60"/>
    <mergeCell ref="AC49:AH49"/>
    <mergeCell ref="AC50:AH50"/>
    <mergeCell ref="AC51:AH51"/>
    <mergeCell ref="AC52:AH52"/>
    <mergeCell ref="AC53:AH53"/>
    <mergeCell ref="AC54:AH54"/>
    <mergeCell ref="AC55:AH55"/>
    <mergeCell ref="AC56:AH56"/>
    <mergeCell ref="AC57:AH57"/>
    <mergeCell ref="AC58:AH58"/>
    <mergeCell ref="AC59:AH59"/>
    <mergeCell ref="AC60:AH60"/>
    <mergeCell ref="W54:AB54"/>
    <mergeCell ref="W55:AB55"/>
    <mergeCell ref="W56:AB56"/>
    <mergeCell ref="W57:AB57"/>
    <mergeCell ref="W58:AB58"/>
    <mergeCell ref="W49:AB49"/>
    <mergeCell ref="W50:AB50"/>
    <mergeCell ref="W51:AB51"/>
    <mergeCell ref="W52:AB52"/>
    <mergeCell ref="W53:AB53"/>
    <mergeCell ref="AC48:AH48"/>
    <mergeCell ref="A11:G11"/>
    <mergeCell ref="A12:G12"/>
    <mergeCell ref="A13:G13"/>
    <mergeCell ref="AH11:AI11"/>
    <mergeCell ref="W48:AB48"/>
    <mergeCell ref="AH6:AN6"/>
    <mergeCell ref="AL10:AN10"/>
    <mergeCell ref="A10:G10"/>
    <mergeCell ref="AH5:AN5"/>
    <mergeCell ref="A5:B5"/>
    <mergeCell ref="A6:B6"/>
    <mergeCell ref="A7:B7"/>
    <mergeCell ref="A8:B8"/>
    <mergeCell ref="C5:F5"/>
    <mergeCell ref="C6:F6"/>
    <mergeCell ref="C7:F7"/>
    <mergeCell ref="C8:F8"/>
    <mergeCell ref="AC67:AH67"/>
    <mergeCell ref="AY13:BG14"/>
    <mergeCell ref="AH4:AN4"/>
    <mergeCell ref="J12:K12"/>
    <mergeCell ref="X2:AF2"/>
    <mergeCell ref="X3:AF3"/>
    <mergeCell ref="X4:AF4"/>
    <mergeCell ref="X5:AF5"/>
    <mergeCell ref="X6:AF6"/>
    <mergeCell ref="X7:AF7"/>
    <mergeCell ref="X8:AF8"/>
    <mergeCell ref="X9:AF9"/>
    <mergeCell ref="X10:AF10"/>
    <mergeCell ref="X11:AF11"/>
    <mergeCell ref="X12:AF12"/>
    <mergeCell ref="AH12:AI12"/>
  </mergeCells>
  <phoneticPr fontId="2"/>
  <dataValidations count="3">
    <dataValidation type="list" allowBlank="1" showInputMessage="1" showErrorMessage="1" sqref="AR11" xr:uid="{F823E6F1-942F-476F-A5F2-1541141276DE}">
      <formula1>"0%,5%,10%"</formula1>
    </dataValidation>
    <dataValidation type="list" allowBlank="1" showInputMessage="1" showErrorMessage="1" sqref="AR12" xr:uid="{441D7247-3A97-4FA8-96ED-1DE49880B3E0}">
      <formula1>"0%,5%"</formula1>
    </dataValidation>
    <dataValidation type="list" allowBlank="1" showInputMessage="1" showErrorMessage="1" sqref="AU16:AU45" xr:uid="{02D0D979-F854-44C6-BFDC-E4C31CD59423}">
      <formula1>$AR$12</formula1>
    </dataValidation>
  </dataValidation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4">
        <x14:dataValidation type="list" allowBlank="1" showInputMessage="1" showErrorMessage="1" xr:uid="{8AEDD69C-AEDF-453B-AE4C-2414D3E2C6A0}">
          <x14:formula1>
            <xm:f>LED計算式!$C$37:$C$40</xm:f>
          </x14:formula1>
          <xm:sqref>AH12:AI12</xm:sqref>
        </x14:dataValidation>
        <x14:dataValidation type="list" allowBlank="1" showInputMessage="1" showErrorMessage="1" xr:uid="{BEE321F8-7D07-4F09-B89C-9183B42C060D}">
          <x14:formula1>
            <xm:f>選定!$C$3:$C$40</xm:f>
          </x14:formula1>
          <xm:sqref>G16:G45</xm:sqref>
        </x14:dataValidation>
        <x14:dataValidation type="list" allowBlank="1" showInputMessage="1" showErrorMessage="1" xr:uid="{9FDA5614-4C5A-4CA2-A0CA-8A31EA6CA45A}">
          <x14:formula1>
            <xm:f>LED計算式!$N$32:$N$33</xm:f>
          </x14:formula1>
          <xm:sqref>B14</xm:sqref>
        </x14:dataValidation>
        <x14:dataValidation type="list" allowBlank="1" showInputMessage="1" showErrorMessage="1" xr:uid="{72441896-B48B-4833-A868-2F56BEB5F8FA}">
          <x14:formula1>
            <xm:f>LED計算式!$N$36:$N$39</xm:f>
          </x14:formula1>
          <xm:sqref>AE16:AE45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CA1B4-CE9D-4368-B367-0C1DF5F7E5B9}">
  <dimension ref="A1:D18"/>
  <sheetViews>
    <sheetView workbookViewId="0">
      <selection activeCell="C56" sqref="C56"/>
    </sheetView>
  </sheetViews>
  <sheetFormatPr defaultColWidth="8.875" defaultRowHeight="15" customHeight="1"/>
  <cols>
    <col min="1" max="1" width="8.625" style="782" customWidth="1"/>
    <col min="2" max="2" width="6.375" style="782" customWidth="1"/>
    <col min="3" max="3" width="43.375" style="782" bestFit="1" customWidth="1"/>
    <col min="4" max="4" width="25.75" style="782" customWidth="1"/>
    <col min="5" max="16384" width="8.875" style="782"/>
  </cols>
  <sheetData>
    <row r="1" spans="1:4" ht="22.5" customHeight="1">
      <c r="A1" s="839" t="s">
        <v>260</v>
      </c>
      <c r="B1" s="1534"/>
      <c r="C1" s="1534"/>
      <c r="D1" s="1534"/>
    </row>
    <row r="3" spans="1:4" ht="15" customHeight="1">
      <c r="A3" s="783" t="s">
        <v>261</v>
      </c>
      <c r="B3" s="784" t="s">
        <v>262</v>
      </c>
      <c r="C3" s="784" t="s">
        <v>263</v>
      </c>
      <c r="D3" s="785" t="s">
        <v>126</v>
      </c>
    </row>
    <row r="4" spans="1:4" ht="15" customHeight="1">
      <c r="A4" s="786"/>
      <c r="B4" s="787">
        <v>1</v>
      </c>
      <c r="C4" s="788" t="s">
        <v>264</v>
      </c>
      <c r="D4" s="789"/>
    </row>
    <row r="5" spans="1:4" ht="15" customHeight="1">
      <c r="A5" s="786"/>
      <c r="B5" s="787">
        <v>2</v>
      </c>
      <c r="C5" s="788" t="s">
        <v>265</v>
      </c>
      <c r="D5" s="789"/>
    </row>
    <row r="6" spans="1:4" ht="15" customHeight="1">
      <c r="A6" s="786"/>
      <c r="B6" s="787">
        <v>3</v>
      </c>
      <c r="C6" s="788" t="s">
        <v>266</v>
      </c>
      <c r="D6" s="789"/>
    </row>
    <row r="7" spans="1:4" ht="15" customHeight="1">
      <c r="A7" s="786"/>
      <c r="B7" s="787">
        <v>4</v>
      </c>
      <c r="C7" s="788" t="s">
        <v>267</v>
      </c>
      <c r="D7" s="789"/>
    </row>
    <row r="8" spans="1:4" ht="15" customHeight="1">
      <c r="A8" s="790"/>
      <c r="B8" s="791">
        <v>5</v>
      </c>
      <c r="C8" s="792" t="s">
        <v>268</v>
      </c>
      <c r="D8" s="793"/>
    </row>
    <row r="9" spans="1:4" ht="15" customHeight="1">
      <c r="A9" s="790"/>
      <c r="B9" s="791">
        <v>6</v>
      </c>
      <c r="C9" s="792" t="s">
        <v>269</v>
      </c>
      <c r="D9" s="793"/>
    </row>
    <row r="10" spans="1:4" ht="15" customHeight="1">
      <c r="A10" s="790"/>
      <c r="B10" s="791">
        <v>7</v>
      </c>
      <c r="C10" s="792" t="s">
        <v>270</v>
      </c>
      <c r="D10" s="793"/>
    </row>
    <row r="11" spans="1:4" ht="15" customHeight="1">
      <c r="A11" s="790"/>
      <c r="B11" s="791">
        <v>8</v>
      </c>
      <c r="C11" s="792" t="s">
        <v>271</v>
      </c>
      <c r="D11" s="793"/>
    </row>
    <row r="12" spans="1:4" ht="15" customHeight="1">
      <c r="A12" s="790"/>
      <c r="B12" s="791">
        <v>9</v>
      </c>
      <c r="C12" s="792" t="s">
        <v>272</v>
      </c>
      <c r="D12" s="793"/>
    </row>
    <row r="13" spans="1:4" ht="15" customHeight="1">
      <c r="A13" s="790"/>
      <c r="B13" s="791">
        <v>10</v>
      </c>
      <c r="C13" s="792" t="s">
        <v>273</v>
      </c>
      <c r="D13" s="793"/>
    </row>
    <row r="14" spans="1:4" ht="15" customHeight="1">
      <c r="A14" s="790"/>
      <c r="B14" s="791">
        <v>11</v>
      </c>
      <c r="C14" s="792" t="s">
        <v>274</v>
      </c>
      <c r="D14" s="793"/>
    </row>
    <row r="15" spans="1:4" ht="15" customHeight="1" thickBot="1">
      <c r="A15" s="794"/>
      <c r="B15" s="795">
        <v>12</v>
      </c>
      <c r="C15" s="796" t="s">
        <v>275</v>
      </c>
      <c r="D15" s="797"/>
    </row>
    <row r="17" spans="1:3" ht="15" customHeight="1">
      <c r="A17" s="798" t="s">
        <v>276</v>
      </c>
      <c r="B17" s="798"/>
      <c r="C17" s="798"/>
    </row>
    <row r="18" spans="1:3" ht="15" customHeight="1">
      <c r="A18" s="799" t="s">
        <v>277</v>
      </c>
    </row>
  </sheetData>
  <mergeCells count="1">
    <mergeCell ref="A1:D1"/>
  </mergeCells>
  <phoneticPr fontId="2"/>
  <dataValidations count="1">
    <dataValidation type="list" allowBlank="1" showInputMessage="1" showErrorMessage="1" sqref="A4:A15" xr:uid="{21B54936-4409-4520-A7DC-09F316F82139}">
      <formula1>"✓"</formula1>
    </dataValidation>
  </dataValidations>
  <pageMargins left="0.7" right="0.7" top="0.75" bottom="0.75" header="0.3" footer="0.3"/>
  <pageSetup orientation="portrait"/>
  <headerFooter>
    <oddHeader>&amp;L&amp;C&amp;R</oddHeader>
    <oddFooter>&amp;L&amp;C&amp;R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4517F-6C9D-44E9-8A9B-9787F0BF91B1}">
  <sheetPr>
    <tabColor rgb="FF0070C0"/>
  </sheetPr>
  <dimension ref="A2:N28"/>
  <sheetViews>
    <sheetView view="pageBreakPreview" zoomScale="70" zoomScaleNormal="50" zoomScaleSheetLayoutView="70" workbookViewId="0">
      <selection activeCell="M21" sqref="M21"/>
    </sheetView>
  </sheetViews>
  <sheetFormatPr defaultRowHeight="18.75"/>
  <sheetData>
    <row r="2" spans="1:9" ht="18.75" customHeight="1">
      <c r="A2" s="840">
        <f>☆入力!C5</f>
        <v>0</v>
      </c>
      <c r="B2" s="840"/>
      <c r="C2" s="840"/>
      <c r="D2" s="840"/>
      <c r="E2" s="840"/>
      <c r="F2" s="840"/>
      <c r="G2" s="840"/>
      <c r="H2" s="840"/>
      <c r="I2" s="840"/>
    </row>
    <row r="3" spans="1:9" ht="18.75" customHeight="1">
      <c r="A3" s="840"/>
      <c r="B3" s="840"/>
      <c r="C3" s="840"/>
      <c r="D3" s="840"/>
      <c r="E3" s="840"/>
      <c r="F3" s="840"/>
      <c r="G3" s="840"/>
      <c r="H3" s="840"/>
      <c r="I3" s="840"/>
    </row>
    <row r="4" spans="1:9" ht="18" customHeight="1">
      <c r="A4" s="840"/>
      <c r="B4" s="840"/>
      <c r="C4" s="840"/>
      <c r="D4" s="840"/>
      <c r="E4" s="840"/>
      <c r="F4" s="840"/>
      <c r="G4" s="840"/>
      <c r="H4" s="840"/>
      <c r="I4" s="840"/>
    </row>
    <row r="25" spans="1:14" ht="33">
      <c r="A25" s="841" t="str">
        <f>代理店入力用!N3</f>
        <v>株式会社ニッショー</v>
      </c>
      <c r="B25" s="841"/>
      <c r="C25" s="841"/>
      <c r="D25" s="841"/>
      <c r="E25" s="841"/>
      <c r="F25" s="841"/>
      <c r="G25" s="341"/>
      <c r="H25" s="341"/>
      <c r="I25" s="343" t="s">
        <v>278</v>
      </c>
    </row>
    <row r="26" spans="1:14" ht="19.5">
      <c r="A26" s="842" t="str">
        <f>代理店入力用!N4&amp;代理店入力用!N5</f>
        <v/>
      </c>
      <c r="B26" s="842"/>
      <c r="C26" s="842"/>
      <c r="D26" s="842"/>
      <c r="E26" s="842"/>
      <c r="F26" s="842"/>
      <c r="G26" s="342"/>
      <c r="H26" s="342"/>
      <c r="I26" s="5" t="s">
        <v>279</v>
      </c>
      <c r="K26" s="342"/>
    </row>
    <row r="27" spans="1:14" ht="19.5">
      <c r="A27" s="842" t="str">
        <f>"TEL：　"&amp;代理店入力用!N6</f>
        <v>TEL：　管理担当営業所へお問い合わせ下さい。</v>
      </c>
      <c r="B27" s="842"/>
      <c r="C27" s="842"/>
      <c r="D27" s="842"/>
      <c r="E27" s="842"/>
      <c r="F27" s="842"/>
      <c r="G27" s="342"/>
      <c r="H27" s="342"/>
      <c r="I27" s="5" t="s">
        <v>280</v>
      </c>
    </row>
    <row r="28" spans="1:14" ht="19.5">
      <c r="A28" s="842" t="str">
        <f>"担当："&amp;代理店入力用!N7</f>
        <v>担当：物件担当者</v>
      </c>
      <c r="B28" s="842"/>
      <c r="C28" s="842"/>
      <c r="D28" s="842"/>
      <c r="E28" s="842"/>
      <c r="F28" s="842"/>
      <c r="G28" s="342"/>
      <c r="H28" s="342"/>
      <c r="I28" s="5"/>
      <c r="N28" s="311">
        <v>1</v>
      </c>
    </row>
  </sheetData>
  <mergeCells count="5">
    <mergeCell ref="A2:I4"/>
    <mergeCell ref="A25:F25"/>
    <mergeCell ref="A26:F26"/>
    <mergeCell ref="A27:F27"/>
    <mergeCell ref="A28:F28"/>
  </mergeCells>
  <phoneticPr fontId="2"/>
  <conditionalFormatting sqref="A25:F25">
    <cfRule type="cellIs" dxfId="98" priority="2" operator="equal">
      <formula>0</formula>
    </cfRule>
  </conditionalFormatting>
  <conditionalFormatting sqref="A27:F27">
    <cfRule type="cellIs" dxfId="97" priority="1" operator="equal">
      <formula>"TEL：　"</formula>
    </cfRule>
  </conditionalFormatting>
  <conditionalFormatting sqref="A28:F28">
    <cfRule type="cellIs" dxfId="96" priority="3" operator="equal">
      <formula>"担当："</formula>
    </cfRule>
  </conditionalFormatting>
  <printOptions horizontalCentered="1" verticalCentered="1"/>
  <pageMargins left="0" right="0" top="0" bottom="0" header="0" footer="0"/>
  <pageSetup paperSize="9" scale="9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03091-A077-446F-82B8-CF99E570519B}">
  <sheetPr>
    <tabColor rgb="FF0070C0"/>
  </sheetPr>
  <dimension ref="A1:AZ32"/>
  <sheetViews>
    <sheetView view="pageBreakPreview" zoomScale="70" zoomScaleNormal="55" zoomScaleSheetLayoutView="70" workbookViewId="0">
      <selection activeCell="AR14" sqref="AR14"/>
    </sheetView>
  </sheetViews>
  <sheetFormatPr defaultColWidth="3.625" defaultRowHeight="18.75"/>
  <cols>
    <col min="1" max="16384" width="3.625" style="13"/>
  </cols>
  <sheetData>
    <row r="1" spans="1:52" s="73" customFormat="1" ht="38.25">
      <c r="A1" s="844" t="s">
        <v>281</v>
      </c>
      <c r="B1" s="844"/>
      <c r="C1" s="844"/>
      <c r="D1" s="844"/>
      <c r="E1" s="844"/>
      <c r="F1" s="844"/>
      <c r="G1" s="844"/>
      <c r="H1" s="844"/>
      <c r="I1" s="844"/>
      <c r="J1" s="844"/>
      <c r="K1" s="844"/>
      <c r="L1" s="844"/>
      <c r="M1" s="844"/>
      <c r="N1" s="844"/>
      <c r="O1" s="844"/>
      <c r="P1" s="844"/>
      <c r="Q1" s="844"/>
      <c r="R1" s="844"/>
      <c r="S1" s="844"/>
      <c r="T1" s="844"/>
      <c r="U1" s="844"/>
      <c r="V1" s="844"/>
      <c r="W1" s="844"/>
      <c r="X1" s="844"/>
      <c r="Y1" s="844"/>
      <c r="Z1" s="844"/>
      <c r="AA1" s="844"/>
      <c r="AB1" s="844"/>
      <c r="AC1" s="844"/>
      <c r="AD1" s="844"/>
      <c r="AE1" s="844"/>
      <c r="AF1" s="844"/>
      <c r="AG1" s="844"/>
      <c r="AH1" s="844"/>
      <c r="AI1" s="844"/>
      <c r="AJ1" s="844"/>
      <c r="AK1" s="844"/>
      <c r="AL1" s="844"/>
      <c r="AM1" s="844"/>
      <c r="AN1" s="844"/>
      <c r="AO1" s="844"/>
      <c r="AP1" s="844"/>
      <c r="AQ1" s="844"/>
      <c r="AR1" s="844"/>
      <c r="AS1" s="844"/>
      <c r="AT1" s="844"/>
      <c r="AU1" s="844"/>
      <c r="AV1" s="844"/>
      <c r="AW1" s="844"/>
      <c r="AX1" s="844"/>
      <c r="AY1" s="844"/>
      <c r="AZ1" s="258"/>
    </row>
    <row r="2" spans="1:52" ht="22.15" customHeight="1">
      <c r="B2" s="843" t="s">
        <v>282</v>
      </c>
      <c r="C2" s="843"/>
      <c r="D2" s="843"/>
      <c r="E2" s="843"/>
      <c r="F2" s="843"/>
      <c r="G2" s="843"/>
      <c r="H2" s="843"/>
      <c r="I2" s="843"/>
      <c r="J2" s="843"/>
      <c r="K2" s="843"/>
      <c r="L2" s="843"/>
      <c r="M2" s="843"/>
      <c r="N2" s="843"/>
      <c r="O2" s="843"/>
      <c r="P2" s="843"/>
      <c r="Q2" s="843"/>
      <c r="R2" s="843"/>
      <c r="S2" s="843"/>
      <c r="T2" s="843"/>
      <c r="U2" s="843"/>
      <c r="V2" s="843"/>
      <c r="W2" s="843"/>
      <c r="X2" s="843"/>
      <c r="Y2" s="843"/>
    </row>
    <row r="3" spans="1:52" ht="22.15" customHeight="1">
      <c r="B3" s="843"/>
      <c r="C3" s="843"/>
      <c r="D3" s="843"/>
      <c r="E3" s="843"/>
      <c r="F3" s="843"/>
      <c r="G3" s="843"/>
      <c r="H3" s="843"/>
      <c r="I3" s="843"/>
      <c r="J3" s="843"/>
      <c r="K3" s="843"/>
      <c r="L3" s="843"/>
      <c r="M3" s="843"/>
      <c r="N3" s="843"/>
      <c r="O3" s="843"/>
      <c r="P3" s="843"/>
      <c r="Q3" s="843"/>
      <c r="R3" s="843"/>
      <c r="S3" s="843"/>
      <c r="T3" s="843"/>
      <c r="U3" s="843"/>
      <c r="V3" s="843"/>
      <c r="W3" s="843"/>
      <c r="X3" s="843"/>
      <c r="Y3" s="843"/>
    </row>
    <row r="4" spans="1:52" s="253" customFormat="1" ht="22.15" customHeight="1">
      <c r="B4" s="843"/>
      <c r="C4" s="843"/>
      <c r="D4" s="843"/>
      <c r="E4" s="843"/>
      <c r="F4" s="843"/>
      <c r="G4" s="843"/>
      <c r="H4" s="843"/>
      <c r="I4" s="843"/>
      <c r="J4" s="843"/>
      <c r="K4" s="843"/>
      <c r="L4" s="843"/>
      <c r="M4" s="843"/>
      <c r="N4" s="843"/>
      <c r="O4" s="843"/>
      <c r="P4" s="843"/>
      <c r="Q4" s="843"/>
      <c r="R4" s="843"/>
      <c r="S4" s="843"/>
      <c r="T4" s="843"/>
      <c r="U4" s="843"/>
      <c r="V4" s="843"/>
      <c r="W4" s="843"/>
      <c r="X4" s="843"/>
      <c r="Y4" s="843"/>
    </row>
    <row r="5" spans="1:52" ht="22.15" customHeight="1"/>
    <row r="6" spans="1:52" s="255" customFormat="1" ht="22.15" customHeight="1">
      <c r="C6" s="257" t="s">
        <v>283</v>
      </c>
      <c r="D6" s="257"/>
      <c r="E6" s="257"/>
      <c r="F6" s="257"/>
      <c r="G6" s="257"/>
      <c r="H6" s="257"/>
      <c r="I6" s="257"/>
      <c r="J6" s="257"/>
      <c r="K6" s="257"/>
      <c r="L6" s="257"/>
      <c r="M6" s="257"/>
      <c r="N6" s="257"/>
      <c r="O6" s="257"/>
      <c r="P6" s="257"/>
      <c r="Q6" s="257"/>
      <c r="R6" s="257"/>
      <c r="S6" s="257"/>
      <c r="T6" s="257"/>
      <c r="U6" s="257"/>
      <c r="V6" s="257"/>
      <c r="W6" s="257"/>
      <c r="X6" s="257"/>
      <c r="Y6" s="257"/>
      <c r="Z6" s="257"/>
      <c r="AA6" s="257"/>
      <c r="AB6" s="257"/>
      <c r="AC6" s="257"/>
      <c r="AD6" s="257"/>
    </row>
    <row r="7" spans="1:52" s="254" customFormat="1" ht="22.15" customHeight="1">
      <c r="C7" s="13"/>
    </row>
    <row r="8" spans="1:52" ht="22.15" customHeight="1">
      <c r="C8" s="13" t="s">
        <v>284</v>
      </c>
    </row>
    <row r="9" spans="1:52" ht="22.15" customHeight="1"/>
    <row r="10" spans="1:52" s="253" customFormat="1" ht="22.15" customHeight="1" thickBot="1">
      <c r="B10" s="256" t="s">
        <v>285</v>
      </c>
      <c r="C10" s="256"/>
      <c r="D10" s="256"/>
      <c r="E10" s="256"/>
      <c r="F10" s="256"/>
      <c r="G10" s="256"/>
      <c r="H10" s="256"/>
      <c r="I10" s="256"/>
      <c r="J10" s="256"/>
    </row>
    <row r="11" spans="1:52" ht="22.15" customHeight="1" thickTop="1"/>
    <row r="12" spans="1:52" s="255" customFormat="1" ht="22.15" customHeight="1">
      <c r="C12" s="257" t="s">
        <v>286</v>
      </c>
      <c r="D12" s="257"/>
      <c r="E12" s="257"/>
      <c r="F12" s="257"/>
      <c r="G12" s="257"/>
      <c r="H12" s="257"/>
      <c r="I12" s="257"/>
      <c r="J12" s="257"/>
      <c r="K12" s="257"/>
      <c r="L12" s="257"/>
      <c r="M12" s="257"/>
      <c r="N12" s="257"/>
      <c r="O12" s="257"/>
      <c r="P12" s="257"/>
      <c r="Q12" s="257"/>
      <c r="R12" s="257"/>
      <c r="S12" s="257"/>
      <c r="T12" s="257"/>
      <c r="U12" s="257"/>
      <c r="V12" s="257"/>
      <c r="W12" s="257"/>
      <c r="X12" s="257"/>
      <c r="Y12" s="257"/>
      <c r="Z12" s="257"/>
      <c r="AA12" s="257"/>
      <c r="AB12" s="257"/>
      <c r="AC12" s="257"/>
      <c r="AD12" s="257"/>
      <c r="AE12" s="257"/>
    </row>
    <row r="13" spans="1:52" ht="22.15" customHeight="1">
      <c r="C13" s="13" t="s">
        <v>287</v>
      </c>
      <c r="M13" s="847">
        <f>☆入力!AR9</f>
        <v>0</v>
      </c>
      <c r="N13" s="847"/>
      <c r="O13" s="847"/>
      <c r="P13" s="13" t="s">
        <v>288</v>
      </c>
    </row>
    <row r="14" spans="1:52">
      <c r="C14" s="13" t="s">
        <v>289</v>
      </c>
    </row>
    <row r="15" spans="1:52" ht="22.15" customHeight="1"/>
    <row r="16" spans="1:52" s="253" customFormat="1" ht="22.15" customHeight="1" thickBot="1">
      <c r="B16" s="256" t="s">
        <v>290</v>
      </c>
      <c r="C16" s="256"/>
      <c r="D16" s="256"/>
      <c r="E16" s="256"/>
      <c r="F16" s="256"/>
      <c r="G16" s="256"/>
    </row>
    <row r="17" spans="2:51" ht="22.15" customHeight="1" thickTop="1"/>
    <row r="18" spans="2:51" s="255" customFormat="1" ht="22.15" customHeight="1">
      <c r="C18" s="845" t="s">
        <v>291</v>
      </c>
      <c r="D18" s="845"/>
      <c r="E18" s="845"/>
      <c r="F18" s="845"/>
      <c r="G18" s="845"/>
      <c r="H18" s="845"/>
      <c r="I18" s="845"/>
      <c r="J18" s="845"/>
      <c r="K18" s="845"/>
      <c r="L18" s="845"/>
      <c r="M18" s="845"/>
      <c r="N18" s="845"/>
      <c r="O18" s="845"/>
      <c r="P18" s="845"/>
      <c r="Q18" s="846" t="s">
        <v>292</v>
      </c>
      <c r="R18" s="846"/>
      <c r="S18" s="846"/>
      <c r="T18" s="846"/>
      <c r="U18" s="846"/>
      <c r="V18" s="846"/>
      <c r="W18" s="846"/>
      <c r="X18" s="846"/>
      <c r="Y18" s="846"/>
      <c r="Z18" s="845" t="s">
        <v>293</v>
      </c>
      <c r="AA18" s="845"/>
      <c r="AB18" s="845"/>
      <c r="AC18" s="845"/>
      <c r="AD18" s="845"/>
      <c r="AE18" s="845"/>
      <c r="AF18" s="845"/>
      <c r="AG18" s="845"/>
      <c r="AH18" s="845"/>
      <c r="AI18" s="845"/>
      <c r="AJ18" s="845"/>
      <c r="AK18" s="845"/>
      <c r="AL18" s="845"/>
      <c r="AM18" s="845"/>
    </row>
    <row r="19" spans="2:51" ht="22.15" customHeight="1">
      <c r="C19" s="845"/>
      <c r="D19" s="845"/>
      <c r="E19" s="845"/>
      <c r="F19" s="845"/>
      <c r="G19" s="845"/>
      <c r="H19" s="845"/>
      <c r="I19" s="845"/>
      <c r="J19" s="845"/>
      <c r="K19" s="845"/>
      <c r="L19" s="845"/>
      <c r="M19" s="845"/>
      <c r="N19" s="845"/>
      <c r="O19" s="845"/>
      <c r="P19" s="845"/>
      <c r="Q19" s="846"/>
      <c r="R19" s="846"/>
      <c r="S19" s="846"/>
      <c r="T19" s="846"/>
      <c r="U19" s="846"/>
      <c r="V19" s="846"/>
      <c r="W19" s="846"/>
      <c r="X19" s="846"/>
      <c r="Y19" s="846"/>
      <c r="Z19" s="845"/>
      <c r="AA19" s="845"/>
      <c r="AB19" s="845"/>
      <c r="AC19" s="845"/>
      <c r="AD19" s="845"/>
      <c r="AE19" s="845"/>
      <c r="AF19" s="845"/>
      <c r="AG19" s="845"/>
      <c r="AH19" s="845"/>
      <c r="AI19" s="845"/>
      <c r="AJ19" s="845"/>
      <c r="AK19" s="845"/>
      <c r="AL19" s="845"/>
      <c r="AM19" s="845"/>
    </row>
    <row r="20" spans="2:51" ht="22.15" customHeight="1"/>
    <row r="21" spans="2:51" ht="22.15" customHeight="1">
      <c r="B21" s="843" t="s">
        <v>294</v>
      </c>
      <c r="C21" s="843"/>
      <c r="D21" s="843"/>
      <c r="E21" s="843"/>
      <c r="F21" s="843"/>
      <c r="G21" s="843"/>
      <c r="H21" s="843"/>
      <c r="I21" s="843"/>
      <c r="J21" s="843"/>
      <c r="K21" s="843"/>
      <c r="L21" s="843"/>
      <c r="M21" s="843"/>
      <c r="N21" s="843"/>
      <c r="O21" s="843"/>
      <c r="P21" s="843"/>
      <c r="Q21" s="843"/>
      <c r="R21" s="843"/>
      <c r="S21" s="843"/>
      <c r="T21" s="843"/>
      <c r="U21" s="843"/>
      <c r="V21" s="843"/>
      <c r="W21" s="843"/>
      <c r="X21" s="843"/>
      <c r="Y21" s="843"/>
      <c r="Z21" s="843"/>
      <c r="AA21" s="843"/>
      <c r="AB21" s="843"/>
      <c r="AC21" s="843"/>
      <c r="AD21" s="843"/>
      <c r="AE21" s="843"/>
      <c r="AF21" s="843"/>
      <c r="AG21" s="843"/>
      <c r="AH21" s="843"/>
      <c r="AI21" s="843"/>
      <c r="AJ21" s="843"/>
      <c r="AK21" s="843"/>
      <c r="AL21" s="843"/>
      <c r="AM21" s="843"/>
    </row>
    <row r="22" spans="2:51" ht="22.15" customHeight="1">
      <c r="B22" s="843"/>
      <c r="C22" s="843"/>
      <c r="D22" s="843"/>
      <c r="E22" s="843"/>
      <c r="F22" s="843"/>
      <c r="G22" s="843"/>
      <c r="H22" s="843"/>
      <c r="I22" s="843"/>
      <c r="J22" s="843"/>
      <c r="K22" s="843"/>
      <c r="L22" s="843"/>
      <c r="M22" s="843"/>
      <c r="N22" s="843"/>
      <c r="O22" s="843"/>
      <c r="P22" s="843"/>
      <c r="Q22" s="843"/>
      <c r="R22" s="843"/>
      <c r="S22" s="843"/>
      <c r="T22" s="843"/>
      <c r="U22" s="843"/>
      <c r="V22" s="843"/>
      <c r="W22" s="843"/>
      <c r="X22" s="843"/>
      <c r="Y22" s="843"/>
      <c r="Z22" s="843"/>
      <c r="AA22" s="843"/>
      <c r="AB22" s="843"/>
      <c r="AC22" s="843"/>
      <c r="AD22" s="843"/>
      <c r="AE22" s="843"/>
      <c r="AF22" s="843"/>
      <c r="AG22" s="843"/>
      <c r="AH22" s="843"/>
      <c r="AI22" s="843"/>
      <c r="AJ22" s="843"/>
      <c r="AK22" s="843"/>
      <c r="AL22" s="843"/>
      <c r="AM22" s="843"/>
    </row>
    <row r="23" spans="2:51" ht="22.15" customHeight="1"/>
    <row r="24" spans="2:51" s="253" customFormat="1" ht="22.15" customHeight="1" thickBot="1">
      <c r="B24" s="256" t="s">
        <v>295</v>
      </c>
      <c r="C24" s="256"/>
      <c r="D24" s="256"/>
      <c r="E24" s="256"/>
      <c r="F24" s="256"/>
      <c r="G24" s="256"/>
      <c r="H24" s="256"/>
      <c r="I24" s="256"/>
      <c r="J24" s="256"/>
    </row>
    <row r="25" spans="2:51" ht="22.15" customHeight="1" thickTop="1"/>
    <row r="26" spans="2:51" ht="22.15" customHeight="1">
      <c r="C26" s="13" t="s">
        <v>296</v>
      </c>
    </row>
    <row r="27" spans="2:51" ht="22.15" customHeight="1">
      <c r="C27" s="13" t="s">
        <v>297</v>
      </c>
    </row>
    <row r="28" spans="2:51" s="255" customFormat="1" ht="22.15" customHeight="1">
      <c r="C28" s="257" t="s">
        <v>298</v>
      </c>
      <c r="D28" s="257"/>
      <c r="E28" s="257"/>
      <c r="F28" s="257"/>
      <c r="G28" s="257"/>
      <c r="H28" s="257"/>
      <c r="I28" s="257"/>
      <c r="J28" s="257"/>
      <c r="K28" s="257"/>
      <c r="L28" s="257"/>
      <c r="M28" s="257"/>
      <c r="N28" s="257"/>
      <c r="O28" s="257"/>
      <c r="P28" s="257"/>
      <c r="Q28" s="257"/>
      <c r="R28" s="257"/>
      <c r="S28" s="257"/>
      <c r="T28" s="257"/>
      <c r="U28" s="257"/>
      <c r="V28" s="257"/>
      <c r="W28" s="257"/>
      <c r="X28" s="257"/>
      <c r="Y28" s="257"/>
      <c r="Z28" s="257"/>
      <c r="AA28" s="257"/>
    </row>
    <row r="29" spans="2:51" ht="22.15" customHeight="1"/>
    <row r="30" spans="2:51" s="253" customFormat="1" ht="22.15" customHeight="1" thickBot="1">
      <c r="B30" s="256" t="s">
        <v>299</v>
      </c>
      <c r="C30" s="256"/>
      <c r="D30" s="256"/>
      <c r="E30" s="256"/>
      <c r="F30" s="256"/>
      <c r="G30" s="256"/>
      <c r="H30" s="256"/>
      <c r="I30" s="256"/>
      <c r="J30" s="256"/>
      <c r="K30" s="256"/>
      <c r="L30" s="256"/>
      <c r="M30" s="256"/>
    </row>
    <row r="31" spans="2:51" ht="22.15" customHeight="1" thickTop="1"/>
    <row r="32" spans="2:51" s="254" customFormat="1" ht="22.15" customHeight="1">
      <c r="AY32" s="254">
        <v>2</v>
      </c>
    </row>
  </sheetData>
  <mergeCells count="7">
    <mergeCell ref="B21:AM22"/>
    <mergeCell ref="A1:AY1"/>
    <mergeCell ref="C18:P19"/>
    <mergeCell ref="Z18:AM19"/>
    <mergeCell ref="Q18:Y19"/>
    <mergeCell ref="M13:O13"/>
    <mergeCell ref="B2:Y4"/>
  </mergeCells>
  <phoneticPr fontId="2"/>
  <printOptions horizontalCentered="1"/>
  <pageMargins left="0" right="0" top="0.59055118110236227" bottom="0.19685039370078741" header="0.31496062992125984" footer="0.31496062992125984"/>
  <pageSetup paperSize="9" scale="6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6491E-C245-4856-940C-F7FAC991EE05}">
  <sheetPr>
    <tabColor rgb="FF0070C0"/>
  </sheetPr>
  <dimension ref="B2:O31"/>
  <sheetViews>
    <sheetView view="pageBreakPreview" zoomScale="85" zoomScaleNormal="100" zoomScaleSheetLayoutView="85" workbookViewId="0">
      <selection activeCell="BR30" sqref="BR30"/>
    </sheetView>
  </sheetViews>
  <sheetFormatPr defaultRowHeight="18.75"/>
  <sheetData>
    <row r="2" spans="2:10">
      <c r="B2" s="848" t="s">
        <v>300</v>
      </c>
      <c r="C2" s="848"/>
      <c r="D2" s="848"/>
      <c r="E2" s="848"/>
      <c r="F2" s="848"/>
      <c r="G2" s="848"/>
      <c r="H2" s="848"/>
      <c r="I2" s="848"/>
      <c r="J2" s="848"/>
    </row>
    <row r="3" spans="2:10">
      <c r="B3" s="848"/>
      <c r="C3" s="848"/>
      <c r="D3" s="848"/>
      <c r="E3" s="848"/>
      <c r="F3" s="848"/>
      <c r="G3" s="848"/>
      <c r="H3" s="848"/>
      <c r="I3" s="848"/>
      <c r="J3" s="848"/>
    </row>
    <row r="31" spans="15:15">
      <c r="O31">
        <v>3</v>
      </c>
    </row>
  </sheetData>
  <mergeCells count="1">
    <mergeCell ref="B2:J3"/>
  </mergeCells>
  <phoneticPr fontId="2"/>
  <printOptions horizontalCentered="1" verticalCentered="1"/>
  <pageMargins left="0" right="0" top="0" bottom="0" header="0.31496062992125984" footer="0.31496062992125984"/>
  <pageSetup paperSize="9" scale="9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33D2E-BBCB-4D24-86F0-0FAEC45AC3FC}">
  <sheetPr>
    <tabColor rgb="FFFFC000"/>
  </sheetPr>
  <dimension ref="A1:BE44"/>
  <sheetViews>
    <sheetView view="pageBreakPreview" zoomScale="40" zoomScaleNormal="80" zoomScaleSheetLayoutView="40" workbookViewId="0">
      <selection activeCell="CB54" sqref="CB54"/>
    </sheetView>
  </sheetViews>
  <sheetFormatPr defaultColWidth="3.5" defaultRowHeight="21" customHeight="1" outlineLevelRow="1"/>
  <cols>
    <col min="1" max="2" width="3.5" style="2"/>
    <col min="3" max="13" width="3.5" style="3"/>
    <col min="14" max="16384" width="3.5" style="2"/>
  </cols>
  <sheetData>
    <row r="1" spans="1:57" ht="38.25">
      <c r="A1" s="877" t="s">
        <v>301</v>
      </c>
      <c r="B1" s="877"/>
      <c r="C1" s="877"/>
      <c r="D1" s="877"/>
      <c r="E1" s="877"/>
      <c r="F1" s="877"/>
      <c r="G1" s="877"/>
      <c r="H1" s="877"/>
      <c r="I1" s="877"/>
      <c r="J1" s="877"/>
      <c r="K1" s="877"/>
      <c r="L1" s="877"/>
      <c r="M1" s="877"/>
      <c r="N1" s="877"/>
      <c r="O1" s="877"/>
      <c r="P1" s="877"/>
      <c r="Q1" s="877"/>
      <c r="R1" s="877"/>
      <c r="S1" s="877"/>
      <c r="T1" s="877"/>
      <c r="U1" s="877"/>
      <c r="V1" s="877"/>
      <c r="W1" s="877"/>
      <c r="X1" s="877"/>
      <c r="Y1" s="877"/>
      <c r="Z1" s="877"/>
      <c r="AA1" s="877"/>
      <c r="AB1" s="877"/>
      <c r="AC1" s="877"/>
      <c r="AD1" s="877"/>
      <c r="AE1" s="877"/>
      <c r="AF1" s="877"/>
      <c r="AG1" s="877"/>
      <c r="AH1" s="877"/>
      <c r="AI1" s="877"/>
      <c r="AJ1" s="877"/>
      <c r="AK1" s="877"/>
      <c r="AL1" s="877"/>
      <c r="AM1" s="877"/>
      <c r="AN1" s="877"/>
      <c r="AO1" s="877"/>
      <c r="AP1" s="877"/>
      <c r="AQ1" s="877"/>
      <c r="AR1" s="877"/>
      <c r="AS1" s="877"/>
      <c r="AT1" s="877"/>
      <c r="AU1" s="877"/>
      <c r="AV1" s="877"/>
      <c r="AW1" s="877"/>
      <c r="AX1" s="877"/>
      <c r="AY1" s="877"/>
      <c r="AZ1" s="877"/>
      <c r="BA1" s="877"/>
      <c r="BB1" s="877"/>
      <c r="BC1" s="877"/>
      <c r="BD1" s="877"/>
      <c r="BE1" s="55"/>
    </row>
    <row r="2" spans="1:57" ht="21" customHeight="1" thickBot="1">
      <c r="A2" s="467"/>
      <c r="B2" s="467"/>
      <c r="C2" s="467"/>
      <c r="D2" s="467"/>
      <c r="E2" s="467"/>
      <c r="F2" s="467"/>
      <c r="G2" s="467"/>
      <c r="H2" s="467"/>
      <c r="I2" s="467"/>
      <c r="J2" s="467"/>
      <c r="K2" s="467"/>
      <c r="L2" s="467"/>
      <c r="M2" s="467"/>
      <c r="N2" s="467"/>
      <c r="O2" s="467"/>
      <c r="P2" s="467"/>
      <c r="Q2" s="467"/>
      <c r="R2" s="467"/>
      <c r="S2" s="467"/>
      <c r="T2" s="467"/>
      <c r="U2" s="467"/>
      <c r="V2" s="467"/>
      <c r="W2" s="467"/>
      <c r="X2" s="467"/>
      <c r="Y2" s="467"/>
      <c r="Z2" s="467"/>
      <c r="AA2" s="467"/>
      <c r="AB2" s="467"/>
      <c r="AC2" s="467"/>
      <c r="AD2" s="467"/>
      <c r="AE2" s="467"/>
      <c r="AF2" s="467"/>
      <c r="AG2" s="467"/>
      <c r="AH2" s="467"/>
      <c r="AI2" s="467"/>
      <c r="AJ2" s="467"/>
      <c r="AK2" s="467"/>
      <c r="AL2" s="467"/>
      <c r="AM2" s="467"/>
      <c r="AN2" s="467"/>
      <c r="AO2" s="467"/>
      <c r="AP2" s="467"/>
      <c r="AQ2" s="467"/>
      <c r="AR2" s="467"/>
      <c r="AS2" s="467"/>
      <c r="AT2" s="467"/>
      <c r="AU2" s="467"/>
      <c r="AV2" s="467"/>
      <c r="AW2" s="467"/>
      <c r="AX2" s="467"/>
      <c r="AY2" s="467"/>
      <c r="AZ2" s="467"/>
      <c r="BA2" s="467"/>
      <c r="BB2" s="467"/>
      <c r="BC2" s="467"/>
      <c r="BD2" s="467"/>
      <c r="BE2" s="55"/>
    </row>
    <row r="3" spans="1:57" s="4" customFormat="1" ht="23.1" customHeight="1" thickTop="1">
      <c r="R3" s="912" t="s">
        <v>302</v>
      </c>
      <c r="S3" s="913"/>
      <c r="T3" s="913"/>
      <c r="U3" s="913"/>
      <c r="V3" s="913"/>
      <c r="W3" s="913"/>
      <c r="X3" s="913"/>
      <c r="Y3" s="913"/>
      <c r="Z3" s="913"/>
      <c r="AA3" s="913"/>
      <c r="AB3" s="914"/>
      <c r="AC3" s="60"/>
      <c r="AD3" s="60"/>
      <c r="AE3" s="60"/>
      <c r="AF3" s="918" t="s">
        <v>303</v>
      </c>
      <c r="AG3" s="919"/>
      <c r="AH3" s="919"/>
      <c r="AI3" s="919"/>
      <c r="AJ3" s="919"/>
      <c r="AK3" s="919"/>
      <c r="AL3" s="919"/>
      <c r="AM3" s="919"/>
      <c r="AN3" s="919"/>
      <c r="AO3" s="919"/>
      <c r="AP3" s="919"/>
      <c r="AQ3" s="919"/>
      <c r="AR3" s="919"/>
      <c r="AS3" s="919"/>
      <c r="AT3" s="919"/>
      <c r="AU3" s="919"/>
      <c r="AV3" s="919"/>
      <c r="AW3" s="919"/>
      <c r="AX3" s="919"/>
      <c r="AY3" s="919"/>
      <c r="AZ3" s="919"/>
      <c r="BA3" s="920"/>
      <c r="BB3" s="60"/>
      <c r="BC3" s="60"/>
      <c r="BD3" s="60"/>
    </row>
    <row r="4" spans="1:57" s="13" customFormat="1" ht="21" customHeight="1" thickBot="1">
      <c r="B4" s="12"/>
      <c r="C4" s="12"/>
      <c r="D4" s="12"/>
      <c r="E4" s="12"/>
      <c r="F4" s="12"/>
      <c r="G4" s="12"/>
      <c r="H4" s="12"/>
      <c r="I4" s="12"/>
      <c r="J4" s="12"/>
      <c r="K4" s="12"/>
      <c r="L4" s="12"/>
      <c r="M4" s="12"/>
      <c r="N4" s="12"/>
      <c r="O4" s="12"/>
      <c r="P4" s="12"/>
      <c r="Q4" s="12"/>
      <c r="R4" s="915"/>
      <c r="S4" s="916"/>
      <c r="T4" s="916"/>
      <c r="U4" s="916"/>
      <c r="V4" s="916"/>
      <c r="W4" s="916"/>
      <c r="X4" s="916"/>
      <c r="Y4" s="916"/>
      <c r="Z4" s="916"/>
      <c r="AA4" s="916"/>
      <c r="AB4" s="917"/>
      <c r="AD4" s="66"/>
      <c r="AF4" s="921"/>
      <c r="AG4" s="922"/>
      <c r="AH4" s="922"/>
      <c r="AI4" s="922"/>
      <c r="AJ4" s="922"/>
      <c r="AK4" s="922"/>
      <c r="AL4" s="922"/>
      <c r="AM4" s="922"/>
      <c r="AN4" s="922"/>
      <c r="AO4" s="922"/>
      <c r="AP4" s="922"/>
      <c r="AQ4" s="922"/>
      <c r="AR4" s="922"/>
      <c r="AS4" s="922"/>
      <c r="AT4" s="922"/>
      <c r="AU4" s="922"/>
      <c r="AV4" s="922"/>
      <c r="AW4" s="922"/>
      <c r="AX4" s="922"/>
      <c r="AY4" s="922"/>
      <c r="AZ4" s="922"/>
      <c r="BA4" s="923"/>
    </row>
    <row r="5" spans="1:57" s="4" customFormat="1" ht="21" customHeight="1" thickTop="1" thickBot="1">
      <c r="A5" s="52"/>
      <c r="B5" s="53"/>
      <c r="C5" s="54"/>
      <c r="D5" s="54"/>
      <c r="E5" s="54"/>
      <c r="F5" s="54"/>
      <c r="G5" s="54"/>
      <c r="H5" s="54"/>
      <c r="I5" s="54"/>
      <c r="J5" s="54"/>
      <c r="K5" s="54"/>
      <c r="L5" s="54"/>
      <c r="M5" s="54"/>
      <c r="N5" s="53"/>
      <c r="O5" s="53"/>
      <c r="P5" s="53"/>
      <c r="Q5" s="53"/>
      <c r="R5" s="53"/>
      <c r="S5" s="53"/>
      <c r="T5" s="53"/>
      <c r="U5" s="53"/>
      <c r="V5" s="53"/>
      <c r="W5" s="53"/>
      <c r="X5" s="53"/>
      <c r="Y5" s="53"/>
      <c r="Z5" s="53"/>
      <c r="AA5" s="53"/>
      <c r="AB5" s="53"/>
      <c r="AD5" s="63"/>
    </row>
    <row r="6" spans="1:57" ht="21" customHeight="1" thickTop="1">
      <c r="A6" s="903" t="s">
        <v>304</v>
      </c>
      <c r="B6" s="907"/>
      <c r="C6" s="908" t="str">
        <f>LED計算式!M32</f>
        <v>試算エリア</v>
      </c>
      <c r="D6" s="909"/>
      <c r="E6" s="909"/>
      <c r="F6" s="910"/>
      <c r="G6" s="871" t="s">
        <v>305</v>
      </c>
      <c r="H6" s="871"/>
      <c r="I6" s="871"/>
      <c r="J6" s="871"/>
      <c r="K6" s="871"/>
      <c r="L6" s="873" t="s">
        <v>306</v>
      </c>
      <c r="M6" s="873"/>
      <c r="N6" s="873"/>
      <c r="O6" s="873"/>
      <c r="P6" s="902" t="s">
        <v>200</v>
      </c>
      <c r="Q6" s="903"/>
      <c r="R6" s="904" t="s">
        <v>117</v>
      </c>
      <c r="S6" s="904"/>
      <c r="T6" s="904"/>
      <c r="U6" s="905" t="s">
        <v>307</v>
      </c>
      <c r="V6" s="905"/>
      <c r="W6" s="905"/>
      <c r="X6" s="905"/>
      <c r="Y6" s="906" t="s">
        <v>308</v>
      </c>
      <c r="Z6" s="906"/>
      <c r="AA6" s="906"/>
      <c r="AB6" s="906"/>
      <c r="AD6" s="64"/>
      <c r="AF6" s="878" t="s">
        <v>309</v>
      </c>
      <c r="AG6" s="878"/>
      <c r="AH6" s="878"/>
      <c r="AI6" s="878"/>
      <c r="AJ6" s="878"/>
      <c r="AK6" s="878"/>
      <c r="AL6" s="878"/>
      <c r="AM6" s="878"/>
      <c r="AN6" s="878"/>
      <c r="AO6" s="878"/>
      <c r="AP6" s="878"/>
      <c r="AQ6" s="878"/>
      <c r="AR6" s="878"/>
      <c r="AS6" s="895">
        <f>Y39*120</f>
        <v>0</v>
      </c>
      <c r="AT6" s="896"/>
      <c r="AU6" s="896"/>
      <c r="AV6" s="896"/>
      <c r="AW6" s="896"/>
      <c r="AX6" s="896"/>
      <c r="AY6" s="896"/>
      <c r="AZ6" s="896"/>
      <c r="BA6" s="897"/>
    </row>
    <row r="7" spans="1:57" ht="21" customHeight="1" thickBot="1">
      <c r="A7" s="15"/>
      <c r="B7" s="15"/>
      <c r="C7" s="16"/>
      <c r="D7" s="16"/>
      <c r="E7" s="16"/>
      <c r="F7" s="16"/>
      <c r="G7" s="16"/>
      <c r="H7" s="16"/>
      <c r="I7" s="16"/>
      <c r="J7" s="16"/>
      <c r="K7" s="16"/>
      <c r="L7" s="16"/>
      <c r="M7" s="16"/>
      <c r="N7" s="17"/>
      <c r="O7" s="17"/>
      <c r="P7" s="17"/>
      <c r="Q7" s="17"/>
      <c r="R7" s="17"/>
      <c r="S7" s="17"/>
      <c r="T7" s="17"/>
      <c r="U7" s="17"/>
      <c r="V7" s="17"/>
      <c r="W7" s="17"/>
      <c r="X7" s="17"/>
      <c r="Y7" s="17"/>
      <c r="Z7" s="17"/>
      <c r="AA7" s="17"/>
      <c r="AB7" s="17"/>
      <c r="AD7" s="64"/>
      <c r="AF7" s="878"/>
      <c r="AG7" s="878"/>
      <c r="AH7" s="878"/>
      <c r="AI7" s="878"/>
      <c r="AJ7" s="878"/>
      <c r="AK7" s="878"/>
      <c r="AL7" s="878"/>
      <c r="AM7" s="878"/>
      <c r="AN7" s="878"/>
      <c r="AO7" s="878"/>
      <c r="AP7" s="878"/>
      <c r="AQ7" s="878"/>
      <c r="AR7" s="878"/>
      <c r="AS7" s="898"/>
      <c r="AT7" s="899"/>
      <c r="AU7" s="899"/>
      <c r="AV7" s="899"/>
      <c r="AW7" s="899"/>
      <c r="AX7" s="899"/>
      <c r="AY7" s="899"/>
      <c r="AZ7" s="899"/>
      <c r="BA7" s="900"/>
    </row>
    <row r="8" spans="1:57" s="4" customFormat="1" ht="21" customHeight="1" thickTop="1">
      <c r="A8" s="911">
        <v>1</v>
      </c>
      <c r="B8" s="911"/>
      <c r="C8" s="872">
        <f>IF($C$6=☆入力!$B$15,☆入力!$B16,☆入力!$C16)</f>
        <v>0</v>
      </c>
      <c r="D8" s="872"/>
      <c r="E8" s="872"/>
      <c r="F8" s="872"/>
      <c r="G8" s="872">
        <f>☆入力!D16</f>
        <v>0</v>
      </c>
      <c r="H8" s="872"/>
      <c r="I8" s="872"/>
      <c r="J8" s="872"/>
      <c r="K8" s="872"/>
      <c r="L8" s="876">
        <f>☆入力!H16</f>
        <v>0</v>
      </c>
      <c r="M8" s="876"/>
      <c r="N8" s="876"/>
      <c r="O8" s="876"/>
      <c r="P8" s="925">
        <f>☆入力!L16</f>
        <v>0</v>
      </c>
      <c r="Q8" s="926"/>
      <c r="R8" s="927">
        <f>☆入力!K16</f>
        <v>0</v>
      </c>
      <c r="S8" s="927"/>
      <c r="T8" s="927"/>
      <c r="U8" s="928">
        <f>☆入力!W16</f>
        <v>0</v>
      </c>
      <c r="V8" s="928"/>
      <c r="W8" s="928"/>
      <c r="X8" s="928"/>
      <c r="Y8" s="929">
        <f>☆入力!Y16</f>
        <v>0</v>
      </c>
      <c r="Z8" s="929"/>
      <c r="AA8" s="929"/>
      <c r="AB8" s="929"/>
      <c r="AD8" s="63"/>
      <c r="AF8" s="53"/>
      <c r="AG8" s="67" t="s">
        <v>310</v>
      </c>
      <c r="AH8" s="67"/>
      <c r="AI8" s="67"/>
      <c r="AJ8" s="67"/>
      <c r="AK8" s="67"/>
      <c r="AL8" s="67"/>
      <c r="AM8" s="67"/>
      <c r="AN8" s="14"/>
      <c r="AO8" s="874">
        <f>Y39</f>
        <v>0</v>
      </c>
      <c r="AP8" s="874"/>
      <c r="AQ8" s="874"/>
      <c r="AR8" s="874"/>
      <c r="AS8" s="67" t="s">
        <v>311</v>
      </c>
      <c r="AT8" s="67"/>
      <c r="AU8" s="67"/>
      <c r="AV8" s="67"/>
      <c r="AW8" s="67"/>
      <c r="AX8" s="67"/>
      <c r="AY8" s="67"/>
      <c r="AZ8" s="67"/>
      <c r="BA8" s="67"/>
    </row>
    <row r="9" spans="1:57" s="4" customFormat="1" ht="21" customHeight="1">
      <c r="A9" s="860">
        <v>2</v>
      </c>
      <c r="B9" s="860"/>
      <c r="C9" s="861">
        <f>IF($C$6=☆入力!$B$15,☆入力!$B17,☆入力!$C17)</f>
        <v>0</v>
      </c>
      <c r="D9" s="862"/>
      <c r="E9" s="862"/>
      <c r="F9" s="863"/>
      <c r="G9" s="864">
        <f>☆入力!D17</f>
        <v>0</v>
      </c>
      <c r="H9" s="864"/>
      <c r="I9" s="864"/>
      <c r="J9" s="864"/>
      <c r="K9" s="864"/>
      <c r="L9" s="865">
        <f>☆入力!H17</f>
        <v>0</v>
      </c>
      <c r="M9" s="865"/>
      <c r="N9" s="865"/>
      <c r="O9" s="865"/>
      <c r="P9" s="866">
        <f>☆入力!L17</f>
        <v>0</v>
      </c>
      <c r="Q9" s="867"/>
      <c r="R9" s="868">
        <f>☆入力!K17</f>
        <v>0</v>
      </c>
      <c r="S9" s="868"/>
      <c r="T9" s="868"/>
      <c r="U9" s="869">
        <f>☆入力!W17</f>
        <v>0</v>
      </c>
      <c r="V9" s="869"/>
      <c r="W9" s="869"/>
      <c r="X9" s="869"/>
      <c r="Y9" s="870">
        <f>☆入力!Y17</f>
        <v>0</v>
      </c>
      <c r="Z9" s="870"/>
      <c r="AA9" s="870"/>
      <c r="AB9" s="870"/>
      <c r="AD9" s="63"/>
      <c r="AS9" s="901" t="s">
        <v>312</v>
      </c>
      <c r="AT9" s="901"/>
      <c r="AU9" s="901"/>
      <c r="AV9" s="901"/>
      <c r="AW9" s="901"/>
      <c r="AX9" s="901"/>
      <c r="AY9" s="901"/>
      <c r="AZ9" s="901"/>
      <c r="BA9" s="901"/>
    </row>
    <row r="10" spans="1:57" s="4" customFormat="1" ht="21" customHeight="1">
      <c r="A10" s="860">
        <v>3</v>
      </c>
      <c r="B10" s="860"/>
      <c r="C10" s="861">
        <f>IF($C$6=☆入力!$B$15,☆入力!$B18,☆入力!$C18)</f>
        <v>0</v>
      </c>
      <c r="D10" s="862"/>
      <c r="E10" s="862"/>
      <c r="F10" s="863"/>
      <c r="G10" s="864">
        <f>☆入力!D18</f>
        <v>0</v>
      </c>
      <c r="H10" s="864"/>
      <c r="I10" s="864"/>
      <c r="J10" s="864"/>
      <c r="K10" s="864"/>
      <c r="L10" s="865">
        <f>☆入力!H18</f>
        <v>0</v>
      </c>
      <c r="M10" s="865"/>
      <c r="N10" s="865"/>
      <c r="O10" s="865"/>
      <c r="P10" s="866">
        <f>☆入力!L18</f>
        <v>0</v>
      </c>
      <c r="Q10" s="867"/>
      <c r="R10" s="868">
        <f>☆入力!K18</f>
        <v>0</v>
      </c>
      <c r="S10" s="868"/>
      <c r="T10" s="868"/>
      <c r="U10" s="869">
        <f>☆入力!W18</f>
        <v>0</v>
      </c>
      <c r="V10" s="869"/>
      <c r="W10" s="869"/>
      <c r="X10" s="869"/>
      <c r="Y10" s="870">
        <f>☆入力!Y18</f>
        <v>0</v>
      </c>
      <c r="Z10" s="870"/>
      <c r="AA10" s="870"/>
      <c r="AB10" s="870"/>
      <c r="AD10" s="63"/>
      <c r="AS10" s="901"/>
      <c r="AT10" s="901"/>
      <c r="AU10" s="901"/>
      <c r="AV10" s="901"/>
      <c r="AW10" s="901"/>
      <c r="AX10" s="901"/>
      <c r="AY10" s="901"/>
      <c r="AZ10" s="901"/>
      <c r="BA10" s="901"/>
    </row>
    <row r="11" spans="1:57" s="4" customFormat="1" ht="21" customHeight="1">
      <c r="A11" s="860">
        <v>4</v>
      </c>
      <c r="B11" s="860"/>
      <c r="C11" s="861">
        <f>IF($C$6=☆入力!$B$15,☆入力!$B19,☆入力!$C19)</f>
        <v>0</v>
      </c>
      <c r="D11" s="862"/>
      <c r="E11" s="862"/>
      <c r="F11" s="863"/>
      <c r="G11" s="864">
        <f>☆入力!D19</f>
        <v>0</v>
      </c>
      <c r="H11" s="864"/>
      <c r="I11" s="864"/>
      <c r="J11" s="864"/>
      <c r="K11" s="864"/>
      <c r="L11" s="865">
        <f>☆入力!H19</f>
        <v>0</v>
      </c>
      <c r="M11" s="865"/>
      <c r="N11" s="865"/>
      <c r="O11" s="865"/>
      <c r="P11" s="866">
        <f>☆入力!L19</f>
        <v>0</v>
      </c>
      <c r="Q11" s="867"/>
      <c r="R11" s="868">
        <f>☆入力!K19</f>
        <v>0</v>
      </c>
      <c r="S11" s="868"/>
      <c r="T11" s="868"/>
      <c r="U11" s="869">
        <f>☆入力!W19</f>
        <v>0</v>
      </c>
      <c r="V11" s="869"/>
      <c r="W11" s="869"/>
      <c r="X11" s="869"/>
      <c r="Y11" s="870">
        <f>☆入力!Y19</f>
        <v>0</v>
      </c>
      <c r="Z11" s="870"/>
      <c r="AA11" s="870"/>
      <c r="AB11" s="870"/>
      <c r="AD11" s="63"/>
      <c r="AF11" s="878" t="s">
        <v>313</v>
      </c>
      <c r="AG11" s="878"/>
      <c r="AH11" s="878"/>
      <c r="AI11" s="878"/>
      <c r="AJ11" s="878"/>
      <c r="AK11" s="878"/>
      <c r="AL11" s="878"/>
      <c r="AM11" s="878"/>
      <c r="AN11" s="878"/>
      <c r="AO11" s="878"/>
      <c r="AP11" s="878"/>
      <c r="AQ11" s="878"/>
      <c r="AR11" s="878"/>
      <c r="AS11" s="878"/>
      <c r="AT11" s="878"/>
      <c r="AU11" s="878"/>
      <c r="AV11" s="878"/>
      <c r="AW11" s="878"/>
      <c r="AX11" s="878"/>
      <c r="AY11" s="878"/>
      <c r="AZ11" s="878"/>
      <c r="BA11" s="878"/>
    </row>
    <row r="12" spans="1:57" s="4" customFormat="1" ht="21" customHeight="1" thickBot="1">
      <c r="A12" s="860">
        <v>5</v>
      </c>
      <c r="B12" s="860"/>
      <c r="C12" s="861">
        <f>IF($C$6=☆入力!$B$15,☆入力!$B20,☆入力!$C20)</f>
        <v>0</v>
      </c>
      <c r="D12" s="862"/>
      <c r="E12" s="862"/>
      <c r="F12" s="863"/>
      <c r="G12" s="864">
        <f>☆入力!D20</f>
        <v>0</v>
      </c>
      <c r="H12" s="864"/>
      <c r="I12" s="864"/>
      <c r="J12" s="864"/>
      <c r="K12" s="864"/>
      <c r="L12" s="865">
        <f>☆入力!H20</f>
        <v>0</v>
      </c>
      <c r="M12" s="865"/>
      <c r="N12" s="865"/>
      <c r="O12" s="865"/>
      <c r="P12" s="866">
        <f>☆入力!L20</f>
        <v>0</v>
      </c>
      <c r="Q12" s="867"/>
      <c r="R12" s="868">
        <f>☆入力!K20</f>
        <v>0</v>
      </c>
      <c r="S12" s="868"/>
      <c r="T12" s="868"/>
      <c r="U12" s="869">
        <f>☆入力!W20</f>
        <v>0</v>
      </c>
      <c r="V12" s="869"/>
      <c r="W12" s="869"/>
      <c r="X12" s="869"/>
      <c r="Y12" s="870">
        <f>☆入力!Y20</f>
        <v>0</v>
      </c>
      <c r="Z12" s="870"/>
      <c r="AA12" s="870"/>
      <c r="AB12" s="870"/>
      <c r="AD12" s="63"/>
      <c r="AF12" s="878"/>
      <c r="AG12" s="878"/>
      <c r="AH12" s="878"/>
      <c r="AI12" s="878"/>
      <c r="AJ12" s="878"/>
      <c r="AK12" s="878"/>
      <c r="AL12" s="878"/>
      <c r="AM12" s="878"/>
      <c r="AN12" s="878"/>
      <c r="AO12" s="878"/>
      <c r="AP12" s="878"/>
      <c r="AQ12" s="878"/>
      <c r="AR12" s="878"/>
      <c r="AS12" s="878"/>
      <c r="AT12" s="878"/>
      <c r="AU12" s="878"/>
      <c r="AV12" s="878"/>
      <c r="AW12" s="878"/>
      <c r="AX12" s="878"/>
      <c r="AY12" s="878"/>
      <c r="AZ12" s="878"/>
      <c r="BA12" s="878"/>
    </row>
    <row r="13" spans="1:57" s="4" customFormat="1" ht="21" customHeight="1" thickTop="1">
      <c r="A13" s="860">
        <v>6</v>
      </c>
      <c r="B13" s="860"/>
      <c r="C13" s="861">
        <f>IF($C$6=☆入力!$B$15,☆入力!$B21,☆入力!$C21)</f>
        <v>0</v>
      </c>
      <c r="D13" s="862"/>
      <c r="E13" s="862"/>
      <c r="F13" s="863"/>
      <c r="G13" s="864">
        <f>☆入力!D21</f>
        <v>0</v>
      </c>
      <c r="H13" s="864"/>
      <c r="I13" s="864"/>
      <c r="J13" s="864"/>
      <c r="K13" s="864"/>
      <c r="L13" s="865">
        <f>☆入力!H21</f>
        <v>0</v>
      </c>
      <c r="M13" s="865"/>
      <c r="N13" s="865"/>
      <c r="O13" s="865"/>
      <c r="P13" s="866">
        <f>☆入力!L21</f>
        <v>0</v>
      </c>
      <c r="Q13" s="867"/>
      <c r="R13" s="868">
        <f>☆入力!K21</f>
        <v>0</v>
      </c>
      <c r="S13" s="868"/>
      <c r="T13" s="868"/>
      <c r="U13" s="869">
        <f>☆入力!W21</f>
        <v>0</v>
      </c>
      <c r="V13" s="869"/>
      <c r="W13" s="869"/>
      <c r="X13" s="869"/>
      <c r="Y13" s="870">
        <f>☆入力!Y21</f>
        <v>0</v>
      </c>
      <c r="Z13" s="870"/>
      <c r="AA13" s="870"/>
      <c r="AB13" s="870"/>
      <c r="AD13" s="63"/>
      <c r="AS13" s="895">
        <f>(AN15*☆入力!AR9*7)+(AN16*☆入力!AR9*15)</f>
        <v>0</v>
      </c>
      <c r="AT13" s="896"/>
      <c r="AU13" s="896"/>
      <c r="AV13" s="896"/>
      <c r="AW13" s="896"/>
      <c r="AX13" s="896"/>
      <c r="AY13" s="896"/>
      <c r="AZ13" s="896"/>
      <c r="BA13" s="897"/>
    </row>
    <row r="14" spans="1:57" s="4" customFormat="1" ht="21" customHeight="1" thickBot="1">
      <c r="A14" s="860">
        <v>7</v>
      </c>
      <c r="B14" s="860"/>
      <c r="C14" s="861">
        <f>IF($C$6=☆入力!$B$15,☆入力!$B22,☆入力!$C22)</f>
        <v>0</v>
      </c>
      <c r="D14" s="862"/>
      <c r="E14" s="862"/>
      <c r="F14" s="863"/>
      <c r="G14" s="864">
        <f>☆入力!D22</f>
        <v>0</v>
      </c>
      <c r="H14" s="864"/>
      <c r="I14" s="864"/>
      <c r="J14" s="864"/>
      <c r="K14" s="864"/>
      <c r="L14" s="865">
        <f>☆入力!H22</f>
        <v>0</v>
      </c>
      <c r="M14" s="865"/>
      <c r="N14" s="865"/>
      <c r="O14" s="865"/>
      <c r="P14" s="866">
        <f>☆入力!L22</f>
        <v>0</v>
      </c>
      <c r="Q14" s="867"/>
      <c r="R14" s="868">
        <f>☆入力!K22</f>
        <v>0</v>
      </c>
      <c r="S14" s="868"/>
      <c r="T14" s="868"/>
      <c r="U14" s="869">
        <f>☆入力!W22</f>
        <v>0</v>
      </c>
      <c r="V14" s="869"/>
      <c r="W14" s="869"/>
      <c r="X14" s="869"/>
      <c r="Y14" s="870">
        <f>☆入力!Y22</f>
        <v>0</v>
      </c>
      <c r="Z14" s="870"/>
      <c r="AA14" s="870"/>
      <c r="AB14" s="870"/>
      <c r="AD14" s="63"/>
      <c r="AS14" s="898"/>
      <c r="AT14" s="899"/>
      <c r="AU14" s="899"/>
      <c r="AV14" s="899"/>
      <c r="AW14" s="899"/>
      <c r="AX14" s="899"/>
      <c r="AY14" s="899"/>
      <c r="AZ14" s="899"/>
      <c r="BA14" s="900"/>
    </row>
    <row r="15" spans="1:57" s="4" customFormat="1" ht="21" customHeight="1" thickTop="1">
      <c r="A15" s="860">
        <v>8</v>
      </c>
      <c r="B15" s="860"/>
      <c r="C15" s="861">
        <f>IF($C$6=☆入力!$B$15,☆入力!$B23,☆入力!$C23)</f>
        <v>0</v>
      </c>
      <c r="D15" s="862"/>
      <c r="E15" s="862"/>
      <c r="F15" s="863"/>
      <c r="G15" s="864">
        <f>☆入力!D23</f>
        <v>0</v>
      </c>
      <c r="H15" s="864"/>
      <c r="I15" s="864"/>
      <c r="J15" s="864"/>
      <c r="K15" s="864"/>
      <c r="L15" s="865">
        <f>☆入力!H23</f>
        <v>0</v>
      </c>
      <c r="M15" s="865"/>
      <c r="N15" s="865"/>
      <c r="O15" s="865"/>
      <c r="P15" s="866">
        <f>☆入力!L23</f>
        <v>0</v>
      </c>
      <c r="Q15" s="867"/>
      <c r="R15" s="868">
        <f>☆入力!K23</f>
        <v>0</v>
      </c>
      <c r="S15" s="868"/>
      <c r="T15" s="868"/>
      <c r="U15" s="869">
        <f>☆入力!W23</f>
        <v>0</v>
      </c>
      <c r="V15" s="869"/>
      <c r="W15" s="869"/>
      <c r="X15" s="869"/>
      <c r="Y15" s="870">
        <f>☆入力!Y23</f>
        <v>0</v>
      </c>
      <c r="Z15" s="870"/>
      <c r="AA15" s="870"/>
      <c r="AB15" s="870"/>
      <c r="AD15" s="63"/>
      <c r="AG15" s="67" t="s">
        <v>314</v>
      </c>
      <c r="AH15" s="67"/>
      <c r="AI15" s="67"/>
      <c r="AJ15" s="67"/>
      <c r="AK15" s="67"/>
      <c r="AL15" s="67"/>
      <c r="AN15" s="875">
        <f>LED計算式!N16</f>
        <v>0</v>
      </c>
      <c r="AO15" s="875"/>
      <c r="AP15" s="875"/>
      <c r="AQ15" s="67" t="str">
        <f>"× "&amp;TEXT(☆入力!AR9,"#,#00")&amp;"円（※1）× 7回（※2）"</f>
        <v>× 00円（※1）× 7回（※2）</v>
      </c>
      <c r="AS15" s="67"/>
      <c r="AT15" s="67"/>
      <c r="AU15" s="67"/>
      <c r="AV15" s="67"/>
      <c r="AW15" s="67"/>
      <c r="AX15" s="67"/>
      <c r="AY15" s="67"/>
      <c r="AZ15" s="67"/>
      <c r="BA15" s="67"/>
    </row>
    <row r="16" spans="1:57" s="4" customFormat="1" ht="21" customHeight="1">
      <c r="A16" s="860">
        <v>9</v>
      </c>
      <c r="B16" s="860"/>
      <c r="C16" s="861">
        <f>IF($C$6=☆入力!$B$15,☆入力!$B24,☆入力!$C24)</f>
        <v>0</v>
      </c>
      <c r="D16" s="862"/>
      <c r="E16" s="862"/>
      <c r="F16" s="863"/>
      <c r="G16" s="864">
        <f>☆入力!D24</f>
        <v>0</v>
      </c>
      <c r="H16" s="864"/>
      <c r="I16" s="864"/>
      <c r="J16" s="864"/>
      <c r="K16" s="864"/>
      <c r="L16" s="865">
        <f>☆入力!H24</f>
        <v>0</v>
      </c>
      <c r="M16" s="865"/>
      <c r="N16" s="865"/>
      <c r="O16" s="865"/>
      <c r="P16" s="866">
        <f>☆入力!L24</f>
        <v>0</v>
      </c>
      <c r="Q16" s="867"/>
      <c r="R16" s="868">
        <f>☆入力!K24</f>
        <v>0</v>
      </c>
      <c r="S16" s="868"/>
      <c r="T16" s="868"/>
      <c r="U16" s="869">
        <f>☆入力!W24</f>
        <v>0</v>
      </c>
      <c r="V16" s="869"/>
      <c r="W16" s="869"/>
      <c r="X16" s="869"/>
      <c r="Y16" s="870">
        <f>☆入力!Y24</f>
        <v>0</v>
      </c>
      <c r="Z16" s="870"/>
      <c r="AA16" s="870"/>
      <c r="AB16" s="870"/>
      <c r="AD16" s="63"/>
      <c r="AG16" s="67" t="s">
        <v>315</v>
      </c>
      <c r="AN16" s="875">
        <f>LED計算式!N17</f>
        <v>0</v>
      </c>
      <c r="AO16" s="875"/>
      <c r="AP16" s="875"/>
      <c r="AQ16" s="67" t="str">
        <f>"× "&amp;TEXT(☆入力!AR9,"#,#00")&amp;"円（※1）× 15回（※3）"</f>
        <v>× 00円（※1）× 15回（※3）</v>
      </c>
      <c r="AS16" s="67"/>
      <c r="AT16" s="67"/>
      <c r="AU16" s="67"/>
      <c r="AV16" s="67"/>
      <c r="AW16" s="67"/>
      <c r="AX16" s="67"/>
      <c r="AY16" s="67"/>
    </row>
    <row r="17" spans="1:53" s="4" customFormat="1" ht="21" customHeight="1">
      <c r="A17" s="860">
        <v>10</v>
      </c>
      <c r="B17" s="860"/>
      <c r="C17" s="861">
        <f>IF($C$6=☆入力!$B$15,☆入力!$B25,☆入力!$C25)</f>
        <v>0</v>
      </c>
      <c r="D17" s="862"/>
      <c r="E17" s="862"/>
      <c r="F17" s="863"/>
      <c r="G17" s="864">
        <f>☆入力!D25</f>
        <v>0</v>
      </c>
      <c r="H17" s="864"/>
      <c r="I17" s="864"/>
      <c r="J17" s="864"/>
      <c r="K17" s="864"/>
      <c r="L17" s="865">
        <f>☆入力!H25</f>
        <v>0</v>
      </c>
      <c r="M17" s="865"/>
      <c r="N17" s="865"/>
      <c r="O17" s="865"/>
      <c r="P17" s="866">
        <f>☆入力!L25</f>
        <v>0</v>
      </c>
      <c r="Q17" s="867"/>
      <c r="R17" s="868">
        <f>☆入力!K25</f>
        <v>0</v>
      </c>
      <c r="S17" s="868"/>
      <c r="T17" s="868"/>
      <c r="U17" s="869">
        <f>☆入力!W25</f>
        <v>0</v>
      </c>
      <c r="V17" s="869"/>
      <c r="W17" s="869"/>
      <c r="X17" s="869"/>
      <c r="Y17" s="870">
        <f>☆入力!Y25</f>
        <v>0</v>
      </c>
      <c r="Z17" s="870"/>
      <c r="AA17" s="870"/>
      <c r="AB17" s="870"/>
      <c r="AD17" s="63"/>
      <c r="AG17" s="2" t="str">
        <f>"(※1)白熱球の1球あたりの交換費用⇒"&amp;TEXT(☆入力!AR9,"#,#00")&amp;"円で計算(管理会社に委託している場合の平均)"</f>
        <v>(※1)白熱球の1球あたりの交換費用⇒00円で計算(管理会社に委託している場合の平均)</v>
      </c>
    </row>
    <row r="18" spans="1:53" s="4" customFormat="1" ht="21" customHeight="1">
      <c r="A18" s="860">
        <v>11</v>
      </c>
      <c r="B18" s="860"/>
      <c r="C18" s="861">
        <f>IF($C$6=☆入力!$B$15,☆入力!$B26,☆入力!$C26)</f>
        <v>0</v>
      </c>
      <c r="D18" s="862"/>
      <c r="E18" s="862"/>
      <c r="F18" s="863"/>
      <c r="G18" s="864">
        <f>☆入力!D26</f>
        <v>0</v>
      </c>
      <c r="H18" s="864"/>
      <c r="I18" s="864"/>
      <c r="J18" s="864"/>
      <c r="K18" s="864"/>
      <c r="L18" s="865">
        <f>☆入力!H26</f>
        <v>0</v>
      </c>
      <c r="M18" s="865"/>
      <c r="N18" s="865"/>
      <c r="O18" s="865"/>
      <c r="P18" s="866">
        <f>☆入力!L26</f>
        <v>0</v>
      </c>
      <c r="Q18" s="867"/>
      <c r="R18" s="868">
        <f>☆入力!K26</f>
        <v>0</v>
      </c>
      <c r="S18" s="868"/>
      <c r="T18" s="868"/>
      <c r="U18" s="869">
        <f>☆入力!W26</f>
        <v>0</v>
      </c>
      <c r="V18" s="869"/>
      <c r="W18" s="869"/>
      <c r="X18" s="869"/>
      <c r="Y18" s="870">
        <f>☆入力!Y26</f>
        <v>0</v>
      </c>
      <c r="Z18" s="870"/>
      <c r="AA18" s="870"/>
      <c r="AB18" s="870"/>
      <c r="AD18" s="63"/>
      <c r="AG18" s="2" t="s">
        <v>316</v>
      </c>
    </row>
    <row r="19" spans="1:53" s="4" customFormat="1" ht="21" customHeight="1">
      <c r="A19" s="860">
        <v>12</v>
      </c>
      <c r="B19" s="860"/>
      <c r="C19" s="861">
        <f>IF($C$6=☆入力!$B$15,☆入力!$B27,☆入力!$C27)</f>
        <v>0</v>
      </c>
      <c r="D19" s="862"/>
      <c r="E19" s="862"/>
      <c r="F19" s="863"/>
      <c r="G19" s="864">
        <f>☆入力!D27</f>
        <v>0</v>
      </c>
      <c r="H19" s="864"/>
      <c r="I19" s="864"/>
      <c r="J19" s="864"/>
      <c r="K19" s="864"/>
      <c r="L19" s="865">
        <f>☆入力!H27</f>
        <v>0</v>
      </c>
      <c r="M19" s="865"/>
      <c r="N19" s="865"/>
      <c r="O19" s="865"/>
      <c r="P19" s="866">
        <f>☆入力!L27</f>
        <v>0</v>
      </c>
      <c r="Q19" s="867"/>
      <c r="R19" s="868">
        <f>☆入力!K27</f>
        <v>0</v>
      </c>
      <c r="S19" s="868"/>
      <c r="T19" s="868"/>
      <c r="U19" s="869">
        <f>☆入力!W27</f>
        <v>0</v>
      </c>
      <c r="V19" s="869"/>
      <c r="W19" s="869"/>
      <c r="X19" s="869"/>
      <c r="Y19" s="870">
        <f>☆入力!Y27</f>
        <v>0</v>
      </c>
      <c r="Z19" s="870"/>
      <c r="AA19" s="870"/>
      <c r="AB19" s="870"/>
      <c r="AD19" s="63"/>
      <c r="AG19" s="2" t="s">
        <v>317</v>
      </c>
      <c r="AT19" s="81"/>
      <c r="AU19" s="81"/>
      <c r="AV19" s="81"/>
      <c r="AW19" s="81"/>
      <c r="AX19" s="81"/>
      <c r="AY19" s="81"/>
      <c r="AZ19" s="81"/>
      <c r="BA19" s="81"/>
    </row>
    <row r="20" spans="1:53" s="4" customFormat="1" ht="21" customHeight="1">
      <c r="A20" s="860">
        <v>13</v>
      </c>
      <c r="B20" s="860"/>
      <c r="C20" s="861">
        <f>IF($C$6=☆入力!$B$15,☆入力!$B28,☆入力!$C28)</f>
        <v>0</v>
      </c>
      <c r="D20" s="862"/>
      <c r="E20" s="862"/>
      <c r="F20" s="863"/>
      <c r="G20" s="864">
        <f>☆入力!D28</f>
        <v>0</v>
      </c>
      <c r="H20" s="864"/>
      <c r="I20" s="864"/>
      <c r="J20" s="864"/>
      <c r="K20" s="864"/>
      <c r="L20" s="865">
        <f>☆入力!H28</f>
        <v>0</v>
      </c>
      <c r="M20" s="865"/>
      <c r="N20" s="865"/>
      <c r="O20" s="865"/>
      <c r="P20" s="866">
        <f>☆入力!L28</f>
        <v>0</v>
      </c>
      <c r="Q20" s="867"/>
      <c r="R20" s="868">
        <f>☆入力!K28</f>
        <v>0</v>
      </c>
      <c r="S20" s="868"/>
      <c r="T20" s="868"/>
      <c r="U20" s="869">
        <f>☆入力!W28</f>
        <v>0</v>
      </c>
      <c r="V20" s="869"/>
      <c r="W20" s="869"/>
      <c r="X20" s="869"/>
      <c r="Y20" s="870">
        <f>☆入力!Y28</f>
        <v>0</v>
      </c>
      <c r="Z20" s="870"/>
      <c r="AA20" s="870"/>
      <c r="AB20" s="870"/>
      <c r="AD20" s="63"/>
      <c r="AS20" s="924" t="s">
        <v>312</v>
      </c>
      <c r="AT20" s="924"/>
      <c r="AU20" s="924"/>
      <c r="AV20" s="924"/>
      <c r="AW20" s="924"/>
      <c r="AX20" s="924"/>
      <c r="AY20" s="924"/>
      <c r="AZ20" s="924"/>
      <c r="BA20" s="924"/>
    </row>
    <row r="21" spans="1:53" s="4" customFormat="1" ht="21" customHeight="1">
      <c r="A21" s="860">
        <v>14</v>
      </c>
      <c r="B21" s="860"/>
      <c r="C21" s="861">
        <f>IF($C$6=☆入力!$B$15,☆入力!$B29,☆入力!$C29)</f>
        <v>0</v>
      </c>
      <c r="D21" s="862"/>
      <c r="E21" s="862"/>
      <c r="F21" s="863"/>
      <c r="G21" s="864">
        <f>☆入力!D29</f>
        <v>0</v>
      </c>
      <c r="H21" s="864"/>
      <c r="I21" s="864"/>
      <c r="J21" s="864"/>
      <c r="K21" s="864"/>
      <c r="L21" s="865">
        <f>☆入力!H29</f>
        <v>0</v>
      </c>
      <c r="M21" s="865"/>
      <c r="N21" s="865"/>
      <c r="O21" s="865"/>
      <c r="P21" s="866">
        <f>☆入力!L29</f>
        <v>0</v>
      </c>
      <c r="Q21" s="867"/>
      <c r="R21" s="868">
        <f>☆入力!K29</f>
        <v>0</v>
      </c>
      <c r="S21" s="868"/>
      <c r="T21" s="868"/>
      <c r="U21" s="869">
        <f>☆入力!W29</f>
        <v>0</v>
      </c>
      <c r="V21" s="869"/>
      <c r="W21" s="869"/>
      <c r="X21" s="869"/>
      <c r="Y21" s="870">
        <f>☆入力!Y29</f>
        <v>0</v>
      </c>
      <c r="Z21" s="870"/>
      <c r="AA21" s="870"/>
      <c r="AB21" s="870"/>
      <c r="AD21" s="63"/>
      <c r="AG21" s="80"/>
      <c r="AH21" s="80"/>
      <c r="AI21" s="80"/>
      <c r="AJ21" s="80"/>
      <c r="AK21" s="80"/>
      <c r="AL21" s="80"/>
      <c r="AM21" s="80"/>
      <c r="AN21" s="80"/>
      <c r="AO21" s="80"/>
      <c r="AP21" s="80"/>
      <c r="AQ21" s="80"/>
      <c r="AR21" s="80"/>
      <c r="AS21" s="924"/>
      <c r="AT21" s="924"/>
      <c r="AU21" s="924"/>
      <c r="AV21" s="924"/>
      <c r="AW21" s="924"/>
      <c r="AX21" s="924"/>
      <c r="AY21" s="924"/>
      <c r="AZ21" s="924"/>
      <c r="BA21" s="924"/>
    </row>
    <row r="22" spans="1:53" s="4" customFormat="1" ht="21" customHeight="1">
      <c r="A22" s="860">
        <v>15</v>
      </c>
      <c r="B22" s="860"/>
      <c r="C22" s="861">
        <f>IF($C$6=☆入力!$B$15,☆入力!$B30,☆入力!$C30)</f>
        <v>0</v>
      </c>
      <c r="D22" s="862"/>
      <c r="E22" s="862"/>
      <c r="F22" s="863"/>
      <c r="G22" s="864">
        <f>☆入力!D30</f>
        <v>0</v>
      </c>
      <c r="H22" s="864"/>
      <c r="I22" s="864"/>
      <c r="J22" s="864"/>
      <c r="K22" s="864"/>
      <c r="L22" s="865">
        <f>☆入力!H30</f>
        <v>0</v>
      </c>
      <c r="M22" s="865"/>
      <c r="N22" s="865"/>
      <c r="O22" s="865"/>
      <c r="P22" s="866">
        <f>☆入力!L30</f>
        <v>0</v>
      </c>
      <c r="Q22" s="867"/>
      <c r="R22" s="868">
        <f>☆入力!K30</f>
        <v>0</v>
      </c>
      <c r="S22" s="868"/>
      <c r="T22" s="868"/>
      <c r="U22" s="869">
        <f>☆入力!W30</f>
        <v>0</v>
      </c>
      <c r="V22" s="869"/>
      <c r="W22" s="869"/>
      <c r="X22" s="869"/>
      <c r="Y22" s="870">
        <f>☆入力!Y30</f>
        <v>0</v>
      </c>
      <c r="Z22" s="870"/>
      <c r="AA22" s="870"/>
      <c r="AB22" s="870"/>
      <c r="AD22" s="63"/>
      <c r="AF22" s="878" t="s">
        <v>318</v>
      </c>
      <c r="AG22" s="878"/>
      <c r="AH22" s="878"/>
      <c r="AI22" s="878"/>
      <c r="AJ22" s="878"/>
      <c r="AK22" s="878"/>
      <c r="AL22" s="878"/>
      <c r="AM22" s="878"/>
      <c r="AN22" s="878"/>
      <c r="AO22" s="878"/>
      <c r="AP22" s="878"/>
      <c r="AQ22" s="878"/>
      <c r="AR22" s="878"/>
      <c r="AS22" s="878"/>
      <c r="AT22" s="878"/>
      <c r="AU22" s="878"/>
      <c r="AV22" s="878"/>
      <c r="AW22" s="878"/>
      <c r="AX22" s="878"/>
      <c r="AY22" s="878"/>
      <c r="AZ22" s="878"/>
      <c r="BA22" s="878"/>
    </row>
    <row r="23" spans="1:53" s="4" customFormat="1" ht="21" customHeight="1" thickBot="1">
      <c r="A23" s="860">
        <v>16</v>
      </c>
      <c r="B23" s="860"/>
      <c r="C23" s="861">
        <f>IF($C$6=☆入力!$B$15,☆入力!$B31,☆入力!$C31)</f>
        <v>0</v>
      </c>
      <c r="D23" s="862"/>
      <c r="E23" s="862"/>
      <c r="F23" s="863"/>
      <c r="G23" s="864">
        <f>☆入力!D31</f>
        <v>0</v>
      </c>
      <c r="H23" s="864"/>
      <c r="I23" s="864"/>
      <c r="J23" s="864"/>
      <c r="K23" s="864"/>
      <c r="L23" s="865">
        <f>☆入力!H31</f>
        <v>0</v>
      </c>
      <c r="M23" s="865"/>
      <c r="N23" s="865"/>
      <c r="O23" s="865"/>
      <c r="P23" s="866">
        <f>☆入力!L31</f>
        <v>0</v>
      </c>
      <c r="Q23" s="867"/>
      <c r="R23" s="868">
        <f>☆入力!K31</f>
        <v>0</v>
      </c>
      <c r="S23" s="868"/>
      <c r="T23" s="868"/>
      <c r="U23" s="869">
        <f>☆入力!W31</f>
        <v>0</v>
      </c>
      <c r="V23" s="869"/>
      <c r="W23" s="869"/>
      <c r="X23" s="869"/>
      <c r="Y23" s="870">
        <f>☆入力!Y31</f>
        <v>0</v>
      </c>
      <c r="Z23" s="870"/>
      <c r="AA23" s="870"/>
      <c r="AB23" s="870"/>
      <c r="AD23" s="63"/>
      <c r="AF23" s="878"/>
      <c r="AG23" s="878"/>
      <c r="AH23" s="878"/>
      <c r="AI23" s="878"/>
      <c r="AJ23" s="878"/>
      <c r="AK23" s="878"/>
      <c r="AL23" s="878"/>
      <c r="AM23" s="878"/>
      <c r="AN23" s="878"/>
      <c r="AO23" s="878"/>
      <c r="AP23" s="878"/>
      <c r="AQ23" s="878"/>
      <c r="AR23" s="878"/>
      <c r="AS23" s="878"/>
      <c r="AT23" s="878"/>
      <c r="AU23" s="878"/>
      <c r="AV23" s="878"/>
      <c r="AW23" s="878"/>
      <c r="AX23" s="878"/>
      <c r="AY23" s="878"/>
      <c r="AZ23" s="878"/>
      <c r="BA23" s="878"/>
    </row>
    <row r="24" spans="1:53" s="4" customFormat="1" ht="21" customHeight="1" thickTop="1">
      <c r="A24" s="860">
        <v>17</v>
      </c>
      <c r="B24" s="860"/>
      <c r="C24" s="861">
        <f>IF($C$6=☆入力!$B$15,☆入力!$B32,☆入力!$C32)</f>
        <v>0</v>
      </c>
      <c r="D24" s="862"/>
      <c r="E24" s="862"/>
      <c r="F24" s="863"/>
      <c r="G24" s="864">
        <f>☆入力!D32</f>
        <v>0</v>
      </c>
      <c r="H24" s="864"/>
      <c r="I24" s="864"/>
      <c r="J24" s="864"/>
      <c r="K24" s="864"/>
      <c r="L24" s="865">
        <f>☆入力!H32</f>
        <v>0</v>
      </c>
      <c r="M24" s="865"/>
      <c r="N24" s="865"/>
      <c r="O24" s="865"/>
      <c r="P24" s="866">
        <f>☆入力!L32</f>
        <v>0</v>
      </c>
      <c r="Q24" s="867"/>
      <c r="R24" s="868">
        <f>☆入力!K32</f>
        <v>0</v>
      </c>
      <c r="S24" s="868"/>
      <c r="T24" s="868"/>
      <c r="U24" s="869">
        <f>☆入力!W32</f>
        <v>0</v>
      </c>
      <c r="V24" s="869"/>
      <c r="W24" s="869"/>
      <c r="X24" s="869"/>
      <c r="Y24" s="870">
        <f>☆入力!Y32</f>
        <v>0</v>
      </c>
      <c r="Z24" s="870"/>
      <c r="AA24" s="870"/>
      <c r="AB24" s="870"/>
      <c r="AD24" s="63"/>
      <c r="AS24" s="895">
        <f>☆入力!L12*10000*2</f>
        <v>0</v>
      </c>
      <c r="AT24" s="896"/>
      <c r="AU24" s="896"/>
      <c r="AV24" s="896"/>
      <c r="AW24" s="896"/>
      <c r="AX24" s="896"/>
      <c r="AY24" s="896"/>
      <c r="AZ24" s="896"/>
      <c r="BA24" s="897"/>
    </row>
    <row r="25" spans="1:53" s="4" customFormat="1" ht="21" customHeight="1" thickBot="1">
      <c r="A25" s="860">
        <v>18</v>
      </c>
      <c r="B25" s="860"/>
      <c r="C25" s="861">
        <f>IF($C$6=☆入力!$B$15,☆入力!$B33,☆入力!$C33)</f>
        <v>0</v>
      </c>
      <c r="D25" s="862"/>
      <c r="E25" s="862"/>
      <c r="F25" s="863"/>
      <c r="G25" s="864">
        <f>☆入力!D33</f>
        <v>0</v>
      </c>
      <c r="H25" s="864"/>
      <c r="I25" s="864"/>
      <c r="J25" s="864"/>
      <c r="K25" s="864"/>
      <c r="L25" s="865">
        <f>☆入力!H33</f>
        <v>0</v>
      </c>
      <c r="M25" s="865"/>
      <c r="N25" s="865"/>
      <c r="O25" s="865"/>
      <c r="P25" s="866">
        <f>☆入力!L33</f>
        <v>0</v>
      </c>
      <c r="Q25" s="867"/>
      <c r="R25" s="868">
        <f>☆入力!K33</f>
        <v>0</v>
      </c>
      <c r="S25" s="868"/>
      <c r="T25" s="868"/>
      <c r="U25" s="869">
        <f>☆入力!W33</f>
        <v>0</v>
      </c>
      <c r="V25" s="869"/>
      <c r="W25" s="869"/>
      <c r="X25" s="869"/>
      <c r="Y25" s="870">
        <f>☆入力!Y33</f>
        <v>0</v>
      </c>
      <c r="Z25" s="870"/>
      <c r="AA25" s="870"/>
      <c r="AB25" s="870"/>
      <c r="AD25" s="63"/>
      <c r="AF25" s="53"/>
      <c r="AS25" s="898"/>
      <c r="AT25" s="899"/>
      <c r="AU25" s="899"/>
      <c r="AV25" s="899"/>
      <c r="AW25" s="899"/>
      <c r="AX25" s="899"/>
      <c r="AY25" s="899"/>
      <c r="AZ25" s="899"/>
      <c r="BA25" s="900"/>
    </row>
    <row r="26" spans="1:53" s="4" customFormat="1" ht="21" customHeight="1" thickTop="1">
      <c r="A26" s="860">
        <v>19</v>
      </c>
      <c r="B26" s="860"/>
      <c r="C26" s="861">
        <f>IF($C$6=☆入力!$B$15,☆入力!$B34,☆入力!$C34)</f>
        <v>0</v>
      </c>
      <c r="D26" s="862"/>
      <c r="E26" s="862"/>
      <c r="F26" s="863"/>
      <c r="G26" s="864">
        <f>☆入力!D34</f>
        <v>0</v>
      </c>
      <c r="H26" s="864"/>
      <c r="I26" s="864"/>
      <c r="J26" s="864"/>
      <c r="K26" s="864"/>
      <c r="L26" s="865">
        <f>☆入力!H34</f>
        <v>0</v>
      </c>
      <c r="M26" s="865"/>
      <c r="N26" s="865"/>
      <c r="O26" s="865"/>
      <c r="P26" s="866">
        <f>☆入力!L34</f>
        <v>0</v>
      </c>
      <c r="Q26" s="867"/>
      <c r="R26" s="868">
        <f>☆入力!K34</f>
        <v>0</v>
      </c>
      <c r="S26" s="868"/>
      <c r="T26" s="868"/>
      <c r="U26" s="869">
        <f>☆入力!W34</f>
        <v>0</v>
      </c>
      <c r="V26" s="869"/>
      <c r="W26" s="869"/>
      <c r="X26" s="869"/>
      <c r="Y26" s="870">
        <f>☆入力!Y34</f>
        <v>0</v>
      </c>
      <c r="Z26" s="870"/>
      <c r="AA26" s="870"/>
      <c r="AB26" s="870"/>
      <c r="AD26" s="63"/>
      <c r="AG26" s="67" t="s">
        <v>319</v>
      </c>
      <c r="AH26" s="67"/>
      <c r="AI26" s="67"/>
      <c r="AJ26" s="67"/>
      <c r="AK26" s="67"/>
      <c r="AL26" s="67"/>
      <c r="AM26" s="67"/>
      <c r="AO26" s="875">
        <f>☆入力!L12</f>
        <v>0</v>
      </c>
      <c r="AP26" s="875"/>
      <c r="AQ26" s="875"/>
      <c r="AR26" s="67" t="s">
        <v>320</v>
      </c>
      <c r="AS26" s="67"/>
      <c r="AT26" s="67"/>
      <c r="AU26" s="67"/>
      <c r="AV26" s="67"/>
      <c r="AW26" s="67"/>
      <c r="AX26" s="67"/>
      <c r="AY26" s="67"/>
      <c r="AZ26" s="67"/>
      <c r="BA26" s="67"/>
    </row>
    <row r="27" spans="1:53" s="4" customFormat="1" ht="21" customHeight="1">
      <c r="A27" s="860">
        <v>20</v>
      </c>
      <c r="B27" s="860"/>
      <c r="C27" s="861">
        <f>IF($C$6=☆入力!$B$15,☆入力!$B35,☆入力!$C35)</f>
        <v>0</v>
      </c>
      <c r="D27" s="862"/>
      <c r="E27" s="862"/>
      <c r="F27" s="863"/>
      <c r="G27" s="864">
        <f>☆入力!D35</f>
        <v>0</v>
      </c>
      <c r="H27" s="864"/>
      <c r="I27" s="864"/>
      <c r="J27" s="864"/>
      <c r="K27" s="864"/>
      <c r="L27" s="865">
        <f>☆入力!H35</f>
        <v>0</v>
      </c>
      <c r="M27" s="865"/>
      <c r="N27" s="865"/>
      <c r="O27" s="865"/>
      <c r="P27" s="866">
        <f>☆入力!L35</f>
        <v>0</v>
      </c>
      <c r="Q27" s="867"/>
      <c r="R27" s="868">
        <f>☆入力!K35</f>
        <v>0</v>
      </c>
      <c r="S27" s="868"/>
      <c r="T27" s="868"/>
      <c r="U27" s="869">
        <f>☆入力!W35</f>
        <v>0</v>
      </c>
      <c r="V27" s="869"/>
      <c r="W27" s="869"/>
      <c r="X27" s="869"/>
      <c r="Y27" s="870">
        <f>☆入力!Y35</f>
        <v>0</v>
      </c>
      <c r="Z27" s="870"/>
      <c r="AA27" s="870"/>
      <c r="AB27" s="870"/>
      <c r="AD27" s="63"/>
    </row>
    <row r="28" spans="1:53" s="4" customFormat="1" ht="21" customHeight="1">
      <c r="A28" s="860">
        <v>21</v>
      </c>
      <c r="B28" s="860"/>
      <c r="C28" s="861">
        <f>IF($C$6=☆入力!$B$15,☆入力!$B36,☆入力!$C36)</f>
        <v>0</v>
      </c>
      <c r="D28" s="862"/>
      <c r="E28" s="862"/>
      <c r="F28" s="863"/>
      <c r="G28" s="864">
        <f>☆入力!D36</f>
        <v>0</v>
      </c>
      <c r="H28" s="864"/>
      <c r="I28" s="864"/>
      <c r="J28" s="864"/>
      <c r="K28" s="864"/>
      <c r="L28" s="865">
        <f>☆入力!H36</f>
        <v>0</v>
      </c>
      <c r="M28" s="865"/>
      <c r="N28" s="865"/>
      <c r="O28" s="865"/>
      <c r="P28" s="866">
        <f>☆入力!L36</f>
        <v>0</v>
      </c>
      <c r="Q28" s="867"/>
      <c r="R28" s="868">
        <f>☆入力!K36</f>
        <v>0</v>
      </c>
      <c r="S28" s="868"/>
      <c r="T28" s="868"/>
      <c r="U28" s="869">
        <f>☆入力!W36</f>
        <v>0</v>
      </c>
      <c r="V28" s="869"/>
      <c r="W28" s="869"/>
      <c r="X28" s="869"/>
      <c r="Y28" s="870">
        <f>☆入力!Y36</f>
        <v>0</v>
      </c>
      <c r="Z28" s="870"/>
      <c r="AA28" s="870"/>
      <c r="AB28" s="870"/>
      <c r="AD28" s="63"/>
      <c r="AG28" s="2" t="s">
        <v>321</v>
      </c>
    </row>
    <row r="29" spans="1:53" s="4" customFormat="1" ht="21" customHeight="1">
      <c r="A29" s="860">
        <v>22</v>
      </c>
      <c r="B29" s="860"/>
      <c r="C29" s="861">
        <f>IF($C$6=☆入力!$B$15,☆入力!$B37,☆入力!$C37)</f>
        <v>0</v>
      </c>
      <c r="D29" s="862"/>
      <c r="E29" s="862"/>
      <c r="F29" s="863"/>
      <c r="G29" s="864">
        <f>☆入力!D37</f>
        <v>0</v>
      </c>
      <c r="H29" s="864"/>
      <c r="I29" s="864"/>
      <c r="J29" s="864"/>
      <c r="K29" s="864"/>
      <c r="L29" s="865">
        <f>☆入力!H37</f>
        <v>0</v>
      </c>
      <c r="M29" s="865"/>
      <c r="N29" s="865"/>
      <c r="O29" s="865"/>
      <c r="P29" s="866">
        <f>☆入力!L37</f>
        <v>0</v>
      </c>
      <c r="Q29" s="867"/>
      <c r="R29" s="868">
        <f>☆入力!K37</f>
        <v>0</v>
      </c>
      <c r="S29" s="868"/>
      <c r="T29" s="868"/>
      <c r="U29" s="869">
        <f>☆入力!W37</f>
        <v>0</v>
      </c>
      <c r="V29" s="869"/>
      <c r="W29" s="869"/>
      <c r="X29" s="869"/>
      <c r="Y29" s="870">
        <f>☆入力!Y37</f>
        <v>0</v>
      </c>
      <c r="Z29" s="870"/>
      <c r="AA29" s="870"/>
      <c r="AB29" s="870"/>
      <c r="AD29" s="63"/>
      <c r="AG29" s="2" t="s">
        <v>322</v>
      </c>
    </row>
    <row r="30" spans="1:53" s="4" customFormat="1" ht="21" customHeight="1">
      <c r="A30" s="860">
        <v>23</v>
      </c>
      <c r="B30" s="860"/>
      <c r="C30" s="861">
        <f>IF($C$6=☆入力!$B$15,☆入力!$B38,☆入力!$C38)</f>
        <v>0</v>
      </c>
      <c r="D30" s="862"/>
      <c r="E30" s="862"/>
      <c r="F30" s="863"/>
      <c r="G30" s="864">
        <f>☆入力!D38</f>
        <v>0</v>
      </c>
      <c r="H30" s="864"/>
      <c r="I30" s="864"/>
      <c r="J30" s="864"/>
      <c r="K30" s="864"/>
      <c r="L30" s="865">
        <f>☆入力!H38</f>
        <v>0</v>
      </c>
      <c r="M30" s="865"/>
      <c r="N30" s="865"/>
      <c r="O30" s="865"/>
      <c r="P30" s="866">
        <f>☆入力!L38</f>
        <v>0</v>
      </c>
      <c r="Q30" s="867"/>
      <c r="R30" s="868">
        <f>☆入力!K38</f>
        <v>0</v>
      </c>
      <c r="S30" s="868"/>
      <c r="T30" s="868"/>
      <c r="U30" s="869">
        <f>☆入力!W38</f>
        <v>0</v>
      </c>
      <c r="V30" s="869"/>
      <c r="W30" s="869"/>
      <c r="X30" s="869"/>
      <c r="Y30" s="870">
        <f>☆入力!Y38</f>
        <v>0</v>
      </c>
      <c r="Z30" s="870"/>
      <c r="AA30" s="870"/>
      <c r="AB30" s="870"/>
      <c r="AD30" s="63"/>
      <c r="AS30" s="56"/>
      <c r="AT30" s="56"/>
      <c r="AU30" s="56"/>
      <c r="AV30" s="56"/>
      <c r="AW30" s="56"/>
      <c r="AX30" s="56"/>
      <c r="AY30" s="56"/>
      <c r="AZ30" s="56"/>
      <c r="BA30" s="56"/>
    </row>
    <row r="31" spans="1:53" s="4" customFormat="1" ht="21" customHeight="1">
      <c r="A31" s="860">
        <v>24</v>
      </c>
      <c r="B31" s="860"/>
      <c r="C31" s="861">
        <f>IF($C$6=☆入力!$B$15,☆入力!$B39,☆入力!$C39)</f>
        <v>0</v>
      </c>
      <c r="D31" s="862"/>
      <c r="E31" s="862"/>
      <c r="F31" s="863"/>
      <c r="G31" s="864">
        <f>☆入力!D39</f>
        <v>0</v>
      </c>
      <c r="H31" s="864"/>
      <c r="I31" s="864"/>
      <c r="J31" s="864"/>
      <c r="K31" s="864"/>
      <c r="L31" s="865">
        <f>☆入力!H39</f>
        <v>0</v>
      </c>
      <c r="M31" s="865"/>
      <c r="N31" s="865"/>
      <c r="O31" s="865"/>
      <c r="P31" s="866">
        <f>☆入力!L39</f>
        <v>0</v>
      </c>
      <c r="Q31" s="867"/>
      <c r="R31" s="868">
        <f>☆入力!K39</f>
        <v>0</v>
      </c>
      <c r="S31" s="868"/>
      <c r="T31" s="868"/>
      <c r="U31" s="869">
        <f>☆入力!W39</f>
        <v>0</v>
      </c>
      <c r="V31" s="869"/>
      <c r="W31" s="869"/>
      <c r="X31" s="869"/>
      <c r="Y31" s="870">
        <f>☆入力!Y39</f>
        <v>0</v>
      </c>
      <c r="Z31" s="870"/>
      <c r="AA31" s="870"/>
      <c r="AB31" s="870"/>
      <c r="AD31" s="63"/>
      <c r="AS31" s="56"/>
      <c r="AT31" s="56"/>
      <c r="AU31" s="56"/>
      <c r="AV31" s="56"/>
      <c r="AW31" s="56"/>
      <c r="AX31" s="56"/>
      <c r="AY31" s="56"/>
      <c r="AZ31" s="56"/>
      <c r="BA31" s="56"/>
    </row>
    <row r="32" spans="1:53" s="4" customFormat="1" ht="21" customHeight="1">
      <c r="A32" s="860">
        <v>25</v>
      </c>
      <c r="B32" s="860"/>
      <c r="C32" s="861">
        <f>IF($C$6=☆入力!$B$15,☆入力!$B40,☆入力!$C40)</f>
        <v>0</v>
      </c>
      <c r="D32" s="862"/>
      <c r="E32" s="862"/>
      <c r="F32" s="863"/>
      <c r="G32" s="864">
        <f>☆入力!D40</f>
        <v>0</v>
      </c>
      <c r="H32" s="864"/>
      <c r="I32" s="864"/>
      <c r="J32" s="864"/>
      <c r="K32" s="864"/>
      <c r="L32" s="865">
        <f>☆入力!H40</f>
        <v>0</v>
      </c>
      <c r="M32" s="865"/>
      <c r="N32" s="865"/>
      <c r="O32" s="865"/>
      <c r="P32" s="866">
        <f>☆入力!L40</f>
        <v>0</v>
      </c>
      <c r="Q32" s="867"/>
      <c r="R32" s="868">
        <f>☆入力!K40</f>
        <v>0</v>
      </c>
      <c r="S32" s="868"/>
      <c r="T32" s="868"/>
      <c r="U32" s="869">
        <f>☆入力!W40</f>
        <v>0</v>
      </c>
      <c r="V32" s="869"/>
      <c r="W32" s="869"/>
      <c r="X32" s="869"/>
      <c r="Y32" s="870">
        <f>☆入力!Y40</f>
        <v>0</v>
      </c>
      <c r="Z32" s="870"/>
      <c r="AA32" s="870"/>
      <c r="AB32" s="870"/>
      <c r="AD32" s="63"/>
    </row>
    <row r="33" spans="1:56" s="4" customFormat="1" ht="21" customHeight="1" outlineLevel="1">
      <c r="A33" s="860">
        <v>26</v>
      </c>
      <c r="B33" s="860"/>
      <c r="C33" s="861">
        <f>IF($C$6=☆入力!$B$15,☆入力!$B41,☆入力!$C41)</f>
        <v>0</v>
      </c>
      <c r="D33" s="862"/>
      <c r="E33" s="862"/>
      <c r="F33" s="863"/>
      <c r="G33" s="864">
        <f>☆入力!D41</f>
        <v>0</v>
      </c>
      <c r="H33" s="864"/>
      <c r="I33" s="864"/>
      <c r="J33" s="864"/>
      <c r="K33" s="864"/>
      <c r="L33" s="865">
        <f>☆入力!H41</f>
        <v>0</v>
      </c>
      <c r="M33" s="865"/>
      <c r="N33" s="865"/>
      <c r="O33" s="865"/>
      <c r="P33" s="866">
        <f>☆入力!L41</f>
        <v>0</v>
      </c>
      <c r="Q33" s="867"/>
      <c r="R33" s="868">
        <f>☆入力!K41</f>
        <v>0</v>
      </c>
      <c r="S33" s="868"/>
      <c r="T33" s="868"/>
      <c r="U33" s="869">
        <f>☆入力!W41</f>
        <v>0</v>
      </c>
      <c r="V33" s="869"/>
      <c r="W33" s="869"/>
      <c r="X33" s="869"/>
      <c r="Y33" s="870">
        <f>☆入力!Y41</f>
        <v>0</v>
      </c>
      <c r="Z33" s="870"/>
      <c r="AA33" s="870"/>
      <c r="AB33" s="870"/>
      <c r="AD33" s="63"/>
    </row>
    <row r="34" spans="1:56" s="4" customFormat="1" ht="21" customHeight="1" outlineLevel="1">
      <c r="A34" s="860">
        <v>27</v>
      </c>
      <c r="B34" s="860"/>
      <c r="C34" s="861">
        <f>IF($C$6=☆入力!$B$15,☆入力!$B42,☆入力!$C42)</f>
        <v>0</v>
      </c>
      <c r="D34" s="862"/>
      <c r="E34" s="862"/>
      <c r="F34" s="863"/>
      <c r="G34" s="864">
        <f>☆入力!D42</f>
        <v>0</v>
      </c>
      <c r="H34" s="864"/>
      <c r="I34" s="864"/>
      <c r="J34" s="864"/>
      <c r="K34" s="864"/>
      <c r="L34" s="865">
        <f>☆入力!H42</f>
        <v>0</v>
      </c>
      <c r="M34" s="865"/>
      <c r="N34" s="865"/>
      <c r="O34" s="865"/>
      <c r="P34" s="866">
        <f>☆入力!L42</f>
        <v>0</v>
      </c>
      <c r="Q34" s="867"/>
      <c r="R34" s="868">
        <f>☆入力!K42</f>
        <v>0</v>
      </c>
      <c r="S34" s="868"/>
      <c r="T34" s="868"/>
      <c r="U34" s="869">
        <f>☆入力!W42</f>
        <v>0</v>
      </c>
      <c r="V34" s="869"/>
      <c r="W34" s="869"/>
      <c r="X34" s="869"/>
      <c r="Y34" s="870">
        <f>☆入力!Y42</f>
        <v>0</v>
      </c>
      <c r="Z34" s="870"/>
      <c r="AA34" s="870"/>
      <c r="AB34" s="870"/>
      <c r="AD34" s="63"/>
    </row>
    <row r="35" spans="1:56" s="4" customFormat="1" ht="21" customHeight="1" outlineLevel="1">
      <c r="A35" s="860">
        <v>28</v>
      </c>
      <c r="B35" s="860"/>
      <c r="C35" s="861">
        <f>IF($C$6=☆入力!$B$15,☆入力!$B43,☆入力!$C43)</f>
        <v>0</v>
      </c>
      <c r="D35" s="862"/>
      <c r="E35" s="862"/>
      <c r="F35" s="863"/>
      <c r="G35" s="864">
        <f>☆入力!D43</f>
        <v>0</v>
      </c>
      <c r="H35" s="864"/>
      <c r="I35" s="864"/>
      <c r="J35" s="864"/>
      <c r="K35" s="864"/>
      <c r="L35" s="865">
        <f>☆入力!H43</f>
        <v>0</v>
      </c>
      <c r="M35" s="865"/>
      <c r="N35" s="865"/>
      <c r="O35" s="865"/>
      <c r="P35" s="866">
        <f>☆入力!L43</f>
        <v>0</v>
      </c>
      <c r="Q35" s="867"/>
      <c r="R35" s="868">
        <f>☆入力!K43</f>
        <v>0</v>
      </c>
      <c r="S35" s="868"/>
      <c r="T35" s="868"/>
      <c r="U35" s="869">
        <f>☆入力!W43</f>
        <v>0</v>
      </c>
      <c r="V35" s="869"/>
      <c r="W35" s="869"/>
      <c r="X35" s="869"/>
      <c r="Y35" s="870">
        <f>☆入力!Y43</f>
        <v>0</v>
      </c>
      <c r="Z35" s="870"/>
      <c r="AA35" s="870"/>
      <c r="AB35" s="870"/>
      <c r="AD35" s="63"/>
    </row>
    <row r="36" spans="1:56" s="4" customFormat="1" ht="21" customHeight="1" outlineLevel="1">
      <c r="A36" s="860">
        <v>29</v>
      </c>
      <c r="B36" s="860"/>
      <c r="C36" s="861">
        <f>IF($C$6=☆入力!$B$15,☆入力!$B44,☆入力!$C44)</f>
        <v>0</v>
      </c>
      <c r="D36" s="862"/>
      <c r="E36" s="862"/>
      <c r="F36" s="863"/>
      <c r="G36" s="864">
        <f>☆入力!D44</f>
        <v>0</v>
      </c>
      <c r="H36" s="864"/>
      <c r="I36" s="864"/>
      <c r="J36" s="864"/>
      <c r="K36" s="864"/>
      <c r="L36" s="865">
        <f>☆入力!H44</f>
        <v>0</v>
      </c>
      <c r="M36" s="865"/>
      <c r="N36" s="865"/>
      <c r="O36" s="865"/>
      <c r="P36" s="866">
        <f>☆入力!L44</f>
        <v>0</v>
      </c>
      <c r="Q36" s="867"/>
      <c r="R36" s="868">
        <f>☆入力!K44</f>
        <v>0</v>
      </c>
      <c r="S36" s="868"/>
      <c r="T36" s="868"/>
      <c r="U36" s="869">
        <f>☆入力!W44</f>
        <v>0</v>
      </c>
      <c r="V36" s="869"/>
      <c r="W36" s="869"/>
      <c r="X36" s="869"/>
      <c r="Y36" s="870">
        <f>☆入力!Y44</f>
        <v>0</v>
      </c>
      <c r="Z36" s="870"/>
      <c r="AA36" s="870"/>
      <c r="AB36" s="870"/>
      <c r="AD36" s="63"/>
    </row>
    <row r="37" spans="1:56" s="4" customFormat="1" ht="21" customHeight="1" outlineLevel="1">
      <c r="A37" s="849">
        <v>30</v>
      </c>
      <c r="B37" s="849"/>
      <c r="C37" s="850">
        <f>IF($C$6=☆入力!$B$15,☆入力!$B45,☆入力!$C45)</f>
        <v>0</v>
      </c>
      <c r="D37" s="851"/>
      <c r="E37" s="851"/>
      <c r="F37" s="852"/>
      <c r="G37" s="853">
        <f>☆入力!D45</f>
        <v>0</v>
      </c>
      <c r="H37" s="853"/>
      <c r="I37" s="853"/>
      <c r="J37" s="853"/>
      <c r="K37" s="853"/>
      <c r="L37" s="854">
        <f>☆入力!H45</f>
        <v>0</v>
      </c>
      <c r="M37" s="854"/>
      <c r="N37" s="854"/>
      <c r="O37" s="854"/>
      <c r="P37" s="855">
        <f>☆入力!L45</f>
        <v>0</v>
      </c>
      <c r="Q37" s="856"/>
      <c r="R37" s="857">
        <f>☆入力!K45</f>
        <v>0</v>
      </c>
      <c r="S37" s="857"/>
      <c r="T37" s="857"/>
      <c r="U37" s="858">
        <f>☆入力!W45</f>
        <v>0</v>
      </c>
      <c r="V37" s="858"/>
      <c r="W37" s="858"/>
      <c r="X37" s="858"/>
      <c r="Y37" s="859">
        <f>☆入力!Y45</f>
        <v>0</v>
      </c>
      <c r="Z37" s="859"/>
      <c r="AA37" s="859"/>
      <c r="AB37" s="859"/>
      <c r="AD37" s="63"/>
    </row>
    <row r="38" spans="1:56" s="14" customFormat="1" ht="21" customHeight="1">
      <c r="C38" s="479"/>
      <c r="D38" s="479"/>
      <c r="E38" s="479"/>
      <c r="F38" s="479"/>
      <c r="G38" s="479"/>
      <c r="H38" s="479"/>
      <c r="I38" s="479"/>
      <c r="J38" s="479"/>
      <c r="K38" s="75" t="s">
        <v>323</v>
      </c>
      <c r="L38" s="479"/>
      <c r="M38" s="479"/>
      <c r="N38" s="479"/>
      <c r="O38" s="479"/>
      <c r="P38" s="479"/>
      <c r="Q38" s="479"/>
      <c r="R38" s="479"/>
      <c r="S38" s="479"/>
      <c r="T38" s="479"/>
      <c r="U38" s="479"/>
      <c r="V38" s="479"/>
      <c r="W38" s="479"/>
      <c r="X38" s="479"/>
      <c r="AD38" s="65"/>
    </row>
    <row r="39" spans="1:56" s="14" customFormat="1" ht="21" customHeight="1">
      <c r="C39" s="479"/>
      <c r="D39" s="479"/>
      <c r="E39" s="479"/>
      <c r="F39" s="479"/>
      <c r="G39" s="479"/>
      <c r="H39" s="479"/>
      <c r="I39" s="479"/>
      <c r="J39" s="479"/>
      <c r="K39" s="885" t="s">
        <v>43</v>
      </c>
      <c r="L39" s="885"/>
      <c r="M39" s="885"/>
      <c r="N39" s="885"/>
      <c r="O39" s="885"/>
      <c r="P39" s="887">
        <f>SUM(P8:Q37)</f>
        <v>0</v>
      </c>
      <c r="Q39" s="887"/>
      <c r="R39" s="889" t="s">
        <v>324</v>
      </c>
      <c r="S39" s="889"/>
      <c r="T39" s="889"/>
      <c r="U39" s="891">
        <f>SUM(U8:X37)</f>
        <v>0</v>
      </c>
      <c r="V39" s="891"/>
      <c r="W39" s="891"/>
      <c r="X39" s="891"/>
      <c r="Y39" s="893">
        <f>SUM(Y8:AB37)</f>
        <v>0</v>
      </c>
      <c r="Z39" s="893"/>
      <c r="AA39" s="893"/>
      <c r="AB39" s="893"/>
      <c r="AD39" s="65"/>
      <c r="AF39" s="878" t="s">
        <v>325</v>
      </c>
      <c r="AG39" s="878"/>
      <c r="AH39" s="878"/>
      <c r="AI39" s="878"/>
      <c r="AJ39" s="878"/>
      <c r="AK39" s="878"/>
      <c r="AL39" s="878"/>
      <c r="AM39" s="878"/>
      <c r="AN39" s="878"/>
      <c r="AO39" s="878"/>
      <c r="AP39" s="878"/>
      <c r="AQ39" s="878"/>
      <c r="AR39" s="878"/>
      <c r="AS39" s="878"/>
      <c r="AT39" s="878"/>
      <c r="AU39" s="878"/>
      <c r="AV39" s="878"/>
      <c r="AW39" s="878"/>
      <c r="AX39" s="878"/>
      <c r="AY39" s="878"/>
      <c r="AZ39" s="878"/>
      <c r="BA39" s="878"/>
    </row>
    <row r="40" spans="1:56" s="14" customFormat="1" ht="21" customHeight="1" thickBot="1">
      <c r="C40" s="15"/>
      <c r="D40" s="15"/>
      <c r="E40" s="15"/>
      <c r="F40" s="15"/>
      <c r="G40" s="15"/>
      <c r="H40" s="15"/>
      <c r="I40" s="15"/>
      <c r="J40" s="15"/>
      <c r="K40" s="886"/>
      <c r="L40" s="886"/>
      <c r="M40" s="886"/>
      <c r="N40" s="886"/>
      <c r="O40" s="886"/>
      <c r="P40" s="888"/>
      <c r="Q40" s="888"/>
      <c r="R40" s="890"/>
      <c r="S40" s="890"/>
      <c r="T40" s="890"/>
      <c r="U40" s="892"/>
      <c r="V40" s="892"/>
      <c r="W40" s="892"/>
      <c r="X40" s="892"/>
      <c r="Y40" s="894"/>
      <c r="Z40" s="894"/>
      <c r="AA40" s="894"/>
      <c r="AB40" s="894"/>
      <c r="AD40" s="65"/>
      <c r="AF40" s="878"/>
      <c r="AG40" s="878"/>
      <c r="AH40" s="878"/>
      <c r="AI40" s="878"/>
      <c r="AJ40" s="878"/>
      <c r="AK40" s="878"/>
      <c r="AL40" s="878"/>
      <c r="AM40" s="878"/>
      <c r="AN40" s="878"/>
      <c r="AO40" s="878"/>
      <c r="AP40" s="878"/>
      <c r="AQ40" s="878"/>
      <c r="AR40" s="878"/>
      <c r="AS40" s="878"/>
      <c r="AT40" s="878"/>
      <c r="AU40" s="878"/>
      <c r="AV40" s="878"/>
      <c r="AW40" s="878"/>
      <c r="AX40" s="878"/>
      <c r="AY40" s="878"/>
      <c r="AZ40" s="878"/>
      <c r="BA40" s="878"/>
    </row>
    <row r="41" spans="1:56" s="14" customFormat="1" ht="21" customHeight="1" thickTop="1">
      <c r="C41" s="15"/>
      <c r="D41" s="15"/>
      <c r="E41" s="15"/>
      <c r="F41" s="15"/>
      <c r="G41" s="15"/>
      <c r="H41" s="15"/>
      <c r="I41" s="15"/>
      <c r="J41" s="15"/>
      <c r="L41" s="479"/>
      <c r="M41" s="479"/>
      <c r="N41" s="479"/>
      <c r="O41" s="479"/>
      <c r="P41" s="479"/>
      <c r="Q41" s="479"/>
      <c r="R41" s="479"/>
      <c r="S41" s="479"/>
      <c r="T41" s="479"/>
      <c r="U41" s="479"/>
      <c r="V41" s="479"/>
      <c r="W41" s="479"/>
      <c r="X41" s="479"/>
      <c r="Y41" s="479"/>
      <c r="Z41" s="479"/>
      <c r="AA41" s="479"/>
      <c r="AB41" s="479"/>
      <c r="AC41" s="479"/>
      <c r="AD41" s="65"/>
      <c r="AS41" s="879">
        <f>AS6+AS13+AS24</f>
        <v>0</v>
      </c>
      <c r="AT41" s="880"/>
      <c r="AU41" s="880"/>
      <c r="AV41" s="880"/>
      <c r="AW41" s="880"/>
      <c r="AX41" s="880"/>
      <c r="AY41" s="880"/>
      <c r="AZ41" s="880"/>
      <c r="BA41" s="881"/>
    </row>
    <row r="42" spans="1:56" s="14" customFormat="1" ht="21" customHeight="1" thickBot="1">
      <c r="A42" s="67"/>
      <c r="B42" s="67"/>
      <c r="C42" s="186"/>
      <c r="D42" s="186"/>
      <c r="E42" s="186"/>
      <c r="F42" s="186"/>
      <c r="G42" s="186"/>
      <c r="H42" s="186"/>
      <c r="I42" s="186"/>
      <c r="J42" s="186"/>
      <c r="K42" s="186"/>
      <c r="L42" s="186"/>
      <c r="M42" s="186"/>
      <c r="N42" s="67"/>
      <c r="O42" s="67"/>
      <c r="P42" s="67"/>
      <c r="Q42" s="67"/>
      <c r="R42" s="67"/>
      <c r="S42" s="67"/>
      <c r="T42" s="67"/>
      <c r="U42" s="67"/>
      <c r="V42" s="67"/>
      <c r="W42" s="67"/>
      <c r="X42" s="67"/>
      <c r="Y42" s="67"/>
      <c r="Z42" s="67"/>
      <c r="AA42" s="67"/>
      <c r="AB42" s="67"/>
      <c r="AD42" s="65"/>
      <c r="AS42" s="882"/>
      <c r="AT42" s="883"/>
      <c r="AU42" s="883"/>
      <c r="AV42" s="883"/>
      <c r="AW42" s="883"/>
      <c r="AX42" s="883"/>
      <c r="AY42" s="883"/>
      <c r="AZ42" s="883"/>
      <c r="BA42" s="884"/>
    </row>
    <row r="43" spans="1:56" s="14" customFormat="1" ht="21" customHeight="1" thickTop="1">
      <c r="A43" s="67"/>
      <c r="B43" s="67"/>
      <c r="C43" s="186"/>
      <c r="D43" s="186"/>
      <c r="E43" s="186"/>
      <c r="F43" s="186"/>
      <c r="G43" s="186"/>
      <c r="H43" s="186"/>
      <c r="I43" s="186"/>
      <c r="J43" s="186"/>
      <c r="K43" s="186"/>
      <c r="L43" s="186"/>
      <c r="M43" s="186"/>
      <c r="N43" s="67"/>
      <c r="O43" s="67"/>
      <c r="P43" s="67"/>
      <c r="Q43" s="67"/>
      <c r="R43" s="67"/>
      <c r="S43" s="67"/>
      <c r="T43" s="67"/>
      <c r="U43" s="67"/>
      <c r="V43" s="67"/>
      <c r="W43" s="67"/>
      <c r="X43" s="67"/>
      <c r="Y43" s="67"/>
      <c r="Z43" s="67"/>
      <c r="AA43" s="67"/>
      <c r="AB43" s="67"/>
      <c r="AD43" s="65"/>
    </row>
    <row r="44" spans="1:56" s="14" customFormat="1" ht="21" customHeight="1">
      <c r="A44" s="67"/>
      <c r="B44" s="67"/>
      <c r="C44" s="186"/>
      <c r="D44" s="186"/>
      <c r="E44" s="186"/>
      <c r="F44" s="186"/>
      <c r="G44" s="186"/>
      <c r="H44" s="186"/>
      <c r="I44" s="186"/>
      <c r="J44" s="186"/>
      <c r="K44" s="186"/>
      <c r="L44" s="186"/>
      <c r="M44" s="186"/>
      <c r="N44" s="67"/>
      <c r="O44" s="67"/>
      <c r="P44" s="67"/>
      <c r="Q44" s="67"/>
      <c r="R44" s="67"/>
      <c r="S44" s="67"/>
      <c r="T44" s="67"/>
      <c r="U44" s="67"/>
      <c r="V44" s="67"/>
      <c r="W44" s="67"/>
      <c r="X44" s="67"/>
      <c r="Y44" s="67"/>
      <c r="Z44" s="67"/>
      <c r="AA44" s="67"/>
      <c r="AB44" s="67"/>
      <c r="BD44" s="310">
        <v>3</v>
      </c>
    </row>
  </sheetData>
  <mergeCells count="270">
    <mergeCell ref="R3:AB4"/>
    <mergeCell ref="AF3:BA4"/>
    <mergeCell ref="Y26:AB26"/>
    <mergeCell ref="P29:Q29"/>
    <mergeCell ref="L27:O27"/>
    <mergeCell ref="AN16:AP16"/>
    <mergeCell ref="AS24:BA25"/>
    <mergeCell ref="AF22:BA23"/>
    <mergeCell ref="AS20:BA21"/>
    <mergeCell ref="U18:X18"/>
    <mergeCell ref="Y18:AB18"/>
    <mergeCell ref="R21:T21"/>
    <mergeCell ref="U21:X21"/>
    <mergeCell ref="Y21:AB21"/>
    <mergeCell ref="U22:X22"/>
    <mergeCell ref="Y22:AB22"/>
    <mergeCell ref="R25:T25"/>
    <mergeCell ref="U25:X25"/>
    <mergeCell ref="Y25:AB25"/>
    <mergeCell ref="P12:Q12"/>
    <mergeCell ref="P8:Q8"/>
    <mergeCell ref="R8:T8"/>
    <mergeCell ref="U8:X8"/>
    <mergeCell ref="Y8:AB8"/>
    <mergeCell ref="A1:BD1"/>
    <mergeCell ref="AF39:BA40"/>
    <mergeCell ref="AS41:BA42"/>
    <mergeCell ref="K39:O40"/>
    <mergeCell ref="P39:Q40"/>
    <mergeCell ref="R39:T40"/>
    <mergeCell ref="U39:X40"/>
    <mergeCell ref="Y39:AB40"/>
    <mergeCell ref="AF6:AR7"/>
    <mergeCell ref="AS6:BA7"/>
    <mergeCell ref="AF11:BA12"/>
    <mergeCell ref="AS13:BA14"/>
    <mergeCell ref="AS9:BA10"/>
    <mergeCell ref="P6:Q6"/>
    <mergeCell ref="R6:T6"/>
    <mergeCell ref="U6:X6"/>
    <mergeCell ref="Y6:AB6"/>
    <mergeCell ref="A6:B6"/>
    <mergeCell ref="C6:F6"/>
    <mergeCell ref="A8:B8"/>
    <mergeCell ref="C8:F8"/>
    <mergeCell ref="U26:X26"/>
    <mergeCell ref="A12:B12"/>
    <mergeCell ref="C12:F12"/>
    <mergeCell ref="A9:B9"/>
    <mergeCell ref="C9:F9"/>
    <mergeCell ref="P9:Q9"/>
    <mergeCell ref="R9:T9"/>
    <mergeCell ref="U9:X9"/>
    <mergeCell ref="Y9:AB9"/>
    <mergeCell ref="A10:B10"/>
    <mergeCell ref="C10:F10"/>
    <mergeCell ref="P10:Q10"/>
    <mergeCell ref="R10:T10"/>
    <mergeCell ref="U10:X10"/>
    <mergeCell ref="Y10:AB10"/>
    <mergeCell ref="A11:B11"/>
    <mergeCell ref="C11:F11"/>
    <mergeCell ref="P11:Q11"/>
    <mergeCell ref="R11:T11"/>
    <mergeCell ref="U11:X11"/>
    <mergeCell ref="Y11:AB11"/>
    <mergeCell ref="R12:T12"/>
    <mergeCell ref="U12:X12"/>
    <mergeCell ref="U14:X14"/>
    <mergeCell ref="Y14:AB14"/>
    <mergeCell ref="Y12:AB12"/>
    <mergeCell ref="R13:T13"/>
    <mergeCell ref="U13:X13"/>
    <mergeCell ref="Y13:AB13"/>
    <mergeCell ref="L12:O12"/>
    <mergeCell ref="A13:B13"/>
    <mergeCell ref="C13:F13"/>
    <mergeCell ref="P13:Q13"/>
    <mergeCell ref="A15:B15"/>
    <mergeCell ref="C15:F15"/>
    <mergeCell ref="P15:Q15"/>
    <mergeCell ref="R15:T15"/>
    <mergeCell ref="U15:X15"/>
    <mergeCell ref="Y15:AB15"/>
    <mergeCell ref="L14:O14"/>
    <mergeCell ref="L15:O15"/>
    <mergeCell ref="A14:B14"/>
    <mergeCell ref="C14:F14"/>
    <mergeCell ref="P14:Q14"/>
    <mergeCell ref="R14:T14"/>
    <mergeCell ref="A16:B16"/>
    <mergeCell ref="C16:F16"/>
    <mergeCell ref="P16:Q16"/>
    <mergeCell ref="R16:T16"/>
    <mergeCell ref="U16:X16"/>
    <mergeCell ref="Y16:AB16"/>
    <mergeCell ref="R17:T17"/>
    <mergeCell ref="U17:X17"/>
    <mergeCell ref="Y17:AB17"/>
    <mergeCell ref="L16:O16"/>
    <mergeCell ref="A18:B18"/>
    <mergeCell ref="C18:F18"/>
    <mergeCell ref="P18:Q18"/>
    <mergeCell ref="R18:T18"/>
    <mergeCell ref="A17:B17"/>
    <mergeCell ref="C17:F17"/>
    <mergeCell ref="P17:Q17"/>
    <mergeCell ref="L17:O17"/>
    <mergeCell ref="L18:O18"/>
    <mergeCell ref="G17:K17"/>
    <mergeCell ref="G18:K18"/>
    <mergeCell ref="A19:B19"/>
    <mergeCell ref="C19:F19"/>
    <mergeCell ref="P19:Q19"/>
    <mergeCell ref="R19:T19"/>
    <mergeCell ref="U19:X19"/>
    <mergeCell ref="Y19:AB19"/>
    <mergeCell ref="A20:B20"/>
    <mergeCell ref="C20:F20"/>
    <mergeCell ref="P20:Q20"/>
    <mergeCell ref="R20:T20"/>
    <mergeCell ref="U20:X20"/>
    <mergeCell ref="Y20:AB20"/>
    <mergeCell ref="L19:O19"/>
    <mergeCell ref="L20:O20"/>
    <mergeCell ref="G19:K19"/>
    <mergeCell ref="G20:K20"/>
    <mergeCell ref="A22:B22"/>
    <mergeCell ref="C22:F22"/>
    <mergeCell ref="P22:Q22"/>
    <mergeCell ref="R22:T22"/>
    <mergeCell ref="A21:B21"/>
    <mergeCell ref="C21:F21"/>
    <mergeCell ref="P21:Q21"/>
    <mergeCell ref="L21:O21"/>
    <mergeCell ref="L22:O22"/>
    <mergeCell ref="G21:K21"/>
    <mergeCell ref="G22:K22"/>
    <mergeCell ref="A23:B23"/>
    <mergeCell ref="C23:F23"/>
    <mergeCell ref="P23:Q23"/>
    <mergeCell ref="R23:T23"/>
    <mergeCell ref="U23:X23"/>
    <mergeCell ref="Y23:AB23"/>
    <mergeCell ref="A24:B24"/>
    <mergeCell ref="C24:F24"/>
    <mergeCell ref="P24:Q24"/>
    <mergeCell ref="R24:T24"/>
    <mergeCell ref="U24:X24"/>
    <mergeCell ref="Y24:AB24"/>
    <mergeCell ref="L23:O23"/>
    <mergeCell ref="L24:O24"/>
    <mergeCell ref="G23:K23"/>
    <mergeCell ref="G24:K24"/>
    <mergeCell ref="A26:B26"/>
    <mergeCell ref="C26:F26"/>
    <mergeCell ref="P26:Q26"/>
    <mergeCell ref="R26:T26"/>
    <mergeCell ref="A25:B25"/>
    <mergeCell ref="C25:F25"/>
    <mergeCell ref="P25:Q25"/>
    <mergeCell ref="L25:O25"/>
    <mergeCell ref="L26:O26"/>
    <mergeCell ref="G26:K26"/>
    <mergeCell ref="G25:K25"/>
    <mergeCell ref="C27:F27"/>
    <mergeCell ref="P27:Q27"/>
    <mergeCell ref="R27:T27"/>
    <mergeCell ref="U27:X27"/>
    <mergeCell ref="Y27:AB27"/>
    <mergeCell ref="U30:X30"/>
    <mergeCell ref="Y30:AB30"/>
    <mergeCell ref="A28:B28"/>
    <mergeCell ref="C28:F28"/>
    <mergeCell ref="P28:Q28"/>
    <mergeCell ref="R28:T28"/>
    <mergeCell ref="U28:X28"/>
    <mergeCell ref="Y28:AB28"/>
    <mergeCell ref="A30:B30"/>
    <mergeCell ref="C30:F30"/>
    <mergeCell ref="P30:Q30"/>
    <mergeCell ref="R30:T30"/>
    <mergeCell ref="A29:B29"/>
    <mergeCell ref="C29:F29"/>
    <mergeCell ref="G27:K27"/>
    <mergeCell ref="G28:K28"/>
    <mergeCell ref="G29:K29"/>
    <mergeCell ref="G30:K30"/>
    <mergeCell ref="AO8:AR8"/>
    <mergeCell ref="AN15:AP15"/>
    <mergeCell ref="AO26:AQ26"/>
    <mergeCell ref="A32:B32"/>
    <mergeCell ref="C32:F32"/>
    <mergeCell ref="P32:Q32"/>
    <mergeCell ref="R32:T32"/>
    <mergeCell ref="U32:X32"/>
    <mergeCell ref="Y32:AB32"/>
    <mergeCell ref="A31:B31"/>
    <mergeCell ref="C31:F31"/>
    <mergeCell ref="P31:Q31"/>
    <mergeCell ref="R31:T31"/>
    <mergeCell ref="U31:X31"/>
    <mergeCell ref="Y31:AB31"/>
    <mergeCell ref="R29:T29"/>
    <mergeCell ref="U29:X29"/>
    <mergeCell ref="Y29:AB29"/>
    <mergeCell ref="L8:O8"/>
    <mergeCell ref="L9:O9"/>
    <mergeCell ref="L10:O10"/>
    <mergeCell ref="L11:O11"/>
    <mergeCell ref="A27:B27"/>
    <mergeCell ref="G16:K16"/>
    <mergeCell ref="G31:K31"/>
    <mergeCell ref="G32:K32"/>
    <mergeCell ref="L28:O28"/>
    <mergeCell ref="L29:O29"/>
    <mergeCell ref="L30:O30"/>
    <mergeCell ref="L31:O31"/>
    <mergeCell ref="L32:O32"/>
    <mergeCell ref="G6:K6"/>
    <mergeCell ref="G8:K8"/>
    <mergeCell ref="G9:K9"/>
    <mergeCell ref="G10:K10"/>
    <mergeCell ref="G11:K11"/>
    <mergeCell ref="G12:K12"/>
    <mergeCell ref="G13:K13"/>
    <mergeCell ref="G14:K14"/>
    <mergeCell ref="G15:K15"/>
    <mergeCell ref="L13:O13"/>
    <mergeCell ref="L6:O6"/>
    <mergeCell ref="A33:B33"/>
    <mergeCell ref="C33:F33"/>
    <mergeCell ref="G33:K33"/>
    <mergeCell ref="L33:O33"/>
    <mergeCell ref="P33:Q33"/>
    <mergeCell ref="R33:T33"/>
    <mergeCell ref="U33:X33"/>
    <mergeCell ref="Y33:AB33"/>
    <mergeCell ref="A34:B34"/>
    <mergeCell ref="C34:F34"/>
    <mergeCell ref="G34:K34"/>
    <mergeCell ref="L34:O34"/>
    <mergeCell ref="P34:Q34"/>
    <mergeCell ref="R34:T34"/>
    <mergeCell ref="U34:X34"/>
    <mergeCell ref="Y34:AB34"/>
    <mergeCell ref="A37:B37"/>
    <mergeCell ref="C37:F37"/>
    <mergeCell ref="G37:K37"/>
    <mergeCell ref="L37:O37"/>
    <mergeCell ref="P37:Q37"/>
    <mergeCell ref="R37:T37"/>
    <mergeCell ref="U37:X37"/>
    <mergeCell ref="Y37:AB37"/>
    <mergeCell ref="A35:B35"/>
    <mergeCell ref="C35:F35"/>
    <mergeCell ref="G35:K35"/>
    <mergeCell ref="L35:O35"/>
    <mergeCell ref="P35:Q35"/>
    <mergeCell ref="R35:T35"/>
    <mergeCell ref="U35:X35"/>
    <mergeCell ref="Y35:AB35"/>
    <mergeCell ref="A36:B36"/>
    <mergeCell ref="C36:F36"/>
    <mergeCell ref="G36:K36"/>
    <mergeCell ref="L36:O36"/>
    <mergeCell ref="P36:Q36"/>
    <mergeCell ref="R36:T36"/>
    <mergeCell ref="U36:X36"/>
    <mergeCell ref="Y36:AB36"/>
  </mergeCells>
  <phoneticPr fontId="2"/>
  <conditionalFormatting sqref="A42:AB44">
    <cfRule type="cellIs" dxfId="95" priority="1" operator="equal">
      <formula>0</formula>
    </cfRule>
  </conditionalFormatting>
  <conditionalFormatting sqref="C8:G37 L8:L37 P8:Q37 U8:X37">
    <cfRule type="cellIs" dxfId="94" priority="4" operator="equal">
      <formula>0</formula>
    </cfRule>
  </conditionalFormatting>
  <conditionalFormatting sqref="R8:T37">
    <cfRule type="cellIs" dxfId="93" priority="3" operator="equal">
      <formula>0</formula>
    </cfRule>
  </conditionalFormatting>
  <conditionalFormatting sqref="Y8:AB37">
    <cfRule type="cellIs" dxfId="92" priority="2" operator="equal">
      <formula>0</formula>
    </cfRule>
  </conditionalFormatting>
  <printOptions horizontalCentered="1" verticalCentered="1"/>
  <pageMargins left="0" right="0" top="0" bottom="0" header="0" footer="0"/>
  <pageSetup paperSize="9" scale="60" orientation="landscape" r:id="rId1"/>
  <colBreaks count="1" manualBreakCount="1">
    <brk id="57" max="40"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B5ABC-D61C-4CC8-8254-DFD6A39411FB}">
  <sheetPr>
    <tabColor rgb="FFFFC000"/>
  </sheetPr>
  <dimension ref="A1:CB46"/>
  <sheetViews>
    <sheetView view="pageBreakPreview" zoomScale="40" zoomScaleNormal="80" zoomScaleSheetLayoutView="40" workbookViewId="0">
      <selection activeCell="CB54" sqref="CB54"/>
    </sheetView>
  </sheetViews>
  <sheetFormatPr defaultColWidth="3.5" defaultRowHeight="21" customHeight="1" outlineLevelRow="1"/>
  <cols>
    <col min="1" max="2" width="3.5" style="2"/>
    <col min="3" max="13" width="3.5" style="3"/>
    <col min="14" max="16384" width="3.5" style="2"/>
  </cols>
  <sheetData>
    <row r="1" spans="1:80" ht="38.25">
      <c r="A1" s="877" t="s">
        <v>326</v>
      </c>
      <c r="B1" s="877"/>
      <c r="C1" s="877"/>
      <c r="D1" s="877"/>
      <c r="E1" s="877"/>
      <c r="F1" s="877"/>
      <c r="G1" s="877"/>
      <c r="H1" s="877"/>
      <c r="I1" s="877"/>
      <c r="J1" s="877"/>
      <c r="K1" s="877"/>
      <c r="L1" s="877"/>
      <c r="M1" s="877"/>
      <c r="N1" s="877"/>
      <c r="O1" s="877"/>
      <c r="P1" s="877"/>
      <c r="Q1" s="877"/>
      <c r="R1" s="877"/>
      <c r="S1" s="877"/>
      <c r="T1" s="877"/>
      <c r="U1" s="877"/>
      <c r="V1" s="877"/>
      <c r="W1" s="877"/>
      <c r="X1" s="877"/>
      <c r="Y1" s="877"/>
      <c r="Z1" s="877"/>
      <c r="AA1" s="877"/>
      <c r="AB1" s="877"/>
      <c r="AC1" s="877"/>
      <c r="AD1" s="877"/>
      <c r="AE1" s="877"/>
      <c r="AF1" s="877"/>
      <c r="AG1" s="877"/>
      <c r="AH1" s="877"/>
      <c r="AI1" s="877"/>
      <c r="AJ1" s="877"/>
      <c r="AK1" s="877"/>
      <c r="AL1" s="877"/>
      <c r="AM1" s="877"/>
      <c r="AN1" s="877"/>
      <c r="AO1" s="877"/>
      <c r="AP1" s="877"/>
      <c r="AQ1" s="877"/>
      <c r="AR1" s="877"/>
      <c r="AS1" s="877"/>
      <c r="AT1" s="877"/>
      <c r="AU1" s="877"/>
      <c r="AV1" s="877"/>
      <c r="AW1" s="877"/>
      <c r="AX1" s="877"/>
      <c r="AY1" s="877"/>
      <c r="AZ1" s="877"/>
      <c r="BA1" s="877"/>
      <c r="BB1" s="877"/>
      <c r="BC1" s="877"/>
      <c r="BD1" s="877"/>
      <c r="BE1" s="55"/>
    </row>
    <row r="2" spans="1:80" ht="21" customHeight="1" thickBot="1">
      <c r="A2" s="467"/>
      <c r="B2" s="467"/>
      <c r="C2" s="467"/>
      <c r="D2" s="467"/>
      <c r="E2" s="467"/>
      <c r="F2" s="467"/>
      <c r="G2" s="467"/>
      <c r="H2" s="467"/>
      <c r="I2" s="467"/>
      <c r="J2" s="467"/>
      <c r="K2" s="467"/>
      <c r="L2" s="467"/>
      <c r="M2" s="467"/>
      <c r="N2" s="467"/>
      <c r="O2" s="467"/>
      <c r="P2" s="467"/>
      <c r="Q2" s="467"/>
      <c r="R2" s="467"/>
      <c r="S2" s="467"/>
      <c r="T2" s="467"/>
      <c r="U2" s="467"/>
      <c r="V2" s="467"/>
      <c r="W2" s="467"/>
      <c r="X2" s="467"/>
      <c r="Y2" s="467"/>
      <c r="Z2" s="467"/>
      <c r="AA2" s="467"/>
      <c r="AB2" s="467"/>
      <c r="AC2" s="467"/>
      <c r="AD2" s="467"/>
      <c r="AE2" s="467"/>
      <c r="AF2" s="467"/>
      <c r="AG2" s="467"/>
      <c r="AH2" s="467"/>
      <c r="AI2" s="467"/>
      <c r="AJ2" s="467"/>
      <c r="AK2" s="467"/>
      <c r="AL2" s="467"/>
      <c r="AM2" s="467"/>
      <c r="AN2" s="467"/>
      <c r="AO2" s="467"/>
      <c r="AP2" s="467"/>
      <c r="AQ2" s="467"/>
      <c r="AR2" s="467"/>
      <c r="AS2" s="467"/>
      <c r="AT2" s="467"/>
      <c r="AU2" s="467"/>
      <c r="AV2" s="467"/>
      <c r="AW2" s="467"/>
      <c r="AX2" s="467"/>
      <c r="AY2" s="467"/>
      <c r="AZ2" s="467"/>
      <c r="BA2" s="467"/>
      <c r="BB2" s="467"/>
      <c r="BC2" s="467"/>
      <c r="BD2" s="467"/>
      <c r="BE2" s="55"/>
    </row>
    <row r="3" spans="1:80" s="4" customFormat="1" ht="23.1" customHeight="1" thickTop="1">
      <c r="A3" s="60"/>
      <c r="B3" s="60"/>
      <c r="C3" s="60"/>
      <c r="D3" s="60"/>
      <c r="E3" s="60"/>
      <c r="F3" s="60"/>
      <c r="G3" s="60"/>
      <c r="H3" s="60"/>
      <c r="I3" s="60"/>
      <c r="J3" s="60"/>
      <c r="K3" s="60"/>
      <c r="L3" s="60"/>
      <c r="M3" s="60"/>
      <c r="N3" s="60"/>
      <c r="O3" s="60"/>
      <c r="P3" s="60"/>
      <c r="Q3" s="60"/>
      <c r="R3" s="945" t="s">
        <v>327</v>
      </c>
      <c r="S3" s="946"/>
      <c r="T3" s="946"/>
      <c r="U3" s="946"/>
      <c r="V3" s="946"/>
      <c r="W3" s="946"/>
      <c r="X3" s="946"/>
      <c r="Y3" s="946"/>
      <c r="Z3" s="946"/>
      <c r="AA3" s="946"/>
      <c r="AB3" s="947"/>
      <c r="AC3" s="60"/>
      <c r="AD3" s="60"/>
      <c r="AE3" s="60"/>
      <c r="AF3" s="951" t="s">
        <v>328</v>
      </c>
      <c r="AG3" s="952"/>
      <c r="AH3" s="952"/>
      <c r="AI3" s="952"/>
      <c r="AJ3" s="952"/>
      <c r="AK3" s="952"/>
      <c r="AL3" s="952"/>
      <c r="AM3" s="952"/>
      <c r="AN3" s="952"/>
      <c r="AO3" s="952"/>
      <c r="AP3" s="952"/>
      <c r="AQ3" s="952"/>
      <c r="AR3" s="952"/>
      <c r="AS3" s="952"/>
      <c r="AT3" s="952"/>
      <c r="AU3" s="952"/>
      <c r="AV3" s="952"/>
      <c r="AW3" s="952"/>
      <c r="AX3" s="952"/>
      <c r="AY3" s="952"/>
      <c r="AZ3" s="952"/>
      <c r="BA3" s="953"/>
      <c r="BB3" s="60"/>
      <c r="BC3" s="60"/>
      <c r="BD3" s="60"/>
    </row>
    <row r="4" spans="1:80" s="13" customFormat="1" ht="21" customHeight="1" thickBot="1">
      <c r="B4" s="12"/>
      <c r="C4" s="12"/>
      <c r="D4" s="12"/>
      <c r="E4" s="12"/>
      <c r="F4" s="12"/>
      <c r="G4" s="12"/>
      <c r="H4" s="12"/>
      <c r="I4" s="12"/>
      <c r="J4" s="12"/>
      <c r="K4" s="12"/>
      <c r="L4" s="12"/>
      <c r="M4" s="12"/>
      <c r="N4" s="12"/>
      <c r="O4" s="12"/>
      <c r="P4" s="12"/>
      <c r="Q4" s="12"/>
      <c r="R4" s="948"/>
      <c r="S4" s="949"/>
      <c r="T4" s="949"/>
      <c r="U4" s="949"/>
      <c r="V4" s="949"/>
      <c r="W4" s="949"/>
      <c r="X4" s="949"/>
      <c r="Y4" s="949"/>
      <c r="Z4" s="949"/>
      <c r="AA4" s="949"/>
      <c r="AB4" s="950"/>
      <c r="AD4" s="66"/>
      <c r="AF4" s="954"/>
      <c r="AG4" s="955"/>
      <c r="AH4" s="955"/>
      <c r="AI4" s="955"/>
      <c r="AJ4" s="955"/>
      <c r="AK4" s="955"/>
      <c r="AL4" s="955"/>
      <c r="AM4" s="955"/>
      <c r="AN4" s="955"/>
      <c r="AO4" s="955"/>
      <c r="AP4" s="955"/>
      <c r="AQ4" s="955"/>
      <c r="AR4" s="955"/>
      <c r="AS4" s="955"/>
      <c r="AT4" s="955"/>
      <c r="AU4" s="955"/>
      <c r="AV4" s="955"/>
      <c r="AW4" s="955"/>
      <c r="AX4" s="955"/>
      <c r="AY4" s="955"/>
      <c r="AZ4" s="955"/>
      <c r="BA4" s="956"/>
    </row>
    <row r="5" spans="1:80" s="4" customFormat="1" ht="21" customHeight="1" thickTop="1" thickBot="1">
      <c r="A5" s="52"/>
      <c r="B5" s="53"/>
      <c r="C5" s="54"/>
      <c r="D5" s="54"/>
      <c r="E5" s="54"/>
      <c r="F5" s="54"/>
      <c r="G5" s="54"/>
      <c r="H5" s="54"/>
      <c r="I5" s="54"/>
      <c r="J5" s="54"/>
      <c r="K5" s="54"/>
      <c r="L5" s="54"/>
      <c r="M5" s="54"/>
      <c r="N5" s="53"/>
      <c r="O5" s="53"/>
      <c r="P5" s="53"/>
      <c r="Q5" s="53"/>
      <c r="R5" s="53"/>
      <c r="S5" s="53"/>
      <c r="T5" s="53"/>
      <c r="U5" s="53"/>
      <c r="V5" s="53"/>
      <c r="W5" s="53"/>
      <c r="X5" s="53"/>
      <c r="Y5" s="53"/>
      <c r="Z5" s="53"/>
      <c r="AA5" s="53"/>
      <c r="AB5" s="53"/>
      <c r="AD5" s="63"/>
    </row>
    <row r="6" spans="1:80" ht="21" customHeight="1" thickTop="1">
      <c r="A6" s="903" t="s">
        <v>304</v>
      </c>
      <c r="B6" s="907"/>
      <c r="C6" s="908" t="str">
        <f>LED計算式!M32</f>
        <v>試算エリア</v>
      </c>
      <c r="D6" s="909"/>
      <c r="E6" s="909"/>
      <c r="F6" s="910"/>
      <c r="G6" s="871" t="s">
        <v>305</v>
      </c>
      <c r="H6" s="871"/>
      <c r="I6" s="871"/>
      <c r="J6" s="871"/>
      <c r="K6" s="871"/>
      <c r="L6" s="873" t="s">
        <v>306</v>
      </c>
      <c r="M6" s="873"/>
      <c r="N6" s="873"/>
      <c r="O6" s="873"/>
      <c r="P6" s="902" t="s">
        <v>200</v>
      </c>
      <c r="Q6" s="902"/>
      <c r="R6" s="904" t="s">
        <v>117</v>
      </c>
      <c r="S6" s="904"/>
      <c r="T6" s="904"/>
      <c r="U6" s="905" t="s">
        <v>307</v>
      </c>
      <c r="V6" s="905"/>
      <c r="W6" s="905"/>
      <c r="X6" s="905"/>
      <c r="Y6" s="906" t="s">
        <v>308</v>
      </c>
      <c r="Z6" s="906"/>
      <c r="AA6" s="906"/>
      <c r="AB6" s="906"/>
      <c r="AD6" s="64"/>
      <c r="AF6" s="878" t="s">
        <v>309</v>
      </c>
      <c r="AG6" s="878"/>
      <c r="AH6" s="878"/>
      <c r="AI6" s="878"/>
      <c r="AJ6" s="878"/>
      <c r="AK6" s="878"/>
      <c r="AL6" s="878"/>
      <c r="AM6" s="878"/>
      <c r="AN6" s="878"/>
      <c r="AO6" s="878"/>
      <c r="AP6" s="878"/>
      <c r="AQ6" s="878"/>
      <c r="AR6" s="878"/>
      <c r="AS6" s="931">
        <f>Y39*120</f>
        <v>0</v>
      </c>
      <c r="AT6" s="932"/>
      <c r="AU6" s="932"/>
      <c r="AV6" s="932"/>
      <c r="AW6" s="932"/>
      <c r="AX6" s="932"/>
      <c r="AY6" s="932"/>
      <c r="AZ6" s="932"/>
      <c r="BA6" s="933"/>
    </row>
    <row r="7" spans="1:80" ht="21" customHeight="1" thickBot="1">
      <c r="A7" s="15"/>
      <c r="B7" s="15"/>
      <c r="C7" s="16"/>
      <c r="D7" s="16"/>
      <c r="E7" s="16"/>
      <c r="F7" s="16"/>
      <c r="G7" s="16"/>
      <c r="H7" s="16"/>
      <c r="I7" s="16"/>
      <c r="J7" s="16"/>
      <c r="K7" s="16"/>
      <c r="L7" s="16"/>
      <c r="M7" s="16"/>
      <c r="N7" s="17"/>
      <c r="O7" s="17"/>
      <c r="P7" s="17"/>
      <c r="Q7" s="17"/>
      <c r="R7" s="17"/>
      <c r="S7" s="17"/>
      <c r="T7" s="17"/>
      <c r="U7" s="17"/>
      <c r="V7" s="17"/>
      <c r="W7" s="17"/>
      <c r="X7" s="17"/>
      <c r="Y7" s="17"/>
      <c r="Z7" s="17"/>
      <c r="AA7" s="17"/>
      <c r="AB7" s="17"/>
      <c r="AD7" s="64"/>
      <c r="AF7" s="878"/>
      <c r="AG7" s="878"/>
      <c r="AH7" s="878"/>
      <c r="AI7" s="878"/>
      <c r="AJ7" s="878"/>
      <c r="AK7" s="878"/>
      <c r="AL7" s="878"/>
      <c r="AM7" s="878"/>
      <c r="AN7" s="878"/>
      <c r="AO7" s="878"/>
      <c r="AP7" s="878"/>
      <c r="AQ7" s="878"/>
      <c r="AR7" s="878"/>
      <c r="AS7" s="934"/>
      <c r="AT7" s="935"/>
      <c r="AU7" s="935"/>
      <c r="AV7" s="935"/>
      <c r="AW7" s="935"/>
      <c r="AX7" s="935"/>
      <c r="AY7" s="935"/>
      <c r="AZ7" s="935"/>
      <c r="BA7" s="936"/>
    </row>
    <row r="8" spans="1:80" s="4" customFormat="1" ht="21" customHeight="1" thickTop="1">
      <c r="A8" s="911">
        <v>1</v>
      </c>
      <c r="B8" s="911"/>
      <c r="C8" s="872">
        <f>IF($C$6=☆入力!$B$15,☆入力!$B16,☆入力!$C16)</f>
        <v>0</v>
      </c>
      <c r="D8" s="872"/>
      <c r="E8" s="872"/>
      <c r="F8" s="872"/>
      <c r="G8" s="872">
        <f>☆入力!D16</f>
        <v>0</v>
      </c>
      <c r="H8" s="872"/>
      <c r="I8" s="872"/>
      <c r="J8" s="872"/>
      <c r="K8" s="872"/>
      <c r="L8" s="876">
        <f>☆入力!H16</f>
        <v>0</v>
      </c>
      <c r="M8" s="876"/>
      <c r="N8" s="876"/>
      <c r="O8" s="876"/>
      <c r="P8" s="925">
        <f>☆入力!L16</f>
        <v>0</v>
      </c>
      <c r="Q8" s="925"/>
      <c r="R8" s="927">
        <f>☆入力!AA16</f>
        <v>0</v>
      </c>
      <c r="S8" s="927"/>
      <c r="T8" s="927"/>
      <c r="U8" s="928">
        <f>☆入力!AB16</f>
        <v>0</v>
      </c>
      <c r="V8" s="928"/>
      <c r="W8" s="928"/>
      <c r="X8" s="928"/>
      <c r="Y8" s="929">
        <f>☆入力!AC16</f>
        <v>0</v>
      </c>
      <c r="Z8" s="929"/>
      <c r="AA8" s="929"/>
      <c r="AB8" s="929"/>
      <c r="AD8" s="63"/>
      <c r="AF8" s="53"/>
      <c r="AG8" s="67" t="s">
        <v>310</v>
      </c>
      <c r="AH8" s="67"/>
      <c r="AI8" s="67"/>
      <c r="AJ8" s="67"/>
      <c r="AK8" s="67"/>
      <c r="AL8" s="67"/>
      <c r="AM8" s="67"/>
      <c r="AO8" s="874">
        <f>Y39</f>
        <v>0</v>
      </c>
      <c r="AP8" s="874"/>
      <c r="AQ8" s="874"/>
      <c r="AR8" s="874"/>
      <c r="AS8" s="67" t="s">
        <v>311</v>
      </c>
      <c r="AT8" s="67"/>
      <c r="AU8" s="67"/>
      <c r="AV8" s="67"/>
      <c r="AW8" s="67"/>
      <c r="AX8" s="67"/>
      <c r="AY8" s="67"/>
      <c r="AZ8" s="67"/>
      <c r="BA8" s="67"/>
    </row>
    <row r="9" spans="1:80" s="4" customFormat="1" ht="21" customHeight="1">
      <c r="A9" s="860">
        <v>2</v>
      </c>
      <c r="B9" s="860"/>
      <c r="C9" s="861">
        <f>IF($C$6=☆入力!$B$15,☆入力!$B17,☆入力!$C17)</f>
        <v>0</v>
      </c>
      <c r="D9" s="862"/>
      <c r="E9" s="862"/>
      <c r="F9" s="863"/>
      <c r="G9" s="864">
        <f>☆入力!D17</f>
        <v>0</v>
      </c>
      <c r="H9" s="864"/>
      <c r="I9" s="864"/>
      <c r="J9" s="864"/>
      <c r="K9" s="864"/>
      <c r="L9" s="865">
        <f>☆入力!H17</f>
        <v>0</v>
      </c>
      <c r="M9" s="865"/>
      <c r="N9" s="865"/>
      <c r="O9" s="865"/>
      <c r="P9" s="866">
        <f>☆入力!L17</f>
        <v>0</v>
      </c>
      <c r="Q9" s="866"/>
      <c r="R9" s="868">
        <f>☆入力!AA17</f>
        <v>0</v>
      </c>
      <c r="S9" s="868"/>
      <c r="T9" s="868"/>
      <c r="U9" s="869">
        <f>☆入力!AB17</f>
        <v>0</v>
      </c>
      <c r="V9" s="869"/>
      <c r="W9" s="869"/>
      <c r="X9" s="869"/>
      <c r="Y9" s="870">
        <f>☆入力!AC17</f>
        <v>0</v>
      </c>
      <c r="Z9" s="870"/>
      <c r="AA9" s="870"/>
      <c r="AB9" s="870"/>
      <c r="AD9" s="63"/>
      <c r="AS9" s="937" t="s">
        <v>312</v>
      </c>
      <c r="AT9" s="937"/>
      <c r="AU9" s="937"/>
      <c r="AV9" s="937"/>
      <c r="AW9" s="937"/>
      <c r="AX9" s="937"/>
      <c r="AY9" s="937"/>
      <c r="AZ9" s="937"/>
      <c r="BA9" s="937"/>
    </row>
    <row r="10" spans="1:80" s="4" customFormat="1" ht="21" customHeight="1">
      <c r="A10" s="860">
        <v>3</v>
      </c>
      <c r="B10" s="860"/>
      <c r="C10" s="861">
        <f>IF($C$6=☆入力!$B$15,☆入力!$B18,☆入力!$C18)</f>
        <v>0</v>
      </c>
      <c r="D10" s="862"/>
      <c r="E10" s="862"/>
      <c r="F10" s="863"/>
      <c r="G10" s="864">
        <f>☆入力!D18</f>
        <v>0</v>
      </c>
      <c r="H10" s="864"/>
      <c r="I10" s="864"/>
      <c r="J10" s="864"/>
      <c r="K10" s="864"/>
      <c r="L10" s="865">
        <f>☆入力!H18</f>
        <v>0</v>
      </c>
      <c r="M10" s="865"/>
      <c r="N10" s="865"/>
      <c r="O10" s="865"/>
      <c r="P10" s="866">
        <f>☆入力!L18</f>
        <v>0</v>
      </c>
      <c r="Q10" s="866"/>
      <c r="R10" s="868">
        <f>☆入力!AA18</f>
        <v>0</v>
      </c>
      <c r="S10" s="868"/>
      <c r="T10" s="868"/>
      <c r="U10" s="869">
        <f>☆入力!AB18</f>
        <v>0</v>
      </c>
      <c r="V10" s="869"/>
      <c r="W10" s="869"/>
      <c r="X10" s="869"/>
      <c r="Y10" s="870">
        <f>☆入力!AC18</f>
        <v>0</v>
      </c>
      <c r="Z10" s="870"/>
      <c r="AA10" s="870"/>
      <c r="AB10" s="870"/>
      <c r="AD10" s="63"/>
      <c r="AS10" s="937"/>
      <c r="AT10" s="937"/>
      <c r="AU10" s="937"/>
      <c r="AV10" s="937"/>
      <c r="AW10" s="937"/>
      <c r="AX10" s="937"/>
      <c r="AY10" s="937"/>
      <c r="AZ10" s="937"/>
      <c r="BA10" s="937"/>
      <c r="BF10" s="930" t="s">
        <v>329</v>
      </c>
      <c r="BG10" s="930"/>
      <c r="BH10" s="930"/>
      <c r="BI10" s="930"/>
      <c r="BJ10" s="930"/>
      <c r="BK10" s="930"/>
      <c r="BL10" s="930"/>
      <c r="BM10" s="930"/>
      <c r="BN10" s="930"/>
      <c r="BO10" s="930"/>
      <c r="BP10" s="930"/>
      <c r="BQ10" s="930"/>
      <c r="BR10" s="930"/>
      <c r="BS10" s="930"/>
      <c r="BT10" s="930"/>
      <c r="BU10" s="930"/>
      <c r="BV10" s="930"/>
      <c r="BW10" s="930"/>
      <c r="BX10" s="930"/>
      <c r="BY10" s="930"/>
      <c r="BZ10" s="930"/>
      <c r="CA10" s="930"/>
      <c r="CB10" s="930"/>
    </row>
    <row r="11" spans="1:80" s="4" customFormat="1" ht="21" customHeight="1">
      <c r="A11" s="860">
        <v>4</v>
      </c>
      <c r="B11" s="860"/>
      <c r="C11" s="861">
        <f>IF($C$6=☆入力!$B$15,☆入力!$B19,☆入力!$C19)</f>
        <v>0</v>
      </c>
      <c r="D11" s="862"/>
      <c r="E11" s="862"/>
      <c r="F11" s="863"/>
      <c r="G11" s="864">
        <f>☆入力!D19</f>
        <v>0</v>
      </c>
      <c r="H11" s="864"/>
      <c r="I11" s="864"/>
      <c r="J11" s="864"/>
      <c r="K11" s="864"/>
      <c r="L11" s="865">
        <f>☆入力!H19</f>
        <v>0</v>
      </c>
      <c r="M11" s="865"/>
      <c r="N11" s="865"/>
      <c r="O11" s="865"/>
      <c r="P11" s="866">
        <f>☆入力!L19</f>
        <v>0</v>
      </c>
      <c r="Q11" s="866"/>
      <c r="R11" s="868">
        <f>☆入力!AA19</f>
        <v>0</v>
      </c>
      <c r="S11" s="868"/>
      <c r="T11" s="868"/>
      <c r="U11" s="869">
        <f>☆入力!AB19</f>
        <v>0</v>
      </c>
      <c r="V11" s="869"/>
      <c r="W11" s="869"/>
      <c r="X11" s="869"/>
      <c r="Y11" s="870">
        <f>☆入力!AC19</f>
        <v>0</v>
      </c>
      <c r="Z11" s="870"/>
      <c r="AA11" s="870"/>
      <c r="AB11" s="870"/>
      <c r="AD11" s="63"/>
      <c r="AF11" s="878" t="s">
        <v>330</v>
      </c>
      <c r="AG11" s="878"/>
      <c r="AH11" s="878"/>
      <c r="AI11" s="878"/>
      <c r="AJ11" s="878"/>
      <c r="AK11" s="878"/>
      <c r="AL11" s="878"/>
      <c r="AM11" s="878"/>
      <c r="AN11" s="878"/>
      <c r="AO11" s="878"/>
      <c r="AP11" s="878"/>
      <c r="AQ11" s="878"/>
      <c r="AR11" s="878"/>
      <c r="AS11" s="878"/>
      <c r="AT11" s="878"/>
      <c r="AU11" s="878"/>
      <c r="AV11" s="878"/>
      <c r="AW11" s="878"/>
      <c r="AX11" s="878"/>
      <c r="AY11" s="878"/>
      <c r="AZ11" s="878"/>
      <c r="BA11" s="878"/>
      <c r="BF11" s="930"/>
      <c r="BG11" s="930"/>
      <c r="BH11" s="930"/>
      <c r="BI11" s="930"/>
      <c r="BJ11" s="930"/>
      <c r="BK11" s="930"/>
      <c r="BL11" s="930"/>
      <c r="BM11" s="930"/>
      <c r="BN11" s="930"/>
      <c r="BO11" s="930"/>
      <c r="BP11" s="930"/>
      <c r="BQ11" s="930"/>
      <c r="BR11" s="930"/>
      <c r="BS11" s="930"/>
      <c r="BT11" s="930"/>
      <c r="BU11" s="930"/>
      <c r="BV11" s="930"/>
      <c r="BW11" s="930"/>
      <c r="BX11" s="930"/>
      <c r="BY11" s="930"/>
      <c r="BZ11" s="930"/>
      <c r="CA11" s="930"/>
      <c r="CB11" s="930"/>
    </row>
    <row r="12" spans="1:80" s="4" customFormat="1" ht="21" customHeight="1" thickBot="1">
      <c r="A12" s="860">
        <v>5</v>
      </c>
      <c r="B12" s="860"/>
      <c r="C12" s="861">
        <f>IF($C$6=☆入力!$B$15,☆入力!$B20,☆入力!$C20)</f>
        <v>0</v>
      </c>
      <c r="D12" s="862"/>
      <c r="E12" s="862"/>
      <c r="F12" s="863"/>
      <c r="G12" s="864">
        <f>☆入力!D20</f>
        <v>0</v>
      </c>
      <c r="H12" s="864"/>
      <c r="I12" s="864"/>
      <c r="J12" s="864"/>
      <c r="K12" s="864"/>
      <c r="L12" s="865">
        <f>☆入力!H20</f>
        <v>0</v>
      </c>
      <c r="M12" s="865"/>
      <c r="N12" s="865"/>
      <c r="O12" s="865"/>
      <c r="P12" s="866">
        <f>☆入力!L20</f>
        <v>0</v>
      </c>
      <c r="Q12" s="866"/>
      <c r="R12" s="868">
        <f>☆入力!AA20</f>
        <v>0</v>
      </c>
      <c r="S12" s="868"/>
      <c r="T12" s="868"/>
      <c r="U12" s="869">
        <f>☆入力!AB20</f>
        <v>0</v>
      </c>
      <c r="V12" s="869"/>
      <c r="W12" s="869"/>
      <c r="X12" s="869"/>
      <c r="Y12" s="870">
        <f>☆入力!AC20</f>
        <v>0</v>
      </c>
      <c r="Z12" s="870"/>
      <c r="AA12" s="870"/>
      <c r="AB12" s="870"/>
      <c r="AD12" s="63"/>
      <c r="AF12" s="878"/>
      <c r="AG12" s="878"/>
      <c r="AH12" s="878"/>
      <c r="AI12" s="878"/>
      <c r="AJ12" s="878"/>
      <c r="AK12" s="878"/>
      <c r="AL12" s="878"/>
      <c r="AM12" s="878"/>
      <c r="AN12" s="878"/>
      <c r="AO12" s="878"/>
      <c r="AP12" s="878"/>
      <c r="AQ12" s="878"/>
      <c r="AR12" s="878"/>
      <c r="AS12" s="878"/>
      <c r="AT12" s="878"/>
      <c r="AU12" s="878"/>
      <c r="AV12" s="878"/>
      <c r="AW12" s="878"/>
      <c r="AX12" s="878"/>
      <c r="AY12" s="878"/>
      <c r="AZ12" s="878"/>
      <c r="BA12" s="878"/>
    </row>
    <row r="13" spans="1:80" s="4" customFormat="1" ht="21" customHeight="1" thickTop="1">
      <c r="A13" s="860">
        <v>6</v>
      </c>
      <c r="B13" s="860"/>
      <c r="C13" s="861">
        <f>IF($C$6=☆入力!$B$15,☆入力!$B21,☆入力!$C21)</f>
        <v>0</v>
      </c>
      <c r="D13" s="862"/>
      <c r="E13" s="862"/>
      <c r="F13" s="863"/>
      <c r="G13" s="864">
        <f>☆入力!D21</f>
        <v>0</v>
      </c>
      <c r="H13" s="864"/>
      <c r="I13" s="864"/>
      <c r="J13" s="864"/>
      <c r="K13" s="864"/>
      <c r="L13" s="865">
        <f>☆入力!H21</f>
        <v>0</v>
      </c>
      <c r="M13" s="865"/>
      <c r="N13" s="865"/>
      <c r="O13" s="865"/>
      <c r="P13" s="866">
        <f>☆入力!L21</f>
        <v>0</v>
      </c>
      <c r="Q13" s="866"/>
      <c r="R13" s="868">
        <f>☆入力!AA21</f>
        <v>0</v>
      </c>
      <c r="S13" s="868"/>
      <c r="T13" s="868"/>
      <c r="U13" s="869">
        <f>☆入力!AB21</f>
        <v>0</v>
      </c>
      <c r="V13" s="869"/>
      <c r="W13" s="869"/>
      <c r="X13" s="869"/>
      <c r="Y13" s="870">
        <f>☆入力!AC21</f>
        <v>0</v>
      </c>
      <c r="Z13" s="870"/>
      <c r="AA13" s="870"/>
      <c r="AB13" s="870"/>
      <c r="AD13" s="63"/>
      <c r="AS13" s="931">
        <f>AN16*3000*1</f>
        <v>0</v>
      </c>
      <c r="AT13" s="932"/>
      <c r="AU13" s="932"/>
      <c r="AV13" s="932"/>
      <c r="AW13" s="932"/>
      <c r="AX13" s="932"/>
      <c r="AY13" s="932"/>
      <c r="AZ13" s="932"/>
      <c r="BA13" s="933"/>
    </row>
    <row r="14" spans="1:80" s="4" customFormat="1" ht="21" customHeight="1" thickBot="1">
      <c r="A14" s="860">
        <v>7</v>
      </c>
      <c r="B14" s="860"/>
      <c r="C14" s="861">
        <f>IF($C$6=☆入力!$B$15,☆入力!$B22,☆入力!$C22)</f>
        <v>0</v>
      </c>
      <c r="D14" s="862"/>
      <c r="E14" s="862"/>
      <c r="F14" s="863"/>
      <c r="G14" s="864">
        <f>☆入力!D22</f>
        <v>0</v>
      </c>
      <c r="H14" s="864"/>
      <c r="I14" s="864"/>
      <c r="J14" s="864"/>
      <c r="K14" s="864"/>
      <c r="L14" s="865">
        <f>☆入力!H22</f>
        <v>0</v>
      </c>
      <c r="M14" s="865"/>
      <c r="N14" s="865"/>
      <c r="O14" s="865"/>
      <c r="P14" s="866">
        <f>☆入力!L22</f>
        <v>0</v>
      </c>
      <c r="Q14" s="866"/>
      <c r="R14" s="868">
        <f>☆入力!AA22</f>
        <v>0</v>
      </c>
      <c r="S14" s="868"/>
      <c r="T14" s="868"/>
      <c r="U14" s="869">
        <f>☆入力!AB22</f>
        <v>0</v>
      </c>
      <c r="V14" s="869"/>
      <c r="W14" s="869"/>
      <c r="X14" s="869"/>
      <c r="Y14" s="870">
        <f>☆入力!AC22</f>
        <v>0</v>
      </c>
      <c r="Z14" s="870"/>
      <c r="AA14" s="870"/>
      <c r="AB14" s="870"/>
      <c r="AD14" s="63"/>
      <c r="AS14" s="934"/>
      <c r="AT14" s="935"/>
      <c r="AU14" s="935"/>
      <c r="AV14" s="935"/>
      <c r="AW14" s="935"/>
      <c r="AX14" s="935"/>
      <c r="AY14" s="935"/>
      <c r="AZ14" s="935"/>
      <c r="BA14" s="936"/>
    </row>
    <row r="15" spans="1:80" s="4" customFormat="1" ht="21" customHeight="1" thickTop="1">
      <c r="A15" s="860">
        <v>8</v>
      </c>
      <c r="B15" s="860"/>
      <c r="C15" s="861">
        <f>IF($C$6=☆入力!$B$15,☆入力!$B23,☆入力!$C23)</f>
        <v>0</v>
      </c>
      <c r="D15" s="862"/>
      <c r="E15" s="862"/>
      <c r="F15" s="863"/>
      <c r="G15" s="864">
        <f>☆入力!D23</f>
        <v>0</v>
      </c>
      <c r="H15" s="864"/>
      <c r="I15" s="864"/>
      <c r="J15" s="864"/>
      <c r="K15" s="864"/>
      <c r="L15" s="865">
        <f>☆入力!H23</f>
        <v>0</v>
      </c>
      <c r="M15" s="865"/>
      <c r="N15" s="865"/>
      <c r="O15" s="865"/>
      <c r="P15" s="866">
        <f>☆入力!L23</f>
        <v>0</v>
      </c>
      <c r="Q15" s="866"/>
      <c r="R15" s="868">
        <f>☆入力!AA23</f>
        <v>0</v>
      </c>
      <c r="S15" s="868"/>
      <c r="T15" s="868"/>
      <c r="U15" s="869">
        <f>☆入力!AB23</f>
        <v>0</v>
      </c>
      <c r="V15" s="869"/>
      <c r="W15" s="869"/>
      <c r="X15" s="869"/>
      <c r="Y15" s="870">
        <f>☆入力!AC23</f>
        <v>0</v>
      </c>
      <c r="Z15" s="870"/>
      <c r="AA15" s="870"/>
      <c r="AB15" s="870"/>
      <c r="AD15" s="63"/>
      <c r="AG15" s="259" t="s">
        <v>314</v>
      </c>
      <c r="AH15" s="259"/>
      <c r="AI15" s="259"/>
      <c r="AJ15" s="259"/>
      <c r="AK15" s="259"/>
      <c r="AL15" s="259"/>
      <c r="AM15" s="260"/>
      <c r="AN15" s="938">
        <f>LED計算式!N16</f>
        <v>0</v>
      </c>
      <c r="AO15" s="938"/>
      <c r="AP15" s="938"/>
      <c r="AQ15" s="259" t="str">
        <f>"× "&amp;TEXT(☆入力!AR9,"#,#00")&amp;"円（※1）× 0回（※2）"</f>
        <v>× 00円（※1）× 0回（※2）</v>
      </c>
      <c r="AR15" s="260"/>
      <c r="AS15" s="259"/>
      <c r="AT15" s="259"/>
      <c r="AU15" s="259"/>
      <c r="AV15" s="259"/>
      <c r="AW15" s="259"/>
      <c r="AX15" s="259"/>
      <c r="AY15" s="259"/>
      <c r="AZ15" s="259"/>
      <c r="BA15" s="67"/>
    </row>
    <row r="16" spans="1:80" s="4" customFormat="1" ht="21" customHeight="1">
      <c r="A16" s="860">
        <v>9</v>
      </c>
      <c r="B16" s="860"/>
      <c r="C16" s="861">
        <f>IF($C$6=☆入力!$B$15,☆入力!$B24,☆入力!$C24)</f>
        <v>0</v>
      </c>
      <c r="D16" s="862"/>
      <c r="E16" s="862"/>
      <c r="F16" s="863"/>
      <c r="G16" s="864">
        <f>☆入力!D24</f>
        <v>0</v>
      </c>
      <c r="H16" s="864"/>
      <c r="I16" s="864"/>
      <c r="J16" s="864"/>
      <c r="K16" s="864"/>
      <c r="L16" s="865">
        <f>☆入力!H24</f>
        <v>0</v>
      </c>
      <c r="M16" s="865"/>
      <c r="N16" s="865"/>
      <c r="O16" s="865"/>
      <c r="P16" s="866">
        <f>☆入力!L24</f>
        <v>0</v>
      </c>
      <c r="Q16" s="866"/>
      <c r="R16" s="868">
        <f>☆入力!AA24</f>
        <v>0</v>
      </c>
      <c r="S16" s="868"/>
      <c r="T16" s="868"/>
      <c r="U16" s="869">
        <f>☆入力!AB24</f>
        <v>0</v>
      </c>
      <c r="V16" s="869"/>
      <c r="W16" s="869"/>
      <c r="X16" s="869"/>
      <c r="Y16" s="870">
        <f>☆入力!AC24</f>
        <v>0</v>
      </c>
      <c r="Z16" s="870"/>
      <c r="AA16" s="870"/>
      <c r="AB16" s="870"/>
      <c r="AD16" s="63"/>
      <c r="AG16" s="67" t="s">
        <v>315</v>
      </c>
      <c r="AN16" s="875">
        <f>LED計算式!N17</f>
        <v>0</v>
      </c>
      <c r="AO16" s="875"/>
      <c r="AP16" s="875"/>
      <c r="AQ16" s="67" t="s">
        <v>331</v>
      </c>
      <c r="AS16" s="67"/>
      <c r="AT16" s="67"/>
      <c r="AU16" s="67"/>
      <c r="AV16" s="67"/>
      <c r="AW16" s="67"/>
      <c r="AX16" s="67"/>
      <c r="AY16" s="67"/>
    </row>
    <row r="17" spans="1:53" s="4" customFormat="1" ht="21" customHeight="1">
      <c r="A17" s="860">
        <v>10</v>
      </c>
      <c r="B17" s="860"/>
      <c r="C17" s="861">
        <f>IF($C$6=☆入力!$B$15,☆入力!$B25,☆入力!$C25)</f>
        <v>0</v>
      </c>
      <c r="D17" s="862"/>
      <c r="E17" s="862"/>
      <c r="F17" s="863"/>
      <c r="G17" s="864">
        <f>☆入力!D25</f>
        <v>0</v>
      </c>
      <c r="H17" s="864"/>
      <c r="I17" s="864"/>
      <c r="J17" s="864"/>
      <c r="K17" s="864"/>
      <c r="L17" s="865">
        <f>☆入力!H25</f>
        <v>0</v>
      </c>
      <c r="M17" s="865"/>
      <c r="N17" s="865"/>
      <c r="O17" s="865"/>
      <c r="P17" s="866">
        <f>☆入力!L25</f>
        <v>0</v>
      </c>
      <c r="Q17" s="866"/>
      <c r="R17" s="868">
        <f>☆入力!AA25</f>
        <v>0</v>
      </c>
      <c r="S17" s="868"/>
      <c r="T17" s="868"/>
      <c r="U17" s="869">
        <f>☆入力!AB25</f>
        <v>0</v>
      </c>
      <c r="V17" s="869"/>
      <c r="W17" s="869"/>
      <c r="X17" s="869"/>
      <c r="Y17" s="870">
        <f>☆入力!AC25</f>
        <v>0</v>
      </c>
      <c r="Z17" s="870"/>
      <c r="AA17" s="870"/>
      <c r="AB17" s="870"/>
      <c r="AD17" s="63"/>
      <c r="AG17" s="2" t="s">
        <v>332</v>
      </c>
    </row>
    <row r="18" spans="1:53" s="4" customFormat="1" ht="21" customHeight="1">
      <c r="A18" s="860">
        <v>11</v>
      </c>
      <c r="B18" s="860"/>
      <c r="C18" s="861">
        <f>IF($C$6=☆入力!$B$15,☆入力!$B26,☆入力!$C26)</f>
        <v>0</v>
      </c>
      <c r="D18" s="862"/>
      <c r="E18" s="862"/>
      <c r="F18" s="863"/>
      <c r="G18" s="864">
        <f>☆入力!D26</f>
        <v>0</v>
      </c>
      <c r="H18" s="864"/>
      <c r="I18" s="864"/>
      <c r="J18" s="864"/>
      <c r="K18" s="864"/>
      <c r="L18" s="865">
        <f>☆入力!H26</f>
        <v>0</v>
      </c>
      <c r="M18" s="865"/>
      <c r="N18" s="865"/>
      <c r="O18" s="865"/>
      <c r="P18" s="866">
        <f>☆入力!L26</f>
        <v>0</v>
      </c>
      <c r="Q18" s="866"/>
      <c r="R18" s="868">
        <f>☆入力!AA26</f>
        <v>0</v>
      </c>
      <c r="S18" s="868"/>
      <c r="T18" s="868"/>
      <c r="U18" s="869">
        <f>☆入力!AB26</f>
        <v>0</v>
      </c>
      <c r="V18" s="869"/>
      <c r="W18" s="869"/>
      <c r="X18" s="869"/>
      <c r="Y18" s="870">
        <f>☆入力!AC26</f>
        <v>0</v>
      </c>
      <c r="Z18" s="870"/>
      <c r="AA18" s="870"/>
      <c r="AB18" s="870"/>
      <c r="AD18" s="63"/>
      <c r="AG18" s="2" t="s">
        <v>333</v>
      </c>
    </row>
    <row r="19" spans="1:53" s="4" customFormat="1" ht="21" customHeight="1">
      <c r="A19" s="860">
        <v>12</v>
      </c>
      <c r="B19" s="860"/>
      <c r="C19" s="861">
        <f>IF($C$6=☆入力!$B$15,☆入力!$B27,☆入力!$C27)</f>
        <v>0</v>
      </c>
      <c r="D19" s="862"/>
      <c r="E19" s="862"/>
      <c r="F19" s="863"/>
      <c r="G19" s="864">
        <f>☆入力!D27</f>
        <v>0</v>
      </c>
      <c r="H19" s="864"/>
      <c r="I19" s="864"/>
      <c r="J19" s="864"/>
      <c r="K19" s="864"/>
      <c r="L19" s="865">
        <f>☆入力!H27</f>
        <v>0</v>
      </c>
      <c r="M19" s="865"/>
      <c r="N19" s="865"/>
      <c r="O19" s="865"/>
      <c r="P19" s="866">
        <f>☆入力!L27</f>
        <v>0</v>
      </c>
      <c r="Q19" s="866"/>
      <c r="R19" s="868">
        <f>☆入力!AA27</f>
        <v>0</v>
      </c>
      <c r="S19" s="868"/>
      <c r="T19" s="868"/>
      <c r="U19" s="869">
        <f>☆入力!AB27</f>
        <v>0</v>
      </c>
      <c r="V19" s="869"/>
      <c r="W19" s="869"/>
      <c r="X19" s="869"/>
      <c r="Y19" s="870">
        <f>☆入力!AC27</f>
        <v>0</v>
      </c>
      <c r="Z19" s="870"/>
      <c r="AA19" s="870"/>
      <c r="AB19" s="870"/>
      <c r="AD19" s="63"/>
      <c r="AG19" s="2"/>
      <c r="AT19" s="217"/>
      <c r="AU19" s="217"/>
      <c r="AV19" s="217"/>
      <c r="AW19" s="217"/>
      <c r="AX19" s="217"/>
      <c r="AY19" s="217"/>
      <c r="AZ19" s="217"/>
      <c r="BA19" s="217"/>
    </row>
    <row r="20" spans="1:53" s="4" customFormat="1" ht="21" customHeight="1">
      <c r="A20" s="860">
        <v>13</v>
      </c>
      <c r="B20" s="860"/>
      <c r="C20" s="861">
        <f>IF($C$6=☆入力!$B$15,☆入力!$B28,☆入力!$C28)</f>
        <v>0</v>
      </c>
      <c r="D20" s="862"/>
      <c r="E20" s="862"/>
      <c r="F20" s="863"/>
      <c r="G20" s="864">
        <f>☆入力!D28</f>
        <v>0</v>
      </c>
      <c r="H20" s="864"/>
      <c r="I20" s="864"/>
      <c r="J20" s="864"/>
      <c r="K20" s="864"/>
      <c r="L20" s="865">
        <f>☆入力!H28</f>
        <v>0</v>
      </c>
      <c r="M20" s="865"/>
      <c r="N20" s="865"/>
      <c r="O20" s="865"/>
      <c r="P20" s="866">
        <f>☆入力!L28</f>
        <v>0</v>
      </c>
      <c r="Q20" s="866"/>
      <c r="R20" s="868">
        <f>☆入力!AA28</f>
        <v>0</v>
      </c>
      <c r="S20" s="868"/>
      <c r="T20" s="868"/>
      <c r="U20" s="869">
        <f>☆入力!AB28</f>
        <v>0</v>
      </c>
      <c r="V20" s="869"/>
      <c r="W20" s="869"/>
      <c r="X20" s="869"/>
      <c r="Y20" s="870">
        <f>☆入力!AC28</f>
        <v>0</v>
      </c>
      <c r="Z20" s="870"/>
      <c r="AA20" s="870"/>
      <c r="AB20" s="870"/>
      <c r="AD20" s="63"/>
      <c r="AS20" s="957" t="s">
        <v>312</v>
      </c>
      <c r="AT20" s="957"/>
      <c r="AU20" s="957"/>
      <c r="AV20" s="957"/>
      <c r="AW20" s="957"/>
      <c r="AX20" s="957"/>
      <c r="AY20" s="957"/>
      <c r="AZ20" s="957"/>
      <c r="BA20" s="957"/>
    </row>
    <row r="21" spans="1:53" s="4" customFormat="1" ht="21" customHeight="1">
      <c r="A21" s="860">
        <v>14</v>
      </c>
      <c r="B21" s="860"/>
      <c r="C21" s="861">
        <f>IF($C$6=☆入力!$B$15,☆入力!$B29,☆入力!$C29)</f>
        <v>0</v>
      </c>
      <c r="D21" s="862"/>
      <c r="E21" s="862"/>
      <c r="F21" s="863"/>
      <c r="G21" s="864">
        <f>☆入力!D29</f>
        <v>0</v>
      </c>
      <c r="H21" s="864"/>
      <c r="I21" s="864"/>
      <c r="J21" s="864"/>
      <c r="K21" s="864"/>
      <c r="L21" s="865">
        <f>☆入力!H29</f>
        <v>0</v>
      </c>
      <c r="M21" s="865"/>
      <c r="N21" s="865"/>
      <c r="O21" s="865"/>
      <c r="P21" s="866">
        <f>☆入力!L29</f>
        <v>0</v>
      </c>
      <c r="Q21" s="866"/>
      <c r="R21" s="868">
        <f>☆入力!AA29</f>
        <v>0</v>
      </c>
      <c r="S21" s="868"/>
      <c r="T21" s="868"/>
      <c r="U21" s="869">
        <f>☆入力!AB29</f>
        <v>0</v>
      </c>
      <c r="V21" s="869"/>
      <c r="W21" s="869"/>
      <c r="X21" s="869"/>
      <c r="Y21" s="870">
        <f>☆入力!AC29</f>
        <v>0</v>
      </c>
      <c r="Z21" s="870"/>
      <c r="AA21" s="870"/>
      <c r="AB21" s="870"/>
      <c r="AD21" s="63"/>
      <c r="AG21" s="80"/>
      <c r="AH21" s="80"/>
      <c r="AI21" s="80"/>
      <c r="AJ21" s="80"/>
      <c r="AK21" s="80"/>
      <c r="AL21" s="80"/>
      <c r="AM21" s="80"/>
      <c r="AN21" s="80"/>
      <c r="AO21" s="80"/>
      <c r="AP21" s="80"/>
      <c r="AQ21" s="80"/>
      <c r="AR21" s="80"/>
      <c r="AS21" s="957"/>
      <c r="AT21" s="957"/>
      <c r="AU21" s="957"/>
      <c r="AV21" s="957"/>
      <c r="AW21" s="957"/>
      <c r="AX21" s="957"/>
      <c r="AY21" s="957"/>
      <c r="AZ21" s="957"/>
      <c r="BA21" s="957"/>
    </row>
    <row r="22" spans="1:53" s="4" customFormat="1" ht="21" customHeight="1">
      <c r="A22" s="860">
        <v>15</v>
      </c>
      <c r="B22" s="860"/>
      <c r="C22" s="861">
        <f>IF($C$6=☆入力!$B$15,☆入力!$B30,☆入力!$C30)</f>
        <v>0</v>
      </c>
      <c r="D22" s="862"/>
      <c r="E22" s="862"/>
      <c r="F22" s="863"/>
      <c r="G22" s="864">
        <f>☆入力!D30</f>
        <v>0</v>
      </c>
      <c r="H22" s="864"/>
      <c r="I22" s="864"/>
      <c r="J22" s="864"/>
      <c r="K22" s="864"/>
      <c r="L22" s="865">
        <f>☆入力!H30</f>
        <v>0</v>
      </c>
      <c r="M22" s="865"/>
      <c r="N22" s="865"/>
      <c r="O22" s="865"/>
      <c r="P22" s="866">
        <f>☆入力!L30</f>
        <v>0</v>
      </c>
      <c r="Q22" s="866"/>
      <c r="R22" s="868">
        <f>☆入力!AA30</f>
        <v>0</v>
      </c>
      <c r="S22" s="868"/>
      <c r="T22" s="868"/>
      <c r="U22" s="869">
        <f>☆入力!AB30</f>
        <v>0</v>
      </c>
      <c r="V22" s="869"/>
      <c r="W22" s="869"/>
      <c r="X22" s="869"/>
      <c r="Y22" s="870">
        <f>☆入力!AC30</f>
        <v>0</v>
      </c>
      <c r="Z22" s="870"/>
      <c r="AA22" s="870"/>
      <c r="AB22" s="870"/>
      <c r="AD22" s="63"/>
      <c r="AF22" s="878" t="s">
        <v>318</v>
      </c>
      <c r="AG22" s="878"/>
      <c r="AH22" s="878"/>
      <c r="AI22" s="878"/>
      <c r="AJ22" s="878"/>
      <c r="AK22" s="878"/>
      <c r="AL22" s="878"/>
      <c r="AM22" s="878"/>
      <c r="AN22" s="878"/>
      <c r="AO22" s="878"/>
      <c r="AP22" s="878"/>
      <c r="AQ22" s="878"/>
      <c r="AR22" s="878"/>
      <c r="AS22" s="878"/>
      <c r="AT22" s="878"/>
      <c r="AU22" s="878"/>
      <c r="AV22" s="878"/>
      <c r="AW22" s="878"/>
      <c r="AX22" s="878"/>
      <c r="AY22" s="878"/>
      <c r="AZ22" s="878"/>
      <c r="BA22" s="878"/>
    </row>
    <row r="23" spans="1:53" s="4" customFormat="1" ht="21" customHeight="1" thickBot="1">
      <c r="A23" s="860">
        <v>16</v>
      </c>
      <c r="B23" s="860"/>
      <c r="C23" s="861">
        <f>IF($C$6=☆入力!$B$15,☆入力!$B31,☆入力!$C31)</f>
        <v>0</v>
      </c>
      <c r="D23" s="862"/>
      <c r="E23" s="862"/>
      <c r="F23" s="863"/>
      <c r="G23" s="864">
        <f>☆入力!D31</f>
        <v>0</v>
      </c>
      <c r="H23" s="864"/>
      <c r="I23" s="864"/>
      <c r="J23" s="864"/>
      <c r="K23" s="864"/>
      <c r="L23" s="865">
        <f>☆入力!H31</f>
        <v>0</v>
      </c>
      <c r="M23" s="865"/>
      <c r="N23" s="865"/>
      <c r="O23" s="865"/>
      <c r="P23" s="866">
        <f>☆入力!L31</f>
        <v>0</v>
      </c>
      <c r="Q23" s="866"/>
      <c r="R23" s="868">
        <f>☆入力!AA31</f>
        <v>0</v>
      </c>
      <c r="S23" s="868"/>
      <c r="T23" s="868"/>
      <c r="U23" s="869">
        <f>☆入力!AB31</f>
        <v>0</v>
      </c>
      <c r="V23" s="869"/>
      <c r="W23" s="869"/>
      <c r="X23" s="869"/>
      <c r="Y23" s="870">
        <f>☆入力!AC31</f>
        <v>0</v>
      </c>
      <c r="Z23" s="870"/>
      <c r="AA23" s="870"/>
      <c r="AB23" s="870"/>
      <c r="AD23" s="63"/>
      <c r="AF23" s="878"/>
      <c r="AG23" s="878"/>
      <c r="AH23" s="878"/>
      <c r="AI23" s="878"/>
      <c r="AJ23" s="878"/>
      <c r="AK23" s="878"/>
      <c r="AL23" s="878"/>
      <c r="AM23" s="878"/>
      <c r="AN23" s="878"/>
      <c r="AO23" s="878"/>
      <c r="AP23" s="878"/>
      <c r="AQ23" s="878"/>
      <c r="AR23" s="878"/>
      <c r="AS23" s="878"/>
      <c r="AT23" s="878"/>
      <c r="AU23" s="878"/>
      <c r="AV23" s="878"/>
      <c r="AW23" s="878"/>
      <c r="AX23" s="878"/>
      <c r="AY23" s="878"/>
      <c r="AZ23" s="878"/>
      <c r="BA23" s="878"/>
    </row>
    <row r="24" spans="1:53" s="4" customFormat="1" ht="21" customHeight="1" thickTop="1">
      <c r="A24" s="860">
        <v>17</v>
      </c>
      <c r="B24" s="860"/>
      <c r="C24" s="861">
        <f>IF($C$6=☆入力!$B$15,☆入力!$B32,☆入力!$C32)</f>
        <v>0</v>
      </c>
      <c r="D24" s="862"/>
      <c r="E24" s="862"/>
      <c r="F24" s="863"/>
      <c r="G24" s="864">
        <f>☆入力!D32</f>
        <v>0</v>
      </c>
      <c r="H24" s="864"/>
      <c r="I24" s="864"/>
      <c r="J24" s="864"/>
      <c r="K24" s="864"/>
      <c r="L24" s="865">
        <f>☆入力!H32</f>
        <v>0</v>
      </c>
      <c r="M24" s="865"/>
      <c r="N24" s="865"/>
      <c r="O24" s="865"/>
      <c r="P24" s="866">
        <f>☆入力!L32</f>
        <v>0</v>
      </c>
      <c r="Q24" s="866"/>
      <c r="R24" s="868">
        <f>☆入力!AA32</f>
        <v>0</v>
      </c>
      <c r="S24" s="868"/>
      <c r="T24" s="868"/>
      <c r="U24" s="869">
        <f>☆入力!AB32</f>
        <v>0</v>
      </c>
      <c r="V24" s="869"/>
      <c r="W24" s="869"/>
      <c r="X24" s="869"/>
      <c r="Y24" s="870">
        <f>☆入力!AC32</f>
        <v>0</v>
      </c>
      <c r="Z24" s="870"/>
      <c r="AA24" s="870"/>
      <c r="AB24" s="870"/>
      <c r="AD24" s="63"/>
      <c r="AS24" s="931">
        <f>☆入力!L12*8000*2</f>
        <v>0</v>
      </c>
      <c r="AT24" s="932"/>
      <c r="AU24" s="932"/>
      <c r="AV24" s="932"/>
      <c r="AW24" s="932"/>
      <c r="AX24" s="932"/>
      <c r="AY24" s="932"/>
      <c r="AZ24" s="932"/>
      <c r="BA24" s="933"/>
    </row>
    <row r="25" spans="1:53" s="4" customFormat="1" ht="21" customHeight="1" thickBot="1">
      <c r="A25" s="860">
        <v>18</v>
      </c>
      <c r="B25" s="860"/>
      <c r="C25" s="861">
        <f>IF($C$6=☆入力!$B$15,☆入力!$B33,☆入力!$C33)</f>
        <v>0</v>
      </c>
      <c r="D25" s="862"/>
      <c r="E25" s="862"/>
      <c r="F25" s="863"/>
      <c r="G25" s="864">
        <f>☆入力!D33</f>
        <v>0</v>
      </c>
      <c r="H25" s="864"/>
      <c r="I25" s="864"/>
      <c r="J25" s="864"/>
      <c r="K25" s="864"/>
      <c r="L25" s="865">
        <f>☆入力!H33</f>
        <v>0</v>
      </c>
      <c r="M25" s="865"/>
      <c r="N25" s="865"/>
      <c r="O25" s="865"/>
      <c r="P25" s="866">
        <f>☆入力!L33</f>
        <v>0</v>
      </c>
      <c r="Q25" s="866"/>
      <c r="R25" s="868">
        <f>☆入力!AA33</f>
        <v>0</v>
      </c>
      <c r="S25" s="868"/>
      <c r="T25" s="868"/>
      <c r="U25" s="869">
        <f>☆入力!AB33</f>
        <v>0</v>
      </c>
      <c r="V25" s="869"/>
      <c r="W25" s="869"/>
      <c r="X25" s="869"/>
      <c r="Y25" s="870">
        <f>☆入力!AC33</f>
        <v>0</v>
      </c>
      <c r="Z25" s="870"/>
      <c r="AA25" s="870"/>
      <c r="AB25" s="870"/>
      <c r="AD25" s="63"/>
      <c r="AF25" s="53"/>
      <c r="AS25" s="934"/>
      <c r="AT25" s="935"/>
      <c r="AU25" s="935"/>
      <c r="AV25" s="935"/>
      <c r="AW25" s="935"/>
      <c r="AX25" s="935"/>
      <c r="AY25" s="935"/>
      <c r="AZ25" s="935"/>
      <c r="BA25" s="936"/>
    </row>
    <row r="26" spans="1:53" s="4" customFormat="1" ht="21" customHeight="1" thickTop="1">
      <c r="A26" s="860">
        <v>19</v>
      </c>
      <c r="B26" s="860"/>
      <c r="C26" s="861">
        <f>IF($C$6=☆入力!$B$15,☆入力!$B34,☆入力!$C34)</f>
        <v>0</v>
      </c>
      <c r="D26" s="862"/>
      <c r="E26" s="862"/>
      <c r="F26" s="863"/>
      <c r="G26" s="864">
        <f>☆入力!D34</f>
        <v>0</v>
      </c>
      <c r="H26" s="864"/>
      <c r="I26" s="864"/>
      <c r="J26" s="864"/>
      <c r="K26" s="864"/>
      <c r="L26" s="865">
        <f>☆入力!H34</f>
        <v>0</v>
      </c>
      <c r="M26" s="865"/>
      <c r="N26" s="865"/>
      <c r="O26" s="865"/>
      <c r="P26" s="866">
        <f>☆入力!L34</f>
        <v>0</v>
      </c>
      <c r="Q26" s="866"/>
      <c r="R26" s="868">
        <f>☆入力!AA34</f>
        <v>0</v>
      </c>
      <c r="S26" s="868"/>
      <c r="T26" s="868"/>
      <c r="U26" s="869">
        <f>☆入力!AB34</f>
        <v>0</v>
      </c>
      <c r="V26" s="869"/>
      <c r="W26" s="869"/>
      <c r="X26" s="869"/>
      <c r="Y26" s="870">
        <f>☆入力!AC34</f>
        <v>0</v>
      </c>
      <c r="Z26" s="870"/>
      <c r="AA26" s="870"/>
      <c r="AB26" s="870"/>
      <c r="AD26" s="63"/>
      <c r="AG26" s="67" t="s">
        <v>319</v>
      </c>
      <c r="AH26" s="67"/>
      <c r="AI26" s="67"/>
      <c r="AJ26" s="67"/>
      <c r="AK26" s="67"/>
      <c r="AL26" s="67"/>
      <c r="AM26" s="67"/>
      <c r="AO26" s="875">
        <f>☆入力!L12</f>
        <v>0</v>
      </c>
      <c r="AP26" s="875"/>
      <c r="AQ26" s="875"/>
      <c r="AR26" s="67" t="s">
        <v>334</v>
      </c>
      <c r="AS26" s="67"/>
      <c r="AT26" s="67"/>
      <c r="AU26" s="67"/>
      <c r="AV26" s="67"/>
      <c r="AW26" s="67"/>
      <c r="AX26" s="67"/>
      <c r="AY26" s="67"/>
      <c r="AZ26" s="67"/>
      <c r="BA26" s="67"/>
    </row>
    <row r="27" spans="1:53" s="4" customFormat="1" ht="21" customHeight="1">
      <c r="A27" s="860">
        <v>20</v>
      </c>
      <c r="B27" s="860"/>
      <c r="C27" s="861">
        <f>IF($C$6=☆入力!$B$15,☆入力!$B35,☆入力!$C35)</f>
        <v>0</v>
      </c>
      <c r="D27" s="862"/>
      <c r="E27" s="862"/>
      <c r="F27" s="863"/>
      <c r="G27" s="864">
        <f>☆入力!D35</f>
        <v>0</v>
      </c>
      <c r="H27" s="864"/>
      <c r="I27" s="864"/>
      <c r="J27" s="864"/>
      <c r="K27" s="864"/>
      <c r="L27" s="865">
        <f>☆入力!H35</f>
        <v>0</v>
      </c>
      <c r="M27" s="865"/>
      <c r="N27" s="865"/>
      <c r="O27" s="865"/>
      <c r="P27" s="866">
        <f>☆入力!L35</f>
        <v>0</v>
      </c>
      <c r="Q27" s="866"/>
      <c r="R27" s="868">
        <f>☆入力!AA35</f>
        <v>0</v>
      </c>
      <c r="S27" s="868"/>
      <c r="T27" s="868"/>
      <c r="U27" s="869">
        <f>☆入力!AB35</f>
        <v>0</v>
      </c>
      <c r="V27" s="869"/>
      <c r="W27" s="869"/>
      <c r="X27" s="869"/>
      <c r="Y27" s="870">
        <f>☆入力!AC35</f>
        <v>0</v>
      </c>
      <c r="Z27" s="870"/>
      <c r="AA27" s="870"/>
      <c r="AB27" s="870"/>
      <c r="AD27" s="63"/>
    </row>
    <row r="28" spans="1:53" s="4" customFormat="1" ht="21" customHeight="1">
      <c r="A28" s="860">
        <v>21</v>
      </c>
      <c r="B28" s="860"/>
      <c r="C28" s="861">
        <f>IF($C$6=☆入力!$B$15,☆入力!$B36,☆入力!$C36)</f>
        <v>0</v>
      </c>
      <c r="D28" s="862"/>
      <c r="E28" s="862"/>
      <c r="F28" s="863"/>
      <c r="G28" s="864">
        <f>☆入力!D36</f>
        <v>0</v>
      </c>
      <c r="H28" s="864"/>
      <c r="I28" s="864"/>
      <c r="J28" s="864"/>
      <c r="K28" s="864"/>
      <c r="L28" s="865">
        <f>☆入力!H36</f>
        <v>0</v>
      </c>
      <c r="M28" s="865"/>
      <c r="N28" s="865"/>
      <c r="O28" s="865"/>
      <c r="P28" s="866">
        <f>☆入力!L36</f>
        <v>0</v>
      </c>
      <c r="Q28" s="866"/>
      <c r="R28" s="868">
        <f>☆入力!AA36</f>
        <v>0</v>
      </c>
      <c r="S28" s="868"/>
      <c r="T28" s="868"/>
      <c r="U28" s="869">
        <f>☆入力!AB36</f>
        <v>0</v>
      </c>
      <c r="V28" s="869"/>
      <c r="W28" s="869"/>
      <c r="X28" s="869"/>
      <c r="Y28" s="870">
        <f>☆入力!AC36</f>
        <v>0</v>
      </c>
      <c r="Z28" s="870"/>
      <c r="AA28" s="870"/>
      <c r="AB28" s="870"/>
      <c r="AD28" s="63"/>
      <c r="AG28" s="2" t="s">
        <v>335</v>
      </c>
    </row>
    <row r="29" spans="1:53" s="4" customFormat="1" ht="21" customHeight="1">
      <c r="A29" s="860">
        <v>22</v>
      </c>
      <c r="B29" s="860"/>
      <c r="C29" s="861">
        <f>IF($C$6=☆入力!$B$15,☆入力!$B37,☆入力!$C37)</f>
        <v>0</v>
      </c>
      <c r="D29" s="862"/>
      <c r="E29" s="862"/>
      <c r="F29" s="863"/>
      <c r="G29" s="864">
        <f>☆入力!D37</f>
        <v>0</v>
      </c>
      <c r="H29" s="864"/>
      <c r="I29" s="864"/>
      <c r="J29" s="864"/>
      <c r="K29" s="864"/>
      <c r="L29" s="865">
        <f>☆入力!H37</f>
        <v>0</v>
      </c>
      <c r="M29" s="865"/>
      <c r="N29" s="865"/>
      <c r="O29" s="865"/>
      <c r="P29" s="866">
        <f>☆入力!L37</f>
        <v>0</v>
      </c>
      <c r="Q29" s="866"/>
      <c r="R29" s="868">
        <f>☆入力!AA37</f>
        <v>0</v>
      </c>
      <c r="S29" s="868"/>
      <c r="T29" s="868"/>
      <c r="U29" s="869">
        <f>☆入力!AB37</f>
        <v>0</v>
      </c>
      <c r="V29" s="869"/>
      <c r="W29" s="869"/>
      <c r="X29" s="869"/>
      <c r="Y29" s="870">
        <f>☆入力!AC37</f>
        <v>0</v>
      </c>
      <c r="Z29" s="870"/>
      <c r="AA29" s="870"/>
      <c r="AB29" s="870"/>
      <c r="AD29" s="63"/>
      <c r="AG29" s="2" t="s">
        <v>322</v>
      </c>
    </row>
    <row r="30" spans="1:53" s="4" customFormat="1" ht="21" customHeight="1">
      <c r="A30" s="860">
        <v>23</v>
      </c>
      <c r="B30" s="860"/>
      <c r="C30" s="861">
        <f>IF($C$6=☆入力!$B$15,☆入力!$B38,☆入力!$C38)</f>
        <v>0</v>
      </c>
      <c r="D30" s="862"/>
      <c r="E30" s="862"/>
      <c r="F30" s="863"/>
      <c r="G30" s="864">
        <f>☆入力!D38</f>
        <v>0</v>
      </c>
      <c r="H30" s="864"/>
      <c r="I30" s="864"/>
      <c r="J30" s="864"/>
      <c r="K30" s="864"/>
      <c r="L30" s="865">
        <f>☆入力!H38</f>
        <v>0</v>
      </c>
      <c r="M30" s="865"/>
      <c r="N30" s="865"/>
      <c r="O30" s="865"/>
      <c r="P30" s="866">
        <f>☆入力!L38</f>
        <v>0</v>
      </c>
      <c r="Q30" s="866"/>
      <c r="R30" s="868">
        <f>☆入力!AA38</f>
        <v>0</v>
      </c>
      <c r="S30" s="868"/>
      <c r="T30" s="868"/>
      <c r="U30" s="869">
        <f>☆入力!AB38</f>
        <v>0</v>
      </c>
      <c r="V30" s="869"/>
      <c r="W30" s="869"/>
      <c r="X30" s="869"/>
      <c r="Y30" s="870">
        <f>☆入力!AC38</f>
        <v>0</v>
      </c>
      <c r="Z30" s="870"/>
      <c r="AA30" s="870"/>
      <c r="AB30" s="870"/>
      <c r="AD30" s="63"/>
      <c r="AS30" s="56"/>
      <c r="AT30" s="56"/>
      <c r="AU30" s="56"/>
      <c r="AV30" s="56"/>
      <c r="AW30" s="56"/>
      <c r="AX30" s="56"/>
      <c r="AY30" s="56"/>
      <c r="AZ30" s="56"/>
      <c r="BA30" s="56"/>
    </row>
    <row r="31" spans="1:53" s="4" customFormat="1" ht="21" customHeight="1">
      <c r="A31" s="860">
        <v>24</v>
      </c>
      <c r="B31" s="860"/>
      <c r="C31" s="861">
        <f>IF($C$6=☆入力!$B$15,☆入力!$B39,☆入力!$C39)</f>
        <v>0</v>
      </c>
      <c r="D31" s="862"/>
      <c r="E31" s="862"/>
      <c r="F31" s="863"/>
      <c r="G31" s="864">
        <f>☆入力!D39</f>
        <v>0</v>
      </c>
      <c r="H31" s="864"/>
      <c r="I31" s="864"/>
      <c r="J31" s="864"/>
      <c r="K31" s="864"/>
      <c r="L31" s="865">
        <f>☆入力!H39</f>
        <v>0</v>
      </c>
      <c r="M31" s="865"/>
      <c r="N31" s="865"/>
      <c r="O31" s="865"/>
      <c r="P31" s="866">
        <f>☆入力!L39</f>
        <v>0</v>
      </c>
      <c r="Q31" s="866"/>
      <c r="R31" s="868">
        <f>☆入力!AA39</f>
        <v>0</v>
      </c>
      <c r="S31" s="868"/>
      <c r="T31" s="868"/>
      <c r="U31" s="869">
        <f>☆入力!AB39</f>
        <v>0</v>
      </c>
      <c r="V31" s="869"/>
      <c r="W31" s="869"/>
      <c r="X31" s="869"/>
      <c r="Y31" s="870">
        <f>☆入力!AC39</f>
        <v>0</v>
      </c>
      <c r="Z31" s="870"/>
      <c r="AA31" s="870"/>
      <c r="AB31" s="870"/>
      <c r="AD31" s="63"/>
      <c r="AS31" s="56"/>
      <c r="AT31" s="56"/>
      <c r="AU31" s="56"/>
      <c r="AV31" s="56"/>
      <c r="AW31" s="56"/>
      <c r="AX31" s="56"/>
      <c r="AY31" s="56"/>
      <c r="AZ31" s="56"/>
      <c r="BA31" s="56"/>
    </row>
    <row r="32" spans="1:53" s="4" customFormat="1" ht="21" customHeight="1">
      <c r="A32" s="860">
        <v>25</v>
      </c>
      <c r="B32" s="860"/>
      <c r="C32" s="861">
        <f>IF($C$6=☆入力!$B$15,☆入力!$B40,☆入力!$C40)</f>
        <v>0</v>
      </c>
      <c r="D32" s="862"/>
      <c r="E32" s="862"/>
      <c r="F32" s="863"/>
      <c r="G32" s="864">
        <f>☆入力!D40</f>
        <v>0</v>
      </c>
      <c r="H32" s="864"/>
      <c r="I32" s="864"/>
      <c r="J32" s="864"/>
      <c r="K32" s="864"/>
      <c r="L32" s="865">
        <f>☆入力!H40</f>
        <v>0</v>
      </c>
      <c r="M32" s="865"/>
      <c r="N32" s="865"/>
      <c r="O32" s="865"/>
      <c r="P32" s="866">
        <f>☆入力!L40</f>
        <v>0</v>
      </c>
      <c r="Q32" s="866"/>
      <c r="R32" s="868">
        <f>☆入力!AA40</f>
        <v>0</v>
      </c>
      <c r="S32" s="868"/>
      <c r="T32" s="868"/>
      <c r="U32" s="869">
        <f>☆入力!AB40</f>
        <v>0</v>
      </c>
      <c r="V32" s="869"/>
      <c r="W32" s="869"/>
      <c r="X32" s="869"/>
      <c r="Y32" s="870">
        <f>☆入力!AC40</f>
        <v>0</v>
      </c>
      <c r="Z32" s="870"/>
      <c r="AA32" s="870"/>
      <c r="AB32" s="870"/>
      <c r="AD32" s="63"/>
    </row>
    <row r="33" spans="1:56" s="4" customFormat="1" ht="21" customHeight="1" outlineLevel="1">
      <c r="A33" s="860">
        <v>26</v>
      </c>
      <c r="B33" s="860"/>
      <c r="C33" s="861">
        <f>IF($C$6=☆入力!$B$15,☆入力!$B41,☆入力!$C41)</f>
        <v>0</v>
      </c>
      <c r="D33" s="862"/>
      <c r="E33" s="862"/>
      <c r="F33" s="863"/>
      <c r="G33" s="864">
        <f>☆入力!D41</f>
        <v>0</v>
      </c>
      <c r="H33" s="864"/>
      <c r="I33" s="864"/>
      <c r="J33" s="864"/>
      <c r="K33" s="864"/>
      <c r="L33" s="865">
        <f>☆入力!H41</f>
        <v>0</v>
      </c>
      <c r="M33" s="865"/>
      <c r="N33" s="865"/>
      <c r="O33" s="865"/>
      <c r="P33" s="866">
        <f>☆入力!L41</f>
        <v>0</v>
      </c>
      <c r="Q33" s="866"/>
      <c r="R33" s="868">
        <f>☆入力!AA41</f>
        <v>0</v>
      </c>
      <c r="S33" s="868"/>
      <c r="T33" s="868"/>
      <c r="U33" s="869">
        <f>☆入力!AB41</f>
        <v>0</v>
      </c>
      <c r="V33" s="869"/>
      <c r="W33" s="869"/>
      <c r="X33" s="869"/>
      <c r="Y33" s="870">
        <f>☆入力!AC41</f>
        <v>0</v>
      </c>
      <c r="Z33" s="870"/>
      <c r="AA33" s="870"/>
      <c r="AB33" s="870"/>
      <c r="AD33" s="63"/>
    </row>
    <row r="34" spans="1:56" s="4" customFormat="1" ht="21" customHeight="1" outlineLevel="1">
      <c r="A34" s="860">
        <v>27</v>
      </c>
      <c r="B34" s="860"/>
      <c r="C34" s="861">
        <f>IF($C$6=☆入力!$B$15,☆入力!$B42,☆入力!$C42)</f>
        <v>0</v>
      </c>
      <c r="D34" s="862"/>
      <c r="E34" s="862"/>
      <c r="F34" s="863"/>
      <c r="G34" s="864">
        <f>☆入力!D42</f>
        <v>0</v>
      </c>
      <c r="H34" s="864"/>
      <c r="I34" s="864"/>
      <c r="J34" s="864"/>
      <c r="K34" s="864"/>
      <c r="L34" s="865">
        <f>☆入力!H42</f>
        <v>0</v>
      </c>
      <c r="M34" s="865"/>
      <c r="N34" s="865"/>
      <c r="O34" s="865"/>
      <c r="P34" s="866">
        <f>☆入力!L42</f>
        <v>0</v>
      </c>
      <c r="Q34" s="866"/>
      <c r="R34" s="868">
        <f>☆入力!AA42</f>
        <v>0</v>
      </c>
      <c r="S34" s="868"/>
      <c r="T34" s="868"/>
      <c r="U34" s="869">
        <f>☆入力!AB42</f>
        <v>0</v>
      </c>
      <c r="V34" s="869"/>
      <c r="W34" s="869"/>
      <c r="X34" s="869"/>
      <c r="Y34" s="870">
        <f>☆入力!AC42</f>
        <v>0</v>
      </c>
      <c r="Z34" s="870"/>
      <c r="AA34" s="870"/>
      <c r="AB34" s="870"/>
      <c r="AD34" s="63"/>
    </row>
    <row r="35" spans="1:56" s="4" customFormat="1" ht="21" customHeight="1" outlineLevel="1">
      <c r="A35" s="860">
        <v>28</v>
      </c>
      <c r="B35" s="860"/>
      <c r="C35" s="861">
        <f>IF($C$6=☆入力!$B$15,☆入力!$B43,☆入力!$C43)</f>
        <v>0</v>
      </c>
      <c r="D35" s="862"/>
      <c r="E35" s="862"/>
      <c r="F35" s="863"/>
      <c r="G35" s="864">
        <f>☆入力!D43</f>
        <v>0</v>
      </c>
      <c r="H35" s="864"/>
      <c r="I35" s="864"/>
      <c r="J35" s="864"/>
      <c r="K35" s="864"/>
      <c r="L35" s="865">
        <f>☆入力!H43</f>
        <v>0</v>
      </c>
      <c r="M35" s="865"/>
      <c r="N35" s="865"/>
      <c r="O35" s="865"/>
      <c r="P35" s="866">
        <f>☆入力!L43</f>
        <v>0</v>
      </c>
      <c r="Q35" s="866"/>
      <c r="R35" s="868">
        <f>☆入力!AA43</f>
        <v>0</v>
      </c>
      <c r="S35" s="868"/>
      <c r="T35" s="868"/>
      <c r="U35" s="869">
        <f>☆入力!AB43</f>
        <v>0</v>
      </c>
      <c r="V35" s="869"/>
      <c r="W35" s="869"/>
      <c r="X35" s="869"/>
      <c r="Y35" s="870">
        <f>☆入力!AC43</f>
        <v>0</v>
      </c>
      <c r="Z35" s="870"/>
      <c r="AA35" s="870"/>
      <c r="AB35" s="870"/>
      <c r="AD35" s="63"/>
    </row>
    <row r="36" spans="1:56" s="4" customFormat="1" ht="21" customHeight="1" outlineLevel="1">
      <c r="A36" s="860">
        <v>29</v>
      </c>
      <c r="B36" s="860"/>
      <c r="C36" s="861">
        <f>IF($C$6=☆入力!$B$15,☆入力!$B44,☆入力!$C44)</f>
        <v>0</v>
      </c>
      <c r="D36" s="862"/>
      <c r="E36" s="862"/>
      <c r="F36" s="863"/>
      <c r="G36" s="864">
        <f>☆入力!D44</f>
        <v>0</v>
      </c>
      <c r="H36" s="864"/>
      <c r="I36" s="864"/>
      <c r="J36" s="864"/>
      <c r="K36" s="864"/>
      <c r="L36" s="865">
        <f>☆入力!H44</f>
        <v>0</v>
      </c>
      <c r="M36" s="865"/>
      <c r="N36" s="865"/>
      <c r="O36" s="865"/>
      <c r="P36" s="866">
        <f>☆入力!L44</f>
        <v>0</v>
      </c>
      <c r="Q36" s="866"/>
      <c r="R36" s="868">
        <f>☆入力!AA44</f>
        <v>0</v>
      </c>
      <c r="S36" s="868"/>
      <c r="T36" s="868"/>
      <c r="U36" s="869">
        <f>☆入力!AB44</f>
        <v>0</v>
      </c>
      <c r="V36" s="869"/>
      <c r="W36" s="869"/>
      <c r="X36" s="869"/>
      <c r="Y36" s="870">
        <f>☆入力!AC44</f>
        <v>0</v>
      </c>
      <c r="Z36" s="870"/>
      <c r="AA36" s="870"/>
      <c r="AB36" s="870"/>
      <c r="AD36" s="63"/>
    </row>
    <row r="37" spans="1:56" s="4" customFormat="1" ht="21" customHeight="1" outlineLevel="1">
      <c r="A37" s="849">
        <v>30</v>
      </c>
      <c r="B37" s="849"/>
      <c r="C37" s="850">
        <f>IF($C$6=☆入力!$B$15,☆入力!$B45,☆入力!$C45)</f>
        <v>0</v>
      </c>
      <c r="D37" s="851"/>
      <c r="E37" s="851"/>
      <c r="F37" s="852"/>
      <c r="G37" s="853">
        <f>☆入力!D45</f>
        <v>0</v>
      </c>
      <c r="H37" s="853"/>
      <c r="I37" s="853"/>
      <c r="J37" s="853"/>
      <c r="K37" s="853"/>
      <c r="L37" s="854">
        <f>☆入力!H45</f>
        <v>0</v>
      </c>
      <c r="M37" s="854"/>
      <c r="N37" s="854"/>
      <c r="O37" s="854"/>
      <c r="P37" s="855">
        <f>☆入力!L45</f>
        <v>0</v>
      </c>
      <c r="Q37" s="855"/>
      <c r="R37" s="857">
        <f>☆入力!AA45</f>
        <v>0</v>
      </c>
      <c r="S37" s="857"/>
      <c r="T37" s="857"/>
      <c r="U37" s="858">
        <f>☆入力!AB45</f>
        <v>0</v>
      </c>
      <c r="V37" s="858"/>
      <c r="W37" s="858"/>
      <c r="X37" s="858"/>
      <c r="Y37" s="859">
        <f>☆入力!AC45</f>
        <v>0</v>
      </c>
      <c r="Z37" s="859"/>
      <c r="AA37" s="859"/>
      <c r="AB37" s="859"/>
      <c r="AD37" s="63"/>
    </row>
    <row r="38" spans="1:56" s="14" customFormat="1" ht="21" customHeight="1">
      <c r="C38" s="479"/>
      <c r="D38" s="479"/>
      <c r="E38" s="479"/>
      <c r="F38" s="479"/>
      <c r="G38" s="479"/>
      <c r="H38" s="479"/>
      <c r="I38" s="479"/>
      <c r="J38" s="479"/>
      <c r="K38" s="75" t="s">
        <v>323</v>
      </c>
      <c r="L38" s="479"/>
      <c r="M38" s="479"/>
      <c r="N38" s="479"/>
      <c r="O38" s="479"/>
      <c r="P38" s="479"/>
      <c r="Q38" s="479"/>
      <c r="R38" s="479"/>
      <c r="S38" s="479"/>
      <c r="T38" s="479"/>
      <c r="U38" s="479"/>
      <c r="V38" s="479"/>
      <c r="W38" s="479"/>
      <c r="X38" s="479"/>
      <c r="AD38" s="65"/>
    </row>
    <row r="39" spans="1:56" s="14" customFormat="1" ht="21" customHeight="1">
      <c r="C39" s="479"/>
      <c r="D39" s="479"/>
      <c r="E39" s="479"/>
      <c r="F39" s="479"/>
      <c r="G39" s="479"/>
      <c r="H39" s="479"/>
      <c r="I39" s="479"/>
      <c r="J39" s="479"/>
      <c r="K39" s="885" t="s">
        <v>43</v>
      </c>
      <c r="L39" s="885"/>
      <c r="M39" s="885"/>
      <c r="N39" s="885"/>
      <c r="O39" s="885"/>
      <c r="P39" s="887">
        <f>SUM(P8:Q37)</f>
        <v>0</v>
      </c>
      <c r="Q39" s="887"/>
      <c r="R39" s="889" t="s">
        <v>324</v>
      </c>
      <c r="S39" s="889"/>
      <c r="T39" s="889"/>
      <c r="U39" s="891">
        <f>SUM(U8:X37)</f>
        <v>0</v>
      </c>
      <c r="V39" s="891"/>
      <c r="W39" s="891"/>
      <c r="X39" s="891"/>
      <c r="Y39" s="893">
        <f>SUM(Y8:AB37)</f>
        <v>0</v>
      </c>
      <c r="Z39" s="893"/>
      <c r="AA39" s="893"/>
      <c r="AB39" s="893"/>
      <c r="AD39" s="65"/>
      <c r="AF39" s="878" t="s">
        <v>325</v>
      </c>
      <c r="AG39" s="878"/>
      <c r="AH39" s="878"/>
      <c r="AI39" s="878"/>
      <c r="AJ39" s="878"/>
      <c r="AK39" s="878"/>
      <c r="AL39" s="878"/>
      <c r="AM39" s="878"/>
      <c r="AN39" s="878"/>
      <c r="AO39" s="878"/>
      <c r="AP39" s="878"/>
      <c r="AQ39" s="878"/>
      <c r="AR39" s="878"/>
      <c r="AS39" s="878"/>
      <c r="AT39" s="878"/>
      <c r="AU39" s="878"/>
      <c r="AV39" s="878"/>
      <c r="AW39" s="878"/>
      <c r="AX39" s="878"/>
      <c r="AY39" s="878"/>
      <c r="AZ39" s="878"/>
      <c r="BA39" s="878"/>
    </row>
    <row r="40" spans="1:56" s="14" customFormat="1" ht="21" customHeight="1" thickBot="1">
      <c r="C40" s="15"/>
      <c r="D40" s="15"/>
      <c r="E40" s="15"/>
      <c r="F40" s="15"/>
      <c r="G40" s="15"/>
      <c r="H40" s="15"/>
      <c r="I40" s="15"/>
      <c r="J40" s="15"/>
      <c r="K40" s="886"/>
      <c r="L40" s="886"/>
      <c r="M40" s="886"/>
      <c r="N40" s="886"/>
      <c r="O40" s="886"/>
      <c r="P40" s="888"/>
      <c r="Q40" s="888"/>
      <c r="R40" s="890"/>
      <c r="S40" s="890"/>
      <c r="T40" s="890"/>
      <c r="U40" s="892"/>
      <c r="V40" s="892"/>
      <c r="W40" s="892"/>
      <c r="X40" s="892"/>
      <c r="Y40" s="894"/>
      <c r="Z40" s="894"/>
      <c r="AA40" s="894"/>
      <c r="AB40" s="894"/>
      <c r="AD40" s="65"/>
      <c r="AF40" s="878"/>
      <c r="AG40" s="878"/>
      <c r="AH40" s="878"/>
      <c r="AI40" s="878"/>
      <c r="AJ40" s="878"/>
      <c r="AK40" s="878"/>
      <c r="AL40" s="878"/>
      <c r="AM40" s="878"/>
      <c r="AN40" s="878"/>
      <c r="AO40" s="878"/>
      <c r="AP40" s="878"/>
      <c r="AQ40" s="878"/>
      <c r="AR40" s="878"/>
      <c r="AS40" s="878"/>
      <c r="AT40" s="878"/>
      <c r="AU40" s="878"/>
      <c r="AV40" s="878"/>
      <c r="AW40" s="878"/>
      <c r="AX40" s="878"/>
      <c r="AY40" s="878"/>
      <c r="AZ40" s="878"/>
      <c r="BA40" s="878"/>
    </row>
    <row r="41" spans="1:56" s="14" customFormat="1" ht="21" customHeight="1" thickTop="1">
      <c r="C41" s="15"/>
      <c r="D41" s="15"/>
      <c r="E41" s="15"/>
      <c r="F41" s="15"/>
      <c r="G41" s="15"/>
      <c r="H41" s="15"/>
      <c r="I41" s="15"/>
      <c r="J41" s="15"/>
      <c r="L41" s="15"/>
      <c r="M41" s="15"/>
      <c r="AD41" s="65"/>
      <c r="AS41" s="939">
        <f>AS6+AS13+AS24</f>
        <v>0</v>
      </c>
      <c r="AT41" s="940"/>
      <c r="AU41" s="940"/>
      <c r="AV41" s="940"/>
      <c r="AW41" s="940"/>
      <c r="AX41" s="940"/>
      <c r="AY41" s="940"/>
      <c r="AZ41" s="940"/>
      <c r="BA41" s="941"/>
    </row>
    <row r="42" spans="1:56" s="14" customFormat="1" ht="21" customHeight="1" thickBot="1">
      <c r="C42" s="15"/>
      <c r="D42" s="15"/>
      <c r="E42" s="15"/>
      <c r="F42" s="15"/>
      <c r="G42" s="15"/>
      <c r="H42" s="15"/>
      <c r="I42" s="15"/>
      <c r="J42" s="15"/>
      <c r="K42" s="15"/>
      <c r="L42" s="15"/>
      <c r="M42" s="15"/>
      <c r="AD42" s="65"/>
      <c r="AS42" s="942"/>
      <c r="AT42" s="943"/>
      <c r="AU42" s="943"/>
      <c r="AV42" s="943"/>
      <c r="AW42" s="943"/>
      <c r="AX42" s="943"/>
      <c r="AY42" s="943"/>
      <c r="AZ42" s="943"/>
      <c r="BA42" s="944"/>
    </row>
    <row r="43" spans="1:56" s="14" customFormat="1" ht="21" customHeight="1" thickTop="1">
      <c r="C43" s="15"/>
      <c r="D43" s="15"/>
      <c r="E43" s="15"/>
      <c r="F43" s="15"/>
      <c r="G43" s="15"/>
      <c r="H43" s="15"/>
      <c r="I43" s="15"/>
      <c r="J43" s="15"/>
      <c r="K43" s="15"/>
      <c r="L43" s="15"/>
      <c r="M43" s="15"/>
      <c r="AD43" s="65"/>
    </row>
    <row r="44" spans="1:56" s="14" customFormat="1" ht="21" customHeight="1">
      <c r="A44" s="58"/>
      <c r="C44" s="15"/>
      <c r="D44" s="15"/>
      <c r="E44" s="15"/>
      <c r="F44" s="15"/>
      <c r="G44" s="15"/>
      <c r="H44" s="15"/>
      <c r="I44" s="15"/>
      <c r="J44" s="15"/>
      <c r="K44" s="15"/>
      <c r="L44" s="15"/>
      <c r="M44" s="15"/>
      <c r="BD44" s="310">
        <v>4</v>
      </c>
    </row>
    <row r="45" spans="1:56" s="14" customFormat="1" ht="21" customHeight="1">
      <c r="C45" s="15"/>
      <c r="D45" s="15"/>
      <c r="E45" s="15"/>
      <c r="F45" s="15"/>
      <c r="G45" s="15"/>
      <c r="H45" s="15"/>
      <c r="I45" s="15"/>
      <c r="J45" s="15"/>
      <c r="K45" s="15"/>
      <c r="L45" s="15"/>
      <c r="M45" s="15"/>
    </row>
    <row r="46" spans="1:56" s="14" customFormat="1" ht="21" customHeight="1">
      <c r="C46" s="15"/>
      <c r="D46" s="15"/>
      <c r="E46" s="15"/>
      <c r="F46" s="15"/>
      <c r="G46" s="15"/>
      <c r="H46" s="15"/>
      <c r="I46" s="15"/>
      <c r="J46" s="15"/>
      <c r="K46" s="15"/>
      <c r="L46" s="15"/>
      <c r="M46" s="15"/>
    </row>
  </sheetData>
  <mergeCells count="271">
    <mergeCell ref="R3:AB4"/>
    <mergeCell ref="AF3:BA4"/>
    <mergeCell ref="G29:K29"/>
    <mergeCell ref="AN16:AP16"/>
    <mergeCell ref="AS20:BA21"/>
    <mergeCell ref="AF22:BA23"/>
    <mergeCell ref="AS24:BA25"/>
    <mergeCell ref="AO26:AQ26"/>
    <mergeCell ref="Y30:AB30"/>
    <mergeCell ref="R21:T21"/>
    <mergeCell ref="U21:X21"/>
    <mergeCell ref="Y21:AB21"/>
    <mergeCell ref="U22:X22"/>
    <mergeCell ref="Y22:AB22"/>
    <mergeCell ref="R15:T15"/>
    <mergeCell ref="U15:X15"/>
    <mergeCell ref="Y15:AB15"/>
    <mergeCell ref="AS13:BA14"/>
    <mergeCell ref="AF11:BA12"/>
    <mergeCell ref="P8:Q8"/>
    <mergeCell ref="R8:T8"/>
    <mergeCell ref="U8:X8"/>
    <mergeCell ref="Y8:AB8"/>
    <mergeCell ref="AF6:AR7"/>
    <mergeCell ref="AF39:BA40"/>
    <mergeCell ref="AS41:BA42"/>
    <mergeCell ref="R32:T32"/>
    <mergeCell ref="U32:X32"/>
    <mergeCell ref="Y32:AB32"/>
    <mergeCell ref="K39:O40"/>
    <mergeCell ref="P39:Q40"/>
    <mergeCell ref="R39:T40"/>
    <mergeCell ref="U39:X40"/>
    <mergeCell ref="Y39:AB40"/>
    <mergeCell ref="G32:K32"/>
    <mergeCell ref="Y36:AB36"/>
    <mergeCell ref="Y33:AB33"/>
    <mergeCell ref="R31:T31"/>
    <mergeCell ref="U31:X31"/>
    <mergeCell ref="Y31:AB31"/>
    <mergeCell ref="A30:B30"/>
    <mergeCell ref="C30:F30"/>
    <mergeCell ref="P30:Q30"/>
    <mergeCell ref="R30:T30"/>
    <mergeCell ref="U30:X30"/>
    <mergeCell ref="G30:K30"/>
    <mergeCell ref="G31:K31"/>
    <mergeCell ref="A32:B32"/>
    <mergeCell ref="C32:F32"/>
    <mergeCell ref="P32:Q32"/>
    <mergeCell ref="R28:T28"/>
    <mergeCell ref="U28:X28"/>
    <mergeCell ref="Y28:AB28"/>
    <mergeCell ref="A29:B29"/>
    <mergeCell ref="C29:F29"/>
    <mergeCell ref="P29:Q29"/>
    <mergeCell ref="R29:T29"/>
    <mergeCell ref="A28:B28"/>
    <mergeCell ref="C28:F28"/>
    <mergeCell ref="P28:Q28"/>
    <mergeCell ref="U29:X29"/>
    <mergeCell ref="Y29:AB29"/>
    <mergeCell ref="L28:O28"/>
    <mergeCell ref="L29:O29"/>
    <mergeCell ref="L30:O30"/>
    <mergeCell ref="L31:O31"/>
    <mergeCell ref="L32:O32"/>
    <mergeCell ref="G28:K28"/>
    <mergeCell ref="A31:B31"/>
    <mergeCell ref="C31:F31"/>
    <mergeCell ref="P31:Q31"/>
    <mergeCell ref="A27:B27"/>
    <mergeCell ref="C27:F27"/>
    <mergeCell ref="P27:Q27"/>
    <mergeCell ref="R27:T27"/>
    <mergeCell ref="U27:X27"/>
    <mergeCell ref="Y27:AB27"/>
    <mergeCell ref="A25:B25"/>
    <mergeCell ref="C25:F25"/>
    <mergeCell ref="P25:Q25"/>
    <mergeCell ref="R25:T25"/>
    <mergeCell ref="U25:X25"/>
    <mergeCell ref="Y25:AB25"/>
    <mergeCell ref="A26:B26"/>
    <mergeCell ref="C26:F26"/>
    <mergeCell ref="P26:Q26"/>
    <mergeCell ref="R26:T26"/>
    <mergeCell ref="U26:X26"/>
    <mergeCell ref="Y26:AB26"/>
    <mergeCell ref="L25:O25"/>
    <mergeCell ref="L26:O26"/>
    <mergeCell ref="L27:O27"/>
    <mergeCell ref="G25:K25"/>
    <mergeCell ref="G26:K26"/>
    <mergeCell ref="G27:K27"/>
    <mergeCell ref="A24:B24"/>
    <mergeCell ref="C24:F24"/>
    <mergeCell ref="P24:Q24"/>
    <mergeCell ref="R24:T24"/>
    <mergeCell ref="U24:X24"/>
    <mergeCell ref="Y24:AB24"/>
    <mergeCell ref="A23:B23"/>
    <mergeCell ref="C23:F23"/>
    <mergeCell ref="P23:Q23"/>
    <mergeCell ref="R23:T23"/>
    <mergeCell ref="U23:X23"/>
    <mergeCell ref="Y23:AB23"/>
    <mergeCell ref="L23:O23"/>
    <mergeCell ref="L24:O24"/>
    <mergeCell ref="G23:K23"/>
    <mergeCell ref="G24:K24"/>
    <mergeCell ref="A22:B22"/>
    <mergeCell ref="C22:F22"/>
    <mergeCell ref="P22:Q22"/>
    <mergeCell ref="A21:B21"/>
    <mergeCell ref="C21:F21"/>
    <mergeCell ref="P21:Q21"/>
    <mergeCell ref="R22:T22"/>
    <mergeCell ref="L21:O21"/>
    <mergeCell ref="L22:O22"/>
    <mergeCell ref="G21:K21"/>
    <mergeCell ref="G22:K22"/>
    <mergeCell ref="A20:B20"/>
    <mergeCell ref="C20:F20"/>
    <mergeCell ref="P20:Q20"/>
    <mergeCell ref="R20:T20"/>
    <mergeCell ref="U20:X20"/>
    <mergeCell ref="Y20:AB20"/>
    <mergeCell ref="A19:B19"/>
    <mergeCell ref="C19:F19"/>
    <mergeCell ref="P19:Q19"/>
    <mergeCell ref="R19:T19"/>
    <mergeCell ref="U19:X19"/>
    <mergeCell ref="Y19:AB19"/>
    <mergeCell ref="L19:O19"/>
    <mergeCell ref="L20:O20"/>
    <mergeCell ref="G19:K19"/>
    <mergeCell ref="G20:K20"/>
    <mergeCell ref="Y16:AB16"/>
    <mergeCell ref="L15:O15"/>
    <mergeCell ref="L16:O16"/>
    <mergeCell ref="G15:K15"/>
    <mergeCell ref="G16:K16"/>
    <mergeCell ref="A18:B18"/>
    <mergeCell ref="C18:F18"/>
    <mergeCell ref="P18:Q18"/>
    <mergeCell ref="R18:T18"/>
    <mergeCell ref="U18:X18"/>
    <mergeCell ref="Y18:AB18"/>
    <mergeCell ref="A17:B17"/>
    <mergeCell ref="C17:F17"/>
    <mergeCell ref="P17:Q17"/>
    <mergeCell ref="R17:T17"/>
    <mergeCell ref="U17:X17"/>
    <mergeCell ref="Y17:AB17"/>
    <mergeCell ref="L17:O17"/>
    <mergeCell ref="L18:O18"/>
    <mergeCell ref="G17:K17"/>
    <mergeCell ref="G18:K18"/>
    <mergeCell ref="Y9:AB9"/>
    <mergeCell ref="G9:K9"/>
    <mergeCell ref="G10:K10"/>
    <mergeCell ref="A12:B12"/>
    <mergeCell ref="C12:F12"/>
    <mergeCell ref="P12:Q12"/>
    <mergeCell ref="R12:T12"/>
    <mergeCell ref="U12:X12"/>
    <mergeCell ref="Y12:AB12"/>
    <mergeCell ref="A11:B11"/>
    <mergeCell ref="C11:F11"/>
    <mergeCell ref="P11:Q11"/>
    <mergeCell ref="R11:T11"/>
    <mergeCell ref="U11:X11"/>
    <mergeCell ref="Y11:AB11"/>
    <mergeCell ref="G11:K11"/>
    <mergeCell ref="G12:K12"/>
    <mergeCell ref="AS6:BA7"/>
    <mergeCell ref="G6:K6"/>
    <mergeCell ref="G8:K8"/>
    <mergeCell ref="AS9:BA10"/>
    <mergeCell ref="A1:BD1"/>
    <mergeCell ref="AO8:AR8"/>
    <mergeCell ref="AN15:AP15"/>
    <mergeCell ref="A6:B6"/>
    <mergeCell ref="C6:F6"/>
    <mergeCell ref="P6:Q6"/>
    <mergeCell ref="R6:T6"/>
    <mergeCell ref="U6:X6"/>
    <mergeCell ref="Y6:AB6"/>
    <mergeCell ref="A9:B9"/>
    <mergeCell ref="C9:F9"/>
    <mergeCell ref="P9:Q9"/>
    <mergeCell ref="R9:T9"/>
    <mergeCell ref="L6:O6"/>
    <mergeCell ref="L8:O8"/>
    <mergeCell ref="L9:O9"/>
    <mergeCell ref="L10:O10"/>
    <mergeCell ref="L11:O11"/>
    <mergeCell ref="L12:O12"/>
    <mergeCell ref="L13:O13"/>
    <mergeCell ref="A8:B8"/>
    <mergeCell ref="C8:F8"/>
    <mergeCell ref="A33:B33"/>
    <mergeCell ref="C33:F33"/>
    <mergeCell ref="G33:K33"/>
    <mergeCell ref="L33:O33"/>
    <mergeCell ref="P33:Q33"/>
    <mergeCell ref="R33:T33"/>
    <mergeCell ref="U33:X33"/>
    <mergeCell ref="A10:B10"/>
    <mergeCell ref="C10:F10"/>
    <mergeCell ref="P10:Q10"/>
    <mergeCell ref="R10:T10"/>
    <mergeCell ref="U10:X10"/>
    <mergeCell ref="U9:X9"/>
    <mergeCell ref="A14:B14"/>
    <mergeCell ref="C14:F14"/>
    <mergeCell ref="P14:Q14"/>
    <mergeCell ref="R14:T14"/>
    <mergeCell ref="U14:X14"/>
    <mergeCell ref="A13:B13"/>
    <mergeCell ref="C13:F13"/>
    <mergeCell ref="P13:Q13"/>
    <mergeCell ref="R13:T13"/>
    <mergeCell ref="A34:B34"/>
    <mergeCell ref="C34:F34"/>
    <mergeCell ref="G34:K34"/>
    <mergeCell ref="L34:O34"/>
    <mergeCell ref="P34:Q34"/>
    <mergeCell ref="R34:T34"/>
    <mergeCell ref="U34:X34"/>
    <mergeCell ref="Y34:AB34"/>
    <mergeCell ref="BF10:CB11"/>
    <mergeCell ref="Y10:AB10"/>
    <mergeCell ref="Y14:AB14"/>
    <mergeCell ref="U13:X13"/>
    <mergeCell ref="Y13:AB13"/>
    <mergeCell ref="L14:O14"/>
    <mergeCell ref="G13:K13"/>
    <mergeCell ref="G14:K14"/>
    <mergeCell ref="A16:B16"/>
    <mergeCell ref="C16:F16"/>
    <mergeCell ref="P16:Q16"/>
    <mergeCell ref="A15:B15"/>
    <mergeCell ref="C15:F15"/>
    <mergeCell ref="P15:Q15"/>
    <mergeCell ref="R16:T16"/>
    <mergeCell ref="U16:X16"/>
    <mergeCell ref="A37:B37"/>
    <mergeCell ref="C37:F37"/>
    <mergeCell ref="G37:K37"/>
    <mergeCell ref="L37:O37"/>
    <mergeCell ref="P37:Q37"/>
    <mergeCell ref="R37:T37"/>
    <mergeCell ref="U37:X37"/>
    <mergeCell ref="Y37:AB37"/>
    <mergeCell ref="A35:B35"/>
    <mergeCell ref="C35:F35"/>
    <mergeCell ref="G35:K35"/>
    <mergeCell ref="L35:O35"/>
    <mergeCell ref="P35:Q35"/>
    <mergeCell ref="R35:T35"/>
    <mergeCell ref="U35:X35"/>
    <mergeCell ref="Y35:AB35"/>
    <mergeCell ref="A36:B36"/>
    <mergeCell ref="C36:F36"/>
    <mergeCell ref="G36:K36"/>
    <mergeCell ref="L36:O36"/>
    <mergeCell ref="P36:Q36"/>
    <mergeCell ref="R36:T36"/>
    <mergeCell ref="U36:X36"/>
  </mergeCells>
  <phoneticPr fontId="2"/>
  <conditionalFormatting sqref="C8:G37">
    <cfRule type="cellIs" dxfId="91" priority="3" operator="equal">
      <formula>0</formula>
    </cfRule>
  </conditionalFormatting>
  <conditionalFormatting sqref="L8:L37 P8:Q37 U8:X37">
    <cfRule type="cellIs" dxfId="90" priority="6" operator="equal">
      <formula>0</formula>
    </cfRule>
  </conditionalFormatting>
  <conditionalFormatting sqref="R8:T37">
    <cfRule type="cellIs" dxfId="89" priority="1" operator="equal">
      <formula>0</formula>
    </cfRule>
  </conditionalFormatting>
  <conditionalFormatting sqref="Y8:AB37">
    <cfRule type="cellIs" dxfId="88" priority="4" operator="equal">
      <formula>0</formula>
    </cfRule>
  </conditionalFormatting>
  <printOptions horizontalCentered="1" verticalCentered="1"/>
  <pageMargins left="0" right="0" top="0" bottom="0" header="0" footer="0"/>
  <pageSetup paperSize="9" scale="58"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24607-83FF-4388-9E14-B69807213BB6}">
  <sheetPr>
    <tabColor rgb="FFFFC000"/>
  </sheetPr>
  <dimension ref="A1:BI44"/>
  <sheetViews>
    <sheetView view="pageBreakPreview" zoomScale="40" zoomScaleNormal="80" zoomScaleSheetLayoutView="40" workbookViewId="0">
      <selection activeCell="CB54" sqref="CB54"/>
    </sheetView>
  </sheetViews>
  <sheetFormatPr defaultColWidth="3.5" defaultRowHeight="21" customHeight="1"/>
  <cols>
    <col min="1" max="2" width="3.5" style="2"/>
    <col min="3" max="10" width="3.5" style="3"/>
    <col min="11" max="37" width="3.5" style="2"/>
    <col min="38" max="38" width="3.5" style="2" customWidth="1"/>
    <col min="39" max="60" width="3.5" style="2"/>
    <col min="61" max="61" width="4.125" style="2" customWidth="1"/>
    <col min="62" max="16384" width="3.5" style="2"/>
  </cols>
  <sheetData>
    <row r="1" spans="1:61" ht="38.25">
      <c r="A1" s="877" t="s">
        <v>336</v>
      </c>
      <c r="B1" s="877"/>
      <c r="C1" s="877"/>
      <c r="D1" s="877"/>
      <c r="E1" s="877"/>
      <c r="F1" s="877"/>
      <c r="G1" s="877"/>
      <c r="H1" s="877"/>
      <c r="I1" s="877"/>
      <c r="J1" s="877"/>
      <c r="K1" s="877"/>
      <c r="L1" s="877"/>
      <c r="M1" s="877"/>
      <c r="N1" s="877"/>
      <c r="O1" s="877"/>
      <c r="P1" s="877"/>
      <c r="Q1" s="877"/>
      <c r="R1" s="877"/>
      <c r="S1" s="877"/>
      <c r="T1" s="877"/>
      <c r="U1" s="877"/>
      <c r="V1" s="877"/>
      <c r="W1" s="877"/>
      <c r="X1" s="877"/>
      <c r="Y1" s="877"/>
      <c r="Z1" s="877"/>
      <c r="AA1" s="877"/>
      <c r="AB1" s="877"/>
      <c r="AC1" s="877"/>
      <c r="AD1" s="877"/>
      <c r="AE1" s="877"/>
      <c r="AF1" s="877"/>
      <c r="AG1" s="877"/>
      <c r="AH1" s="877"/>
      <c r="AI1" s="877"/>
      <c r="AJ1" s="877"/>
      <c r="AK1" s="877"/>
      <c r="AL1" s="877"/>
      <c r="AM1" s="877"/>
      <c r="AN1" s="877"/>
      <c r="AO1" s="877"/>
      <c r="AP1" s="877"/>
      <c r="AQ1" s="877"/>
      <c r="AR1" s="877"/>
      <c r="AS1" s="877"/>
      <c r="AT1" s="877"/>
      <c r="AU1" s="877"/>
      <c r="AV1" s="877"/>
      <c r="AW1" s="877"/>
      <c r="AX1" s="877"/>
      <c r="AY1" s="877"/>
      <c r="AZ1" s="877"/>
      <c r="BA1" s="877"/>
      <c r="BB1" s="877"/>
      <c r="BC1" s="877"/>
      <c r="BD1" s="877"/>
      <c r="BE1" s="877"/>
      <c r="BF1" s="877"/>
      <c r="BG1" s="877"/>
      <c r="BH1" s="877"/>
      <c r="BI1" s="877"/>
    </row>
    <row r="2" spans="1:61" s="4" customFormat="1" ht="20.25" thickBot="1">
      <c r="A2" s="60"/>
      <c r="B2" s="60"/>
      <c r="C2" s="60"/>
      <c r="D2" s="60"/>
      <c r="E2" s="60"/>
      <c r="F2" s="60"/>
      <c r="G2" s="60"/>
      <c r="H2" s="60"/>
      <c r="I2" s="60"/>
      <c r="J2" s="60"/>
      <c r="K2" s="60"/>
      <c r="L2" s="60"/>
      <c r="M2" s="60"/>
      <c r="N2" s="60"/>
      <c r="Q2" s="60"/>
      <c r="R2" s="60"/>
      <c r="S2" s="60"/>
      <c r="T2" s="60"/>
      <c r="U2" s="60"/>
      <c r="V2" s="60"/>
      <c r="W2" s="60"/>
      <c r="X2" s="60"/>
      <c r="Y2" s="60"/>
      <c r="Z2" s="60"/>
    </row>
    <row r="3" spans="1:61" s="13" customFormat="1" ht="21" customHeight="1" thickTop="1" thickBot="1">
      <c r="B3" s="12"/>
      <c r="C3" s="12"/>
      <c r="D3" s="12"/>
      <c r="E3" s="12"/>
      <c r="F3" s="12"/>
      <c r="G3" s="12"/>
      <c r="H3" s="12"/>
      <c r="I3" s="12"/>
      <c r="J3" s="12"/>
      <c r="K3" s="977" t="s">
        <v>337</v>
      </c>
      <c r="L3" s="978"/>
      <c r="M3" s="978"/>
      <c r="N3" s="979"/>
      <c r="O3" s="61"/>
      <c r="P3" s="61"/>
      <c r="Q3" s="1018" t="s">
        <v>338</v>
      </c>
      <c r="R3" s="1019"/>
      <c r="S3" s="1019"/>
      <c r="T3" s="1019"/>
      <c r="U3" s="1019"/>
      <c r="V3" s="1019"/>
      <c r="W3" s="1020"/>
      <c r="X3" s="39"/>
      <c r="Y3" s="62"/>
      <c r="Z3" s="39"/>
      <c r="AA3" s="988" t="s">
        <v>302</v>
      </c>
      <c r="AB3" s="988"/>
      <c r="AC3" s="988"/>
      <c r="AD3" s="988"/>
      <c r="AE3" s="988"/>
      <c r="AF3" s="988"/>
      <c r="AG3" s="988"/>
      <c r="AH3" s="988"/>
      <c r="AI3" s="988"/>
      <c r="AJ3" s="61"/>
      <c r="AK3" s="61"/>
      <c r="AL3" s="61"/>
      <c r="AM3" s="61"/>
      <c r="AN3" s="946" t="s">
        <v>327</v>
      </c>
      <c r="AO3" s="946"/>
      <c r="AP3" s="946"/>
      <c r="AQ3" s="946"/>
      <c r="AR3" s="946"/>
      <c r="AS3" s="946"/>
      <c r="AT3" s="946"/>
      <c r="AU3" s="946"/>
      <c r="AV3" s="946"/>
      <c r="AW3" s="61"/>
      <c r="AX3" s="61"/>
      <c r="AY3" s="61"/>
      <c r="AZ3" s="61"/>
      <c r="BA3" s="1016" t="s">
        <v>339</v>
      </c>
      <c r="BB3" s="1016"/>
      <c r="BC3" s="1016"/>
      <c r="BD3" s="1016"/>
      <c r="BE3" s="1016"/>
      <c r="BF3" s="1016"/>
      <c r="BG3" s="1016"/>
      <c r="BH3" s="1016"/>
      <c r="BI3" s="1016"/>
    </row>
    <row r="4" spans="1:61" s="4" customFormat="1" ht="21" customHeight="1" thickTop="1">
      <c r="A4" s="52"/>
      <c r="B4" s="53"/>
      <c r="C4" s="54"/>
      <c r="D4" s="54"/>
      <c r="E4" s="54"/>
      <c r="F4" s="54"/>
      <c r="G4" s="54"/>
      <c r="H4" s="54"/>
      <c r="I4" s="54"/>
      <c r="J4" s="54"/>
      <c r="K4" s="53"/>
      <c r="L4" s="53"/>
      <c r="M4" s="53"/>
      <c r="N4" s="53"/>
      <c r="Y4" s="63"/>
      <c r="AA4" s="989"/>
      <c r="AB4" s="989"/>
      <c r="AC4" s="989"/>
      <c r="AD4" s="989"/>
      <c r="AE4" s="989"/>
      <c r="AF4" s="989"/>
      <c r="AG4" s="989"/>
      <c r="AH4" s="989"/>
      <c r="AI4" s="989"/>
      <c r="AJ4" s="59"/>
      <c r="AK4" s="59"/>
      <c r="AL4" s="59"/>
      <c r="AM4" s="59"/>
      <c r="AN4" s="1015"/>
      <c r="AO4" s="1015"/>
      <c r="AP4" s="1015"/>
      <c r="AQ4" s="1015"/>
      <c r="AR4" s="1015"/>
      <c r="AS4" s="1015"/>
      <c r="AT4" s="1015"/>
      <c r="AU4" s="1015"/>
      <c r="AV4" s="1015"/>
      <c r="BA4" s="1017"/>
      <c r="BB4" s="1017"/>
      <c r="BC4" s="1017"/>
      <c r="BD4" s="1017"/>
      <c r="BE4" s="1017"/>
      <c r="BF4" s="1017"/>
      <c r="BG4" s="1017"/>
      <c r="BH4" s="1017"/>
      <c r="BI4" s="1017"/>
    </row>
    <row r="5" spans="1:61" ht="21" customHeight="1">
      <c r="A5" s="903" t="s">
        <v>304</v>
      </c>
      <c r="B5" s="907"/>
      <c r="C5" s="908" t="str">
        <f>LED計算式!M32</f>
        <v>試算エリア</v>
      </c>
      <c r="D5" s="909"/>
      <c r="E5" s="909"/>
      <c r="F5" s="910"/>
      <c r="G5" s="908" t="s">
        <v>305</v>
      </c>
      <c r="H5" s="909"/>
      <c r="I5" s="909"/>
      <c r="J5" s="910"/>
      <c r="K5" s="906" t="s">
        <v>308</v>
      </c>
      <c r="L5" s="906"/>
      <c r="M5" s="906"/>
      <c r="N5" s="906"/>
      <c r="O5" s="57"/>
      <c r="P5" s="57"/>
      <c r="Q5" s="906" t="s">
        <v>308</v>
      </c>
      <c r="R5" s="906"/>
      <c r="S5" s="906"/>
      <c r="T5" s="906"/>
      <c r="U5" s="1027" t="s">
        <v>340</v>
      </c>
      <c r="V5" s="1027"/>
      <c r="W5" s="1027"/>
      <c r="Y5" s="64"/>
      <c r="AA5" s="878" t="s">
        <v>341</v>
      </c>
      <c r="AB5" s="878"/>
      <c r="AC5" s="878"/>
      <c r="AD5" s="878"/>
      <c r="AE5" s="878"/>
      <c r="AF5" s="878"/>
      <c r="AG5" s="878"/>
      <c r="AH5" s="878"/>
      <c r="AI5" s="878"/>
      <c r="AJ5" s="878"/>
      <c r="AK5" s="878"/>
      <c r="AL5" s="878"/>
      <c r="AM5" s="878"/>
      <c r="AN5" s="878"/>
      <c r="AO5" s="878"/>
      <c r="AP5" s="878"/>
      <c r="AQ5" s="878"/>
      <c r="AR5" s="878"/>
      <c r="AS5" s="878"/>
      <c r="AT5" s="878"/>
      <c r="AU5" s="878"/>
      <c r="AV5" s="878"/>
    </row>
    <row r="6" spans="1:61" ht="21" customHeight="1" thickBot="1">
      <c r="A6" s="15"/>
      <c r="B6" s="15"/>
      <c r="C6" s="16"/>
      <c r="D6" s="16"/>
      <c r="E6" s="16"/>
      <c r="F6" s="16"/>
      <c r="G6" s="16"/>
      <c r="H6" s="16"/>
      <c r="I6" s="16"/>
      <c r="J6" s="16"/>
      <c r="K6" s="17"/>
      <c r="L6" s="17"/>
      <c r="M6" s="17"/>
      <c r="N6" s="17"/>
      <c r="O6" s="17"/>
      <c r="P6" s="17"/>
      <c r="Q6" s="17"/>
      <c r="R6" s="17"/>
      <c r="Y6" s="64"/>
      <c r="AA6" s="878"/>
      <c r="AB6" s="878"/>
      <c r="AC6" s="878"/>
      <c r="AD6" s="878"/>
      <c r="AE6" s="878"/>
      <c r="AF6" s="878"/>
      <c r="AG6" s="878"/>
      <c r="AH6" s="878"/>
      <c r="AI6" s="878"/>
      <c r="AJ6" s="878"/>
      <c r="AK6" s="878"/>
      <c r="AL6" s="878"/>
      <c r="AM6" s="878"/>
      <c r="AN6" s="878"/>
      <c r="AO6" s="878"/>
      <c r="AP6" s="878"/>
      <c r="AQ6" s="878"/>
      <c r="AR6" s="878"/>
      <c r="AS6" s="878"/>
      <c r="AT6" s="878"/>
      <c r="AU6" s="878"/>
      <c r="AV6" s="878"/>
    </row>
    <row r="7" spans="1:61" s="4" customFormat="1" ht="21" customHeight="1" thickTop="1">
      <c r="A7" s="911">
        <v>1</v>
      </c>
      <c r="B7" s="911"/>
      <c r="C7" s="872">
        <f>IF($C$5=☆入力!$B$15,☆入力!$B16,☆入力!$C16)</f>
        <v>0</v>
      </c>
      <c r="D7" s="872"/>
      <c r="E7" s="872"/>
      <c r="F7" s="872"/>
      <c r="G7" s="872">
        <f>☆入力!D16</f>
        <v>0</v>
      </c>
      <c r="H7" s="872"/>
      <c r="I7" s="872"/>
      <c r="J7" s="872"/>
      <c r="K7" s="929">
        <f>☆入力!Y16</f>
        <v>0</v>
      </c>
      <c r="L7" s="929"/>
      <c r="M7" s="929"/>
      <c r="N7" s="929"/>
      <c r="O7" s="967" t="s">
        <v>342</v>
      </c>
      <c r="P7" s="968"/>
      <c r="Q7" s="929">
        <f>☆入力!AC16</f>
        <v>0</v>
      </c>
      <c r="R7" s="929"/>
      <c r="S7" s="929"/>
      <c r="T7" s="929"/>
      <c r="U7" s="1000" t="str">
        <f t="shared" ref="U7:U31" si="0">IFERROR(100%-(Q7/K7),"")</f>
        <v/>
      </c>
      <c r="V7" s="1000"/>
      <c r="W7" s="1000"/>
      <c r="Y7" s="63"/>
      <c r="AA7" s="994">
        <f>②前a!$AS$6</f>
        <v>0</v>
      </c>
      <c r="AB7" s="995"/>
      <c r="AC7" s="995"/>
      <c r="AD7" s="995"/>
      <c r="AE7" s="995"/>
      <c r="AF7" s="995"/>
      <c r="AG7" s="995"/>
      <c r="AH7" s="995"/>
      <c r="AI7" s="996"/>
      <c r="AJ7" s="1013" t="s">
        <v>343</v>
      </c>
      <c r="AK7" s="1009"/>
      <c r="AL7" s="1009"/>
      <c r="AM7" s="1014"/>
      <c r="AN7" s="1021">
        <f>③後a!AS6</f>
        <v>0</v>
      </c>
      <c r="AO7" s="1022"/>
      <c r="AP7" s="1022"/>
      <c r="AQ7" s="1022"/>
      <c r="AR7" s="1022"/>
      <c r="AS7" s="1022"/>
      <c r="AT7" s="1022"/>
      <c r="AU7" s="1022"/>
      <c r="AV7" s="1023"/>
      <c r="AW7" s="1008" t="s">
        <v>344</v>
      </c>
      <c r="AX7" s="1009"/>
      <c r="AY7" s="1009"/>
      <c r="AZ7" s="1010"/>
      <c r="BA7" s="1028">
        <f>AA7-AN7</f>
        <v>0</v>
      </c>
      <c r="BB7" s="1029"/>
      <c r="BC7" s="1029"/>
      <c r="BD7" s="1029"/>
      <c r="BE7" s="1029"/>
      <c r="BF7" s="1029"/>
      <c r="BG7" s="1029"/>
      <c r="BH7" s="1029"/>
      <c r="BI7" s="1030"/>
    </row>
    <row r="8" spans="1:61" s="4" customFormat="1" ht="21" customHeight="1" thickBot="1">
      <c r="A8" s="860">
        <v>2</v>
      </c>
      <c r="B8" s="860"/>
      <c r="C8" s="861">
        <f>IF($C$5=☆入力!$B$15,☆入力!$B17,☆入力!$C17)</f>
        <v>0</v>
      </c>
      <c r="D8" s="862"/>
      <c r="E8" s="862"/>
      <c r="F8" s="863"/>
      <c r="G8" s="864">
        <f>☆入力!D17</f>
        <v>0</v>
      </c>
      <c r="H8" s="864"/>
      <c r="I8" s="864"/>
      <c r="J8" s="864"/>
      <c r="K8" s="870">
        <f>☆入力!Y17</f>
        <v>0</v>
      </c>
      <c r="L8" s="870"/>
      <c r="M8" s="870"/>
      <c r="N8" s="870"/>
      <c r="O8" s="967" t="s">
        <v>342</v>
      </c>
      <c r="P8" s="968"/>
      <c r="Q8" s="870">
        <f>☆入力!AC17</f>
        <v>0</v>
      </c>
      <c r="R8" s="870"/>
      <c r="S8" s="870"/>
      <c r="T8" s="870"/>
      <c r="U8" s="970" t="str">
        <f t="shared" si="0"/>
        <v/>
      </c>
      <c r="V8" s="970"/>
      <c r="W8" s="970"/>
      <c r="Y8" s="63"/>
      <c r="AA8" s="997"/>
      <c r="AB8" s="998"/>
      <c r="AC8" s="998"/>
      <c r="AD8" s="998"/>
      <c r="AE8" s="998"/>
      <c r="AF8" s="998"/>
      <c r="AG8" s="998"/>
      <c r="AH8" s="998"/>
      <c r="AI8" s="999"/>
      <c r="AJ8" s="1013"/>
      <c r="AK8" s="1009"/>
      <c r="AL8" s="1009"/>
      <c r="AM8" s="1014"/>
      <c r="AN8" s="1024"/>
      <c r="AO8" s="1025"/>
      <c r="AP8" s="1025"/>
      <c r="AQ8" s="1025"/>
      <c r="AR8" s="1025"/>
      <c r="AS8" s="1025"/>
      <c r="AT8" s="1025"/>
      <c r="AU8" s="1025"/>
      <c r="AV8" s="1026"/>
      <c r="AW8" s="1008"/>
      <c r="AX8" s="1009"/>
      <c r="AY8" s="1009"/>
      <c r="AZ8" s="1010"/>
      <c r="BA8" s="1031"/>
      <c r="BB8" s="1032"/>
      <c r="BC8" s="1032"/>
      <c r="BD8" s="1032"/>
      <c r="BE8" s="1032"/>
      <c r="BF8" s="1032"/>
      <c r="BG8" s="1032"/>
      <c r="BH8" s="1032"/>
      <c r="BI8" s="1033"/>
    </row>
    <row r="9" spans="1:61" s="4" customFormat="1" ht="21" customHeight="1" thickTop="1">
      <c r="A9" s="860">
        <v>3</v>
      </c>
      <c r="B9" s="860"/>
      <c r="C9" s="861">
        <f>IF($C$5=☆入力!$B$15,☆入力!$B18,☆入力!$C18)</f>
        <v>0</v>
      </c>
      <c r="D9" s="862"/>
      <c r="E9" s="862"/>
      <c r="F9" s="863"/>
      <c r="G9" s="864">
        <f>☆入力!D18</f>
        <v>0</v>
      </c>
      <c r="H9" s="864"/>
      <c r="I9" s="864"/>
      <c r="J9" s="864"/>
      <c r="K9" s="870">
        <f>☆入力!Y18</f>
        <v>0</v>
      </c>
      <c r="L9" s="870"/>
      <c r="M9" s="870"/>
      <c r="N9" s="870"/>
      <c r="O9" s="967" t="s">
        <v>342</v>
      </c>
      <c r="P9" s="968"/>
      <c r="Q9" s="870">
        <f>☆入力!AC18</f>
        <v>0</v>
      </c>
      <c r="R9" s="870"/>
      <c r="S9" s="870"/>
      <c r="T9" s="870"/>
      <c r="U9" s="970" t="str">
        <f t="shared" si="0"/>
        <v/>
      </c>
      <c r="V9" s="970"/>
      <c r="W9" s="970"/>
      <c r="Y9" s="63"/>
      <c r="AA9" s="924" t="s">
        <v>312</v>
      </c>
      <c r="AB9" s="924"/>
      <c r="AC9" s="924"/>
      <c r="AD9" s="924"/>
      <c r="AE9" s="924"/>
      <c r="AF9" s="924"/>
      <c r="AG9" s="924"/>
      <c r="AH9" s="924"/>
      <c r="AI9" s="924"/>
      <c r="AN9" s="957" t="s">
        <v>312</v>
      </c>
      <c r="AO9" s="957"/>
      <c r="AP9" s="957"/>
      <c r="AQ9" s="957"/>
      <c r="AR9" s="957"/>
      <c r="AS9" s="957"/>
      <c r="AT9" s="957"/>
      <c r="AU9" s="957"/>
      <c r="AV9" s="957"/>
      <c r="BA9" s="1034" t="s">
        <v>312</v>
      </c>
      <c r="BB9" s="1034"/>
      <c r="BC9" s="1034"/>
      <c r="BD9" s="1034"/>
      <c r="BE9" s="1034"/>
      <c r="BF9" s="1034"/>
      <c r="BG9" s="1034"/>
      <c r="BH9" s="1034"/>
      <c r="BI9" s="1034"/>
    </row>
    <row r="10" spans="1:61" s="4" customFormat="1" ht="21" customHeight="1">
      <c r="A10" s="860">
        <v>4</v>
      </c>
      <c r="B10" s="860"/>
      <c r="C10" s="861">
        <f>IF($C$5=☆入力!$B$15,☆入力!$B19,☆入力!$C19)</f>
        <v>0</v>
      </c>
      <c r="D10" s="862"/>
      <c r="E10" s="862"/>
      <c r="F10" s="863"/>
      <c r="G10" s="864">
        <f>☆入力!D19</f>
        <v>0</v>
      </c>
      <c r="H10" s="864"/>
      <c r="I10" s="864"/>
      <c r="J10" s="864"/>
      <c r="K10" s="870">
        <f>☆入力!Y19</f>
        <v>0</v>
      </c>
      <c r="L10" s="870"/>
      <c r="M10" s="870"/>
      <c r="N10" s="870"/>
      <c r="O10" s="967" t="s">
        <v>342</v>
      </c>
      <c r="P10" s="968"/>
      <c r="Q10" s="870">
        <f>☆入力!AC19</f>
        <v>0</v>
      </c>
      <c r="R10" s="870"/>
      <c r="S10" s="870"/>
      <c r="T10" s="870"/>
      <c r="U10" s="970" t="str">
        <f t="shared" si="0"/>
        <v/>
      </c>
      <c r="V10" s="970"/>
      <c r="W10" s="970"/>
      <c r="Y10" s="63"/>
      <c r="AA10" s="924"/>
      <c r="AB10" s="924"/>
      <c r="AC10" s="924"/>
      <c r="AD10" s="924"/>
      <c r="AE10" s="924"/>
      <c r="AF10" s="924"/>
      <c r="AG10" s="924"/>
      <c r="AH10" s="924"/>
      <c r="AI10" s="924"/>
      <c r="AN10" s="957"/>
      <c r="AO10" s="957"/>
      <c r="AP10" s="957"/>
      <c r="AQ10" s="957"/>
      <c r="AR10" s="957"/>
      <c r="AS10" s="957"/>
      <c r="AT10" s="957"/>
      <c r="AU10" s="957"/>
      <c r="AV10" s="957"/>
      <c r="BA10" s="1034"/>
      <c r="BB10" s="1034"/>
      <c r="BC10" s="1034"/>
      <c r="BD10" s="1034"/>
      <c r="BE10" s="1034"/>
      <c r="BF10" s="1034"/>
      <c r="BG10" s="1034"/>
      <c r="BH10" s="1034"/>
      <c r="BI10" s="1034"/>
    </row>
    <row r="11" spans="1:61" s="4" customFormat="1" ht="21" customHeight="1">
      <c r="A11" s="860">
        <v>5</v>
      </c>
      <c r="B11" s="860"/>
      <c r="C11" s="861">
        <f>IF($C$5=☆入力!$B$15,☆入力!$B20,☆入力!$C20)</f>
        <v>0</v>
      </c>
      <c r="D11" s="862"/>
      <c r="E11" s="862"/>
      <c r="F11" s="863"/>
      <c r="G11" s="864">
        <f>☆入力!D20</f>
        <v>0</v>
      </c>
      <c r="H11" s="864"/>
      <c r="I11" s="864"/>
      <c r="J11" s="864"/>
      <c r="K11" s="870">
        <f>☆入力!Y20</f>
        <v>0</v>
      </c>
      <c r="L11" s="870"/>
      <c r="M11" s="870"/>
      <c r="N11" s="870"/>
      <c r="O11" s="967" t="s">
        <v>342</v>
      </c>
      <c r="P11" s="968"/>
      <c r="Q11" s="870">
        <f>☆入力!AC20</f>
        <v>0</v>
      </c>
      <c r="R11" s="870"/>
      <c r="S11" s="870"/>
      <c r="T11" s="870"/>
      <c r="U11" s="970" t="str">
        <f t="shared" si="0"/>
        <v/>
      </c>
      <c r="V11" s="970"/>
      <c r="W11" s="970"/>
      <c r="Y11" s="63"/>
      <c r="AA11" s="878" t="s">
        <v>345</v>
      </c>
      <c r="AB11" s="878"/>
      <c r="AC11" s="878"/>
      <c r="AD11" s="878"/>
      <c r="AE11" s="878"/>
      <c r="AF11" s="878"/>
      <c r="AG11" s="878"/>
      <c r="AH11" s="878"/>
      <c r="AI11" s="878"/>
      <c r="AJ11" s="878"/>
      <c r="AK11" s="878"/>
      <c r="AL11" s="878"/>
      <c r="AM11" s="878"/>
      <c r="AN11" s="878"/>
      <c r="AO11" s="878"/>
      <c r="AP11" s="878"/>
      <c r="AQ11" s="878"/>
      <c r="AR11" s="878"/>
      <c r="AS11" s="878"/>
      <c r="AT11" s="878"/>
      <c r="AU11" s="878"/>
      <c r="AV11" s="878"/>
    </row>
    <row r="12" spans="1:61" s="4" customFormat="1" ht="21" customHeight="1" thickBot="1">
      <c r="A12" s="860">
        <v>6</v>
      </c>
      <c r="B12" s="860"/>
      <c r="C12" s="861">
        <f>IF($C$5=☆入力!$B$15,☆入力!$B21,☆入力!$C21)</f>
        <v>0</v>
      </c>
      <c r="D12" s="862"/>
      <c r="E12" s="862"/>
      <c r="F12" s="863"/>
      <c r="G12" s="864">
        <f>☆入力!D21</f>
        <v>0</v>
      </c>
      <c r="H12" s="864"/>
      <c r="I12" s="864"/>
      <c r="J12" s="864"/>
      <c r="K12" s="870">
        <f>☆入力!Y21</f>
        <v>0</v>
      </c>
      <c r="L12" s="870"/>
      <c r="M12" s="870"/>
      <c r="N12" s="870"/>
      <c r="O12" s="967" t="s">
        <v>342</v>
      </c>
      <c r="P12" s="968"/>
      <c r="Q12" s="870">
        <f>☆入力!AC21</f>
        <v>0</v>
      </c>
      <c r="R12" s="870"/>
      <c r="S12" s="870"/>
      <c r="T12" s="870"/>
      <c r="U12" s="970" t="str">
        <f t="shared" si="0"/>
        <v/>
      </c>
      <c r="V12" s="970"/>
      <c r="W12" s="970"/>
      <c r="Y12" s="63"/>
      <c r="AA12" s="878"/>
      <c r="AB12" s="878"/>
      <c r="AC12" s="878"/>
      <c r="AD12" s="878"/>
      <c r="AE12" s="878"/>
      <c r="AF12" s="878"/>
      <c r="AG12" s="878"/>
      <c r="AH12" s="878"/>
      <c r="AI12" s="878"/>
      <c r="AJ12" s="878"/>
      <c r="AK12" s="878"/>
      <c r="AL12" s="878"/>
      <c r="AM12" s="878"/>
      <c r="AN12" s="878"/>
      <c r="AO12" s="878"/>
      <c r="AP12" s="878"/>
      <c r="AQ12" s="878"/>
      <c r="AR12" s="878"/>
      <c r="AS12" s="878"/>
      <c r="AT12" s="878"/>
      <c r="AU12" s="878"/>
      <c r="AV12" s="878"/>
    </row>
    <row r="13" spans="1:61" s="4" customFormat="1" ht="21" customHeight="1" thickTop="1">
      <c r="A13" s="860">
        <v>7</v>
      </c>
      <c r="B13" s="860"/>
      <c r="C13" s="861">
        <f>IF($C$5=☆入力!$B$15,☆入力!$B22,☆入力!$C22)</f>
        <v>0</v>
      </c>
      <c r="D13" s="862"/>
      <c r="E13" s="862"/>
      <c r="F13" s="863"/>
      <c r="G13" s="864">
        <f>☆入力!D22</f>
        <v>0</v>
      </c>
      <c r="H13" s="864"/>
      <c r="I13" s="864"/>
      <c r="J13" s="864"/>
      <c r="K13" s="870">
        <f>☆入力!Y22</f>
        <v>0</v>
      </c>
      <c r="L13" s="870"/>
      <c r="M13" s="870"/>
      <c r="N13" s="870"/>
      <c r="O13" s="967" t="s">
        <v>342</v>
      </c>
      <c r="P13" s="968"/>
      <c r="Q13" s="870">
        <f>☆入力!AC22</f>
        <v>0</v>
      </c>
      <c r="R13" s="870"/>
      <c r="S13" s="870"/>
      <c r="T13" s="870"/>
      <c r="U13" s="970" t="str">
        <f t="shared" si="0"/>
        <v/>
      </c>
      <c r="V13" s="970"/>
      <c r="W13" s="970"/>
      <c r="Y13" s="63"/>
      <c r="AA13" s="994">
        <f>②前a!$AS$13</f>
        <v>0</v>
      </c>
      <c r="AB13" s="995"/>
      <c r="AC13" s="995"/>
      <c r="AD13" s="995"/>
      <c r="AE13" s="995"/>
      <c r="AF13" s="995"/>
      <c r="AG13" s="995"/>
      <c r="AH13" s="995"/>
      <c r="AI13" s="996"/>
      <c r="AJ13" s="1013" t="s">
        <v>343</v>
      </c>
      <c r="AK13" s="1009"/>
      <c r="AL13" s="1009"/>
      <c r="AM13" s="1014"/>
      <c r="AN13" s="1021">
        <f>③後a!AS13</f>
        <v>0</v>
      </c>
      <c r="AO13" s="1022"/>
      <c r="AP13" s="1022"/>
      <c r="AQ13" s="1022"/>
      <c r="AR13" s="1022"/>
      <c r="AS13" s="1022"/>
      <c r="AT13" s="1022"/>
      <c r="AU13" s="1022"/>
      <c r="AV13" s="1023"/>
      <c r="AW13" s="1008" t="s">
        <v>344</v>
      </c>
      <c r="AX13" s="1009"/>
      <c r="AY13" s="1009"/>
      <c r="AZ13" s="1010"/>
      <c r="BA13" s="1035">
        <f>AA13-AN13</f>
        <v>0</v>
      </c>
      <c r="BB13" s="1036"/>
      <c r="BC13" s="1036"/>
      <c r="BD13" s="1036"/>
      <c r="BE13" s="1036"/>
      <c r="BF13" s="1036"/>
      <c r="BG13" s="1036"/>
      <c r="BH13" s="1036"/>
      <c r="BI13" s="1037"/>
    </row>
    <row r="14" spans="1:61" s="4" customFormat="1" ht="21" customHeight="1" thickBot="1">
      <c r="A14" s="860">
        <v>8</v>
      </c>
      <c r="B14" s="860"/>
      <c r="C14" s="861">
        <f>IF($C$5=☆入力!$B$15,☆入力!$B23,☆入力!$C23)</f>
        <v>0</v>
      </c>
      <c r="D14" s="862"/>
      <c r="E14" s="862"/>
      <c r="F14" s="863"/>
      <c r="G14" s="864">
        <f>☆入力!D23</f>
        <v>0</v>
      </c>
      <c r="H14" s="864"/>
      <c r="I14" s="864"/>
      <c r="J14" s="864"/>
      <c r="K14" s="870">
        <f>☆入力!Y23</f>
        <v>0</v>
      </c>
      <c r="L14" s="870"/>
      <c r="M14" s="870"/>
      <c r="N14" s="870"/>
      <c r="O14" s="967" t="s">
        <v>342</v>
      </c>
      <c r="P14" s="968"/>
      <c r="Q14" s="870">
        <f>☆入力!AC23</f>
        <v>0</v>
      </c>
      <c r="R14" s="870"/>
      <c r="S14" s="870"/>
      <c r="T14" s="870"/>
      <c r="U14" s="970" t="str">
        <f t="shared" si="0"/>
        <v/>
      </c>
      <c r="V14" s="970"/>
      <c r="W14" s="970"/>
      <c r="Y14" s="63"/>
      <c r="AA14" s="997"/>
      <c r="AB14" s="998"/>
      <c r="AC14" s="998"/>
      <c r="AD14" s="998"/>
      <c r="AE14" s="998"/>
      <c r="AF14" s="998"/>
      <c r="AG14" s="998"/>
      <c r="AH14" s="998"/>
      <c r="AI14" s="999"/>
      <c r="AJ14" s="1013"/>
      <c r="AK14" s="1009"/>
      <c r="AL14" s="1009"/>
      <c r="AM14" s="1014"/>
      <c r="AN14" s="1024"/>
      <c r="AO14" s="1025"/>
      <c r="AP14" s="1025"/>
      <c r="AQ14" s="1025"/>
      <c r="AR14" s="1025"/>
      <c r="AS14" s="1025"/>
      <c r="AT14" s="1025"/>
      <c r="AU14" s="1025"/>
      <c r="AV14" s="1026"/>
      <c r="AW14" s="1008"/>
      <c r="AX14" s="1009"/>
      <c r="AY14" s="1009"/>
      <c r="AZ14" s="1010"/>
      <c r="BA14" s="1038"/>
      <c r="BB14" s="1039"/>
      <c r="BC14" s="1039"/>
      <c r="BD14" s="1039"/>
      <c r="BE14" s="1039"/>
      <c r="BF14" s="1039"/>
      <c r="BG14" s="1039"/>
      <c r="BH14" s="1039"/>
      <c r="BI14" s="1040"/>
    </row>
    <row r="15" spans="1:61" s="4" customFormat="1" ht="21" customHeight="1" thickTop="1">
      <c r="A15" s="860">
        <v>9</v>
      </c>
      <c r="B15" s="860"/>
      <c r="C15" s="861">
        <f>IF($C$5=☆入力!$B$15,☆入力!$B24,☆入力!$C24)</f>
        <v>0</v>
      </c>
      <c r="D15" s="862"/>
      <c r="E15" s="862"/>
      <c r="F15" s="863"/>
      <c r="G15" s="864">
        <f>☆入力!D24</f>
        <v>0</v>
      </c>
      <c r="H15" s="864"/>
      <c r="I15" s="864"/>
      <c r="J15" s="864"/>
      <c r="K15" s="870">
        <f>☆入力!Y24</f>
        <v>0</v>
      </c>
      <c r="L15" s="870"/>
      <c r="M15" s="870"/>
      <c r="N15" s="870"/>
      <c r="O15" s="967" t="s">
        <v>342</v>
      </c>
      <c r="P15" s="968"/>
      <c r="Q15" s="870">
        <f>☆入力!AC24</f>
        <v>0</v>
      </c>
      <c r="R15" s="870"/>
      <c r="S15" s="870"/>
      <c r="T15" s="870"/>
      <c r="U15" s="970" t="str">
        <f t="shared" si="0"/>
        <v/>
      </c>
      <c r="V15" s="970"/>
      <c r="W15" s="970"/>
      <c r="Y15" s="63"/>
      <c r="AA15" s="924" t="s">
        <v>312</v>
      </c>
      <c r="AB15" s="924"/>
      <c r="AC15" s="924"/>
      <c r="AD15" s="924"/>
      <c r="AE15" s="924"/>
      <c r="AF15" s="924"/>
      <c r="AG15" s="924"/>
      <c r="AH15" s="924"/>
      <c r="AI15" s="924"/>
      <c r="AN15" s="957" t="s">
        <v>312</v>
      </c>
      <c r="AO15" s="957"/>
      <c r="AP15" s="957"/>
      <c r="AQ15" s="957"/>
      <c r="AR15" s="957"/>
      <c r="AS15" s="957"/>
      <c r="AT15" s="957"/>
      <c r="AU15" s="957"/>
      <c r="AV15" s="957"/>
      <c r="BA15" s="1034" t="s">
        <v>312</v>
      </c>
      <c r="BB15" s="1034"/>
      <c r="BC15" s="1034"/>
      <c r="BD15" s="1034"/>
      <c r="BE15" s="1034"/>
      <c r="BF15" s="1034"/>
      <c r="BG15" s="1034"/>
      <c r="BH15" s="1034"/>
      <c r="BI15" s="1034"/>
    </row>
    <row r="16" spans="1:61" s="4" customFormat="1" ht="21" customHeight="1">
      <c r="A16" s="860">
        <v>10</v>
      </c>
      <c r="B16" s="860"/>
      <c r="C16" s="861">
        <f>IF($C$5=☆入力!$B$15,☆入力!$B25,☆入力!$C25)</f>
        <v>0</v>
      </c>
      <c r="D16" s="862"/>
      <c r="E16" s="862"/>
      <c r="F16" s="863"/>
      <c r="G16" s="864">
        <f>☆入力!D25</f>
        <v>0</v>
      </c>
      <c r="H16" s="864"/>
      <c r="I16" s="864"/>
      <c r="J16" s="864"/>
      <c r="K16" s="870">
        <f>☆入力!Y25</f>
        <v>0</v>
      </c>
      <c r="L16" s="870"/>
      <c r="M16" s="870"/>
      <c r="N16" s="870"/>
      <c r="O16" s="967" t="s">
        <v>342</v>
      </c>
      <c r="P16" s="968"/>
      <c r="Q16" s="870">
        <f>☆入力!AC25</f>
        <v>0</v>
      </c>
      <c r="R16" s="870"/>
      <c r="S16" s="870"/>
      <c r="T16" s="870"/>
      <c r="U16" s="970" t="str">
        <f t="shared" si="0"/>
        <v/>
      </c>
      <c r="V16" s="970"/>
      <c r="W16" s="970"/>
      <c r="Y16" s="63"/>
      <c r="AA16" s="924"/>
      <c r="AB16" s="924"/>
      <c r="AC16" s="924"/>
      <c r="AD16" s="924"/>
      <c r="AE16" s="924"/>
      <c r="AF16" s="924"/>
      <c r="AG16" s="924"/>
      <c r="AH16" s="924"/>
      <c r="AI16" s="924"/>
      <c r="AN16" s="957"/>
      <c r="AO16" s="957"/>
      <c r="AP16" s="957"/>
      <c r="AQ16" s="957"/>
      <c r="AR16" s="957"/>
      <c r="AS16" s="957"/>
      <c r="AT16" s="957"/>
      <c r="AU16" s="957"/>
      <c r="AV16" s="957"/>
      <c r="BA16" s="1034"/>
      <c r="BB16" s="1034"/>
      <c r="BC16" s="1034"/>
      <c r="BD16" s="1034"/>
      <c r="BE16" s="1034"/>
      <c r="BF16" s="1034"/>
      <c r="BG16" s="1034"/>
      <c r="BH16" s="1034"/>
      <c r="BI16" s="1034"/>
    </row>
    <row r="17" spans="1:61" s="4" customFormat="1" ht="21" customHeight="1">
      <c r="A17" s="860">
        <v>11</v>
      </c>
      <c r="B17" s="860"/>
      <c r="C17" s="861">
        <f>IF($C$5=☆入力!$B$15,☆入力!$B26,☆入力!$C26)</f>
        <v>0</v>
      </c>
      <c r="D17" s="862"/>
      <c r="E17" s="862"/>
      <c r="F17" s="863"/>
      <c r="G17" s="864">
        <f>☆入力!D26</f>
        <v>0</v>
      </c>
      <c r="H17" s="864"/>
      <c r="I17" s="864"/>
      <c r="J17" s="864"/>
      <c r="K17" s="870">
        <f>☆入力!Y26</f>
        <v>0</v>
      </c>
      <c r="L17" s="870"/>
      <c r="M17" s="870"/>
      <c r="N17" s="870"/>
      <c r="O17" s="967" t="s">
        <v>342</v>
      </c>
      <c r="P17" s="968"/>
      <c r="Q17" s="870">
        <f>☆入力!AC26</f>
        <v>0</v>
      </c>
      <c r="R17" s="870"/>
      <c r="S17" s="870"/>
      <c r="T17" s="870"/>
      <c r="U17" s="970" t="str">
        <f t="shared" si="0"/>
        <v/>
      </c>
      <c r="V17" s="970"/>
      <c r="W17" s="970"/>
      <c r="Y17" s="63"/>
      <c r="AA17" s="878" t="s">
        <v>346</v>
      </c>
      <c r="AB17" s="878"/>
      <c r="AC17" s="878"/>
      <c r="AD17" s="878"/>
      <c r="AE17" s="878"/>
      <c r="AF17" s="878"/>
      <c r="AG17" s="878"/>
      <c r="AH17" s="878"/>
      <c r="AI17" s="878"/>
      <c r="AJ17" s="878"/>
      <c r="AK17" s="878"/>
      <c r="AL17" s="878"/>
      <c r="AM17" s="878"/>
      <c r="AN17" s="878"/>
      <c r="AO17" s="878"/>
      <c r="AP17" s="878"/>
      <c r="AQ17" s="878"/>
      <c r="AR17" s="878"/>
      <c r="AS17" s="878"/>
      <c r="AT17" s="878"/>
      <c r="AU17" s="878"/>
      <c r="AV17" s="878"/>
    </row>
    <row r="18" spans="1:61" s="4" customFormat="1" ht="21" customHeight="1" thickBot="1">
      <c r="A18" s="860">
        <v>12</v>
      </c>
      <c r="B18" s="860"/>
      <c r="C18" s="861">
        <f>IF($C$5=☆入力!$B$15,☆入力!$B27,☆入力!$C27)</f>
        <v>0</v>
      </c>
      <c r="D18" s="862"/>
      <c r="E18" s="862"/>
      <c r="F18" s="863"/>
      <c r="G18" s="864">
        <f>☆入力!D27</f>
        <v>0</v>
      </c>
      <c r="H18" s="864"/>
      <c r="I18" s="864"/>
      <c r="J18" s="864"/>
      <c r="K18" s="870">
        <f>☆入力!Y27</f>
        <v>0</v>
      </c>
      <c r="L18" s="870"/>
      <c r="M18" s="870"/>
      <c r="N18" s="870"/>
      <c r="O18" s="967" t="s">
        <v>342</v>
      </c>
      <c r="P18" s="968"/>
      <c r="Q18" s="870">
        <f>☆入力!AC27</f>
        <v>0</v>
      </c>
      <c r="R18" s="870"/>
      <c r="S18" s="870"/>
      <c r="T18" s="870"/>
      <c r="U18" s="970" t="str">
        <f t="shared" si="0"/>
        <v/>
      </c>
      <c r="V18" s="970"/>
      <c r="W18" s="970"/>
      <c r="Y18" s="63"/>
      <c r="AA18" s="878"/>
      <c r="AB18" s="878"/>
      <c r="AC18" s="878"/>
      <c r="AD18" s="878"/>
      <c r="AE18" s="878"/>
      <c r="AF18" s="878"/>
      <c r="AG18" s="878"/>
      <c r="AH18" s="878"/>
      <c r="AI18" s="878"/>
      <c r="AJ18" s="878"/>
      <c r="AK18" s="878"/>
      <c r="AL18" s="878"/>
      <c r="AM18" s="878"/>
      <c r="AN18" s="878"/>
      <c r="AO18" s="878"/>
      <c r="AP18" s="878"/>
      <c r="AQ18" s="878"/>
      <c r="AR18" s="878"/>
      <c r="AS18" s="878"/>
      <c r="AT18" s="878"/>
      <c r="AU18" s="878"/>
      <c r="AV18" s="878"/>
    </row>
    <row r="19" spans="1:61" s="4" customFormat="1" ht="21" customHeight="1" thickTop="1">
      <c r="A19" s="860">
        <v>13</v>
      </c>
      <c r="B19" s="860"/>
      <c r="C19" s="861">
        <f>IF($C$5=☆入力!$B$15,☆入力!$B28,☆入力!$C28)</f>
        <v>0</v>
      </c>
      <c r="D19" s="862"/>
      <c r="E19" s="862"/>
      <c r="F19" s="863"/>
      <c r="G19" s="864">
        <f>☆入力!D28</f>
        <v>0</v>
      </c>
      <c r="H19" s="864"/>
      <c r="I19" s="864"/>
      <c r="J19" s="864"/>
      <c r="K19" s="870">
        <f>☆入力!Y28</f>
        <v>0</v>
      </c>
      <c r="L19" s="870"/>
      <c r="M19" s="870"/>
      <c r="N19" s="870"/>
      <c r="O19" s="967" t="s">
        <v>342</v>
      </c>
      <c r="P19" s="968"/>
      <c r="Q19" s="870">
        <f>☆入力!AC28</f>
        <v>0</v>
      </c>
      <c r="R19" s="870"/>
      <c r="S19" s="870"/>
      <c r="T19" s="870"/>
      <c r="U19" s="970" t="str">
        <f t="shared" si="0"/>
        <v/>
      </c>
      <c r="V19" s="970"/>
      <c r="W19" s="970"/>
      <c r="Y19" s="63"/>
      <c r="AA19" s="994">
        <f>②前a!$AS$24</f>
        <v>0</v>
      </c>
      <c r="AB19" s="995"/>
      <c r="AC19" s="995"/>
      <c r="AD19" s="995"/>
      <c r="AE19" s="995"/>
      <c r="AF19" s="995"/>
      <c r="AG19" s="995"/>
      <c r="AH19" s="995"/>
      <c r="AI19" s="996"/>
      <c r="AJ19" s="1013" t="s">
        <v>343</v>
      </c>
      <c r="AK19" s="1009"/>
      <c r="AL19" s="1009"/>
      <c r="AM19" s="1014"/>
      <c r="AN19" s="1021">
        <f>③後a!AS24</f>
        <v>0</v>
      </c>
      <c r="AO19" s="1022"/>
      <c r="AP19" s="1022"/>
      <c r="AQ19" s="1022"/>
      <c r="AR19" s="1022"/>
      <c r="AS19" s="1022"/>
      <c r="AT19" s="1022"/>
      <c r="AU19" s="1022"/>
      <c r="AV19" s="1023"/>
      <c r="AW19" s="1008" t="s">
        <v>344</v>
      </c>
      <c r="AX19" s="1009"/>
      <c r="AY19" s="1009"/>
      <c r="AZ19" s="1010"/>
      <c r="BA19" s="1035">
        <f>AA19-AN19</f>
        <v>0</v>
      </c>
      <c r="BB19" s="1036"/>
      <c r="BC19" s="1036"/>
      <c r="BD19" s="1036"/>
      <c r="BE19" s="1036"/>
      <c r="BF19" s="1036"/>
      <c r="BG19" s="1036"/>
      <c r="BH19" s="1036"/>
      <c r="BI19" s="1037"/>
    </row>
    <row r="20" spans="1:61" s="4" customFormat="1" ht="21" customHeight="1" thickBot="1">
      <c r="A20" s="860">
        <v>14</v>
      </c>
      <c r="B20" s="860"/>
      <c r="C20" s="861">
        <f>IF($C$5=☆入力!$B$15,☆入力!$B29,☆入力!$C29)</f>
        <v>0</v>
      </c>
      <c r="D20" s="862"/>
      <c r="E20" s="862"/>
      <c r="F20" s="863"/>
      <c r="G20" s="864">
        <f>☆入力!D29</f>
        <v>0</v>
      </c>
      <c r="H20" s="864"/>
      <c r="I20" s="864"/>
      <c r="J20" s="864"/>
      <c r="K20" s="870">
        <f>☆入力!Y29</f>
        <v>0</v>
      </c>
      <c r="L20" s="870"/>
      <c r="M20" s="870"/>
      <c r="N20" s="870"/>
      <c r="O20" s="967" t="s">
        <v>342</v>
      </c>
      <c r="P20" s="968"/>
      <c r="Q20" s="870">
        <f>☆入力!AC29</f>
        <v>0</v>
      </c>
      <c r="R20" s="870"/>
      <c r="S20" s="870"/>
      <c r="T20" s="870"/>
      <c r="U20" s="970" t="str">
        <f t="shared" si="0"/>
        <v/>
      </c>
      <c r="V20" s="970"/>
      <c r="W20" s="970"/>
      <c r="Y20" s="63"/>
      <c r="AA20" s="997"/>
      <c r="AB20" s="998"/>
      <c r="AC20" s="998"/>
      <c r="AD20" s="998"/>
      <c r="AE20" s="998"/>
      <c r="AF20" s="998"/>
      <c r="AG20" s="998"/>
      <c r="AH20" s="998"/>
      <c r="AI20" s="999"/>
      <c r="AJ20" s="1013"/>
      <c r="AK20" s="1009"/>
      <c r="AL20" s="1009"/>
      <c r="AM20" s="1014"/>
      <c r="AN20" s="1024"/>
      <c r="AO20" s="1025"/>
      <c r="AP20" s="1025"/>
      <c r="AQ20" s="1025"/>
      <c r="AR20" s="1025"/>
      <c r="AS20" s="1025"/>
      <c r="AT20" s="1025"/>
      <c r="AU20" s="1025"/>
      <c r="AV20" s="1026"/>
      <c r="AW20" s="1008"/>
      <c r="AX20" s="1009"/>
      <c r="AY20" s="1009"/>
      <c r="AZ20" s="1010"/>
      <c r="BA20" s="1038"/>
      <c r="BB20" s="1039"/>
      <c r="BC20" s="1039"/>
      <c r="BD20" s="1039"/>
      <c r="BE20" s="1039"/>
      <c r="BF20" s="1039"/>
      <c r="BG20" s="1039"/>
      <c r="BH20" s="1039"/>
      <c r="BI20" s="1040"/>
    </row>
    <row r="21" spans="1:61" s="4" customFormat="1" ht="21" customHeight="1" thickTop="1">
      <c r="A21" s="860">
        <v>15</v>
      </c>
      <c r="B21" s="860"/>
      <c r="C21" s="861">
        <f>IF($C$5=☆入力!$B$15,☆入力!$B30,☆入力!$C30)</f>
        <v>0</v>
      </c>
      <c r="D21" s="862"/>
      <c r="E21" s="862"/>
      <c r="F21" s="863"/>
      <c r="G21" s="864">
        <f>☆入力!D30</f>
        <v>0</v>
      </c>
      <c r="H21" s="864"/>
      <c r="I21" s="864"/>
      <c r="J21" s="864"/>
      <c r="K21" s="870">
        <f>☆入力!Y30</f>
        <v>0</v>
      </c>
      <c r="L21" s="870"/>
      <c r="M21" s="870"/>
      <c r="N21" s="870"/>
      <c r="O21" s="967" t="s">
        <v>342</v>
      </c>
      <c r="P21" s="968"/>
      <c r="Q21" s="870">
        <f>☆入力!AC30</f>
        <v>0</v>
      </c>
      <c r="R21" s="870"/>
      <c r="S21" s="870"/>
      <c r="T21" s="870"/>
      <c r="U21" s="970" t="str">
        <f t="shared" si="0"/>
        <v/>
      </c>
      <c r="V21" s="970"/>
      <c r="W21" s="970"/>
      <c r="Y21" s="63"/>
    </row>
    <row r="22" spans="1:61" s="4" customFormat="1" ht="21" customHeight="1">
      <c r="A22" s="860">
        <v>16</v>
      </c>
      <c r="B22" s="860"/>
      <c r="C22" s="861">
        <f>IF($C$5=☆入力!$B$15,☆入力!$B31,☆入力!$C31)</f>
        <v>0</v>
      </c>
      <c r="D22" s="862"/>
      <c r="E22" s="862"/>
      <c r="F22" s="863"/>
      <c r="G22" s="864">
        <f>☆入力!D31</f>
        <v>0</v>
      </c>
      <c r="H22" s="864"/>
      <c r="I22" s="864"/>
      <c r="J22" s="864"/>
      <c r="K22" s="870">
        <f>☆入力!Y31</f>
        <v>0</v>
      </c>
      <c r="L22" s="870"/>
      <c r="M22" s="870"/>
      <c r="N22" s="870"/>
      <c r="O22" s="967" t="s">
        <v>342</v>
      </c>
      <c r="P22" s="968"/>
      <c r="Q22" s="870">
        <f>☆入力!AC31</f>
        <v>0</v>
      </c>
      <c r="R22" s="870"/>
      <c r="S22" s="870"/>
      <c r="T22" s="870"/>
      <c r="U22" s="970" t="str">
        <f t="shared" si="0"/>
        <v/>
      </c>
      <c r="V22" s="970"/>
      <c r="W22" s="970"/>
      <c r="Y22" s="63"/>
    </row>
    <row r="23" spans="1:61" s="4" customFormat="1" ht="21" customHeight="1">
      <c r="A23" s="860">
        <v>17</v>
      </c>
      <c r="B23" s="860"/>
      <c r="C23" s="861">
        <f>IF($C$5=☆入力!$B$15,☆入力!$B32,☆入力!$C32)</f>
        <v>0</v>
      </c>
      <c r="D23" s="862"/>
      <c r="E23" s="862"/>
      <c r="F23" s="863"/>
      <c r="G23" s="864">
        <f>☆入力!D32</f>
        <v>0</v>
      </c>
      <c r="H23" s="864"/>
      <c r="I23" s="864"/>
      <c r="J23" s="864"/>
      <c r="K23" s="870">
        <f>☆入力!Y32</f>
        <v>0</v>
      </c>
      <c r="L23" s="870"/>
      <c r="M23" s="870"/>
      <c r="N23" s="870"/>
      <c r="O23" s="967" t="s">
        <v>342</v>
      </c>
      <c r="P23" s="968"/>
      <c r="Q23" s="870">
        <f>☆入力!AC32</f>
        <v>0</v>
      </c>
      <c r="R23" s="870"/>
      <c r="S23" s="870"/>
      <c r="T23" s="870"/>
      <c r="U23" s="970" t="str">
        <f t="shared" si="0"/>
        <v/>
      </c>
      <c r="V23" s="970"/>
      <c r="W23" s="970"/>
      <c r="Y23" s="63"/>
    </row>
    <row r="24" spans="1:61" s="4" customFormat="1" ht="21" customHeight="1">
      <c r="A24" s="860">
        <v>18</v>
      </c>
      <c r="B24" s="860"/>
      <c r="C24" s="861">
        <f>IF($C$5=☆入力!$B$15,☆入力!$B33,☆入力!$C33)</f>
        <v>0</v>
      </c>
      <c r="D24" s="862"/>
      <c r="E24" s="862"/>
      <c r="F24" s="863"/>
      <c r="G24" s="864">
        <f>☆入力!D33</f>
        <v>0</v>
      </c>
      <c r="H24" s="864"/>
      <c r="I24" s="864"/>
      <c r="J24" s="864"/>
      <c r="K24" s="870">
        <f>☆入力!Y33</f>
        <v>0</v>
      </c>
      <c r="L24" s="870"/>
      <c r="M24" s="870"/>
      <c r="N24" s="870"/>
      <c r="O24" s="967" t="s">
        <v>342</v>
      </c>
      <c r="P24" s="968"/>
      <c r="Q24" s="870">
        <f>☆入力!AC33</f>
        <v>0</v>
      </c>
      <c r="R24" s="870"/>
      <c r="S24" s="870"/>
      <c r="T24" s="870"/>
      <c r="U24" s="970" t="str">
        <f t="shared" si="0"/>
        <v/>
      </c>
      <c r="V24" s="970"/>
      <c r="W24" s="970"/>
      <c r="Y24" s="63"/>
    </row>
    <row r="25" spans="1:61" s="4" customFormat="1" ht="21" customHeight="1">
      <c r="A25" s="860">
        <v>19</v>
      </c>
      <c r="B25" s="860"/>
      <c r="C25" s="861">
        <f>IF($C$5=☆入力!$B$15,☆入力!$B34,☆入力!$C34)</f>
        <v>0</v>
      </c>
      <c r="D25" s="862"/>
      <c r="E25" s="862"/>
      <c r="F25" s="863"/>
      <c r="G25" s="864">
        <f>☆入力!D34</f>
        <v>0</v>
      </c>
      <c r="H25" s="864"/>
      <c r="I25" s="864"/>
      <c r="J25" s="864"/>
      <c r="K25" s="870">
        <f>☆入力!Y34</f>
        <v>0</v>
      </c>
      <c r="L25" s="870"/>
      <c r="M25" s="870"/>
      <c r="N25" s="870"/>
      <c r="O25" s="967" t="s">
        <v>342</v>
      </c>
      <c r="P25" s="968"/>
      <c r="Q25" s="870">
        <f>☆入力!AC34</f>
        <v>0</v>
      </c>
      <c r="R25" s="870"/>
      <c r="S25" s="870"/>
      <c r="T25" s="870"/>
      <c r="U25" s="970" t="str">
        <f t="shared" si="0"/>
        <v/>
      </c>
      <c r="V25" s="970"/>
      <c r="W25" s="970"/>
      <c r="Y25" s="63"/>
    </row>
    <row r="26" spans="1:61" s="4" customFormat="1" ht="21" customHeight="1">
      <c r="A26" s="860">
        <v>20</v>
      </c>
      <c r="B26" s="860"/>
      <c r="C26" s="861">
        <f>IF($C$5=☆入力!$B$15,☆入力!$B35,☆入力!$C35)</f>
        <v>0</v>
      </c>
      <c r="D26" s="862"/>
      <c r="E26" s="862"/>
      <c r="F26" s="863"/>
      <c r="G26" s="864">
        <f>☆入力!D35</f>
        <v>0</v>
      </c>
      <c r="H26" s="864"/>
      <c r="I26" s="864"/>
      <c r="J26" s="864"/>
      <c r="K26" s="870">
        <f>☆入力!Y35</f>
        <v>0</v>
      </c>
      <c r="L26" s="870"/>
      <c r="M26" s="870"/>
      <c r="N26" s="870"/>
      <c r="O26" s="967" t="s">
        <v>342</v>
      </c>
      <c r="P26" s="968"/>
      <c r="Q26" s="870">
        <f>☆入力!AC35</f>
        <v>0</v>
      </c>
      <c r="R26" s="870"/>
      <c r="S26" s="870"/>
      <c r="T26" s="870"/>
      <c r="U26" s="970" t="str">
        <f t="shared" si="0"/>
        <v/>
      </c>
      <c r="V26" s="970"/>
      <c r="W26" s="970"/>
      <c r="Y26" s="63"/>
    </row>
    <row r="27" spans="1:61" s="4" customFormat="1" ht="21" customHeight="1">
      <c r="A27" s="860">
        <v>21</v>
      </c>
      <c r="B27" s="860"/>
      <c r="C27" s="861">
        <f>IF($C$5=☆入力!$B$15,☆入力!$B36,☆入力!$C36)</f>
        <v>0</v>
      </c>
      <c r="D27" s="862"/>
      <c r="E27" s="862"/>
      <c r="F27" s="863"/>
      <c r="G27" s="864">
        <f>☆入力!D36</f>
        <v>0</v>
      </c>
      <c r="H27" s="864"/>
      <c r="I27" s="864"/>
      <c r="J27" s="864"/>
      <c r="K27" s="870">
        <f>☆入力!Y36</f>
        <v>0</v>
      </c>
      <c r="L27" s="870"/>
      <c r="M27" s="870"/>
      <c r="N27" s="870"/>
      <c r="O27" s="967" t="s">
        <v>342</v>
      </c>
      <c r="P27" s="968"/>
      <c r="Q27" s="870">
        <f>☆入力!AC36</f>
        <v>0</v>
      </c>
      <c r="R27" s="870"/>
      <c r="S27" s="870"/>
      <c r="T27" s="870"/>
      <c r="U27" s="970" t="str">
        <f t="shared" si="0"/>
        <v/>
      </c>
      <c r="V27" s="970"/>
      <c r="W27" s="970"/>
      <c r="Y27" s="63"/>
      <c r="AA27" s="1009" t="s">
        <v>347</v>
      </c>
      <c r="AB27" s="1009"/>
      <c r="AC27" s="1009"/>
      <c r="AD27" s="1009"/>
      <c r="AE27" s="1009"/>
      <c r="AF27" s="1009"/>
      <c r="AG27" s="1009"/>
      <c r="AH27" s="1009"/>
      <c r="AI27" s="1009"/>
      <c r="AJ27" s="1009"/>
      <c r="AK27" s="1009"/>
      <c r="AL27" s="1009"/>
      <c r="AM27" s="1009"/>
      <c r="AN27" s="1009"/>
      <c r="AO27" s="1009"/>
      <c r="AP27" s="1009"/>
      <c r="AQ27" s="1009"/>
      <c r="AR27" s="1009"/>
      <c r="AS27" s="1009"/>
      <c r="AT27" s="1009"/>
      <c r="AU27" s="1009"/>
      <c r="AV27" s="1009"/>
      <c r="AW27" s="1009"/>
      <c r="AX27" s="1009"/>
      <c r="AY27" s="1009"/>
      <c r="AZ27" s="1009"/>
      <c r="BA27" s="1009"/>
      <c r="BB27" s="1009"/>
      <c r="BC27" s="1009"/>
      <c r="BD27" s="1009"/>
      <c r="BE27" s="1009"/>
      <c r="BF27" s="1009"/>
      <c r="BG27" s="1009"/>
      <c r="BH27" s="1009"/>
      <c r="BI27" s="1009"/>
    </row>
    <row r="28" spans="1:61" s="4" customFormat="1" ht="21" customHeight="1" thickBot="1">
      <c r="A28" s="860">
        <v>22</v>
      </c>
      <c r="B28" s="860"/>
      <c r="C28" s="861">
        <f>IF($C$5=☆入力!$B$15,☆入力!$B37,☆入力!$C37)</f>
        <v>0</v>
      </c>
      <c r="D28" s="862"/>
      <c r="E28" s="862"/>
      <c r="F28" s="863"/>
      <c r="G28" s="864">
        <f>☆入力!D37</f>
        <v>0</v>
      </c>
      <c r="H28" s="864"/>
      <c r="I28" s="864"/>
      <c r="J28" s="864"/>
      <c r="K28" s="870">
        <f>☆入力!Y37</f>
        <v>0</v>
      </c>
      <c r="L28" s="870"/>
      <c r="M28" s="870"/>
      <c r="N28" s="870"/>
      <c r="O28" s="967" t="s">
        <v>342</v>
      </c>
      <c r="P28" s="968"/>
      <c r="Q28" s="870">
        <f>☆入力!AC37</f>
        <v>0</v>
      </c>
      <c r="R28" s="870"/>
      <c r="S28" s="870"/>
      <c r="T28" s="870"/>
      <c r="U28" s="970" t="str">
        <f t="shared" si="0"/>
        <v/>
      </c>
      <c r="V28" s="970"/>
      <c r="W28" s="970"/>
      <c r="Y28" s="63"/>
      <c r="AA28" s="1009"/>
      <c r="AB28" s="1009"/>
      <c r="AC28" s="1009"/>
      <c r="AD28" s="1009"/>
      <c r="AE28" s="1009"/>
      <c r="AF28" s="1009"/>
      <c r="AG28" s="1009"/>
      <c r="AH28" s="1009"/>
      <c r="AI28" s="1009"/>
      <c r="AJ28" s="1009"/>
      <c r="AK28" s="1009"/>
      <c r="AL28" s="1009"/>
      <c r="AM28" s="1009"/>
      <c r="AN28" s="1009"/>
      <c r="AO28" s="1009"/>
      <c r="AP28" s="1009"/>
      <c r="AQ28" s="1009"/>
      <c r="AR28" s="1009"/>
      <c r="AS28" s="1009"/>
      <c r="AT28" s="1009"/>
      <c r="AU28" s="1009"/>
      <c r="AV28" s="1009"/>
      <c r="AW28" s="1009"/>
      <c r="AX28" s="1009"/>
      <c r="AY28" s="1009"/>
      <c r="AZ28" s="1009"/>
      <c r="BA28" s="1009"/>
      <c r="BB28" s="1009"/>
      <c r="BC28" s="1009"/>
      <c r="BD28" s="1009"/>
      <c r="BE28" s="1009"/>
      <c r="BF28" s="1009"/>
      <c r="BG28" s="1009"/>
      <c r="BH28" s="1009"/>
      <c r="BI28" s="1009"/>
    </row>
    <row r="29" spans="1:61" s="4" customFormat="1" ht="21" customHeight="1" thickTop="1">
      <c r="A29" s="860">
        <v>23</v>
      </c>
      <c r="B29" s="860"/>
      <c r="C29" s="861">
        <f>IF($C$5=☆入力!$B$15,☆入力!$B38,☆入力!$C38)</f>
        <v>0</v>
      </c>
      <c r="D29" s="862"/>
      <c r="E29" s="862"/>
      <c r="F29" s="863"/>
      <c r="G29" s="864">
        <f>☆入力!D38</f>
        <v>0</v>
      </c>
      <c r="H29" s="864"/>
      <c r="I29" s="864"/>
      <c r="J29" s="864"/>
      <c r="K29" s="870">
        <f>☆入力!Y38</f>
        <v>0</v>
      </c>
      <c r="L29" s="870"/>
      <c r="M29" s="870"/>
      <c r="N29" s="870"/>
      <c r="O29" s="967" t="s">
        <v>342</v>
      </c>
      <c r="P29" s="968"/>
      <c r="Q29" s="870">
        <f>☆入力!AC38</f>
        <v>0</v>
      </c>
      <c r="R29" s="870"/>
      <c r="S29" s="870"/>
      <c r="T29" s="870"/>
      <c r="U29" s="970" t="str">
        <f t="shared" si="0"/>
        <v/>
      </c>
      <c r="V29" s="970"/>
      <c r="W29" s="970"/>
      <c r="Y29" s="63"/>
      <c r="AA29" s="895">
        <f>AA7+AA13+AA19</f>
        <v>0</v>
      </c>
      <c r="AB29" s="896"/>
      <c r="AC29" s="896"/>
      <c r="AD29" s="896"/>
      <c r="AE29" s="896"/>
      <c r="AF29" s="896"/>
      <c r="AG29" s="896"/>
      <c r="AH29" s="896"/>
      <c r="AI29" s="897"/>
      <c r="AJ29" s="1013" t="s">
        <v>343</v>
      </c>
      <c r="AK29" s="1009"/>
      <c r="AL29" s="1009"/>
      <c r="AM29" s="1014"/>
      <c r="AN29" s="931">
        <f>AN7+AN13+AN19</f>
        <v>0</v>
      </c>
      <c r="AO29" s="932"/>
      <c r="AP29" s="932"/>
      <c r="AQ29" s="932"/>
      <c r="AR29" s="932"/>
      <c r="AS29" s="932"/>
      <c r="AT29" s="932"/>
      <c r="AU29" s="932"/>
      <c r="AV29" s="933"/>
      <c r="AW29" s="1008" t="s">
        <v>344</v>
      </c>
      <c r="AX29" s="1009"/>
      <c r="AY29" s="1009"/>
      <c r="AZ29" s="1010"/>
      <c r="BA29" s="1002">
        <f>AA29-AN29</f>
        <v>0</v>
      </c>
      <c r="BB29" s="1003"/>
      <c r="BC29" s="1003"/>
      <c r="BD29" s="1003"/>
      <c r="BE29" s="1003"/>
      <c r="BF29" s="1003"/>
      <c r="BG29" s="1003"/>
      <c r="BH29" s="1003"/>
      <c r="BI29" s="1004"/>
    </row>
    <row r="30" spans="1:61" s="4" customFormat="1" ht="21" customHeight="1" thickBot="1">
      <c r="A30" s="982">
        <v>24</v>
      </c>
      <c r="B30" s="982"/>
      <c r="C30" s="983">
        <f>IF($C$5=☆入力!$B$15,☆入力!$B39,☆入力!$C39)</f>
        <v>0</v>
      </c>
      <c r="D30" s="984"/>
      <c r="E30" s="984"/>
      <c r="F30" s="985"/>
      <c r="G30" s="986">
        <f>☆入力!D39</f>
        <v>0</v>
      </c>
      <c r="H30" s="986"/>
      <c r="I30" s="986"/>
      <c r="J30" s="986"/>
      <c r="K30" s="987">
        <f>☆入力!Y39</f>
        <v>0</v>
      </c>
      <c r="L30" s="987"/>
      <c r="M30" s="987"/>
      <c r="N30" s="987"/>
      <c r="O30" s="967" t="s">
        <v>342</v>
      </c>
      <c r="P30" s="968"/>
      <c r="Q30" s="987">
        <f>☆入力!AC39</f>
        <v>0</v>
      </c>
      <c r="R30" s="987"/>
      <c r="S30" s="987"/>
      <c r="T30" s="987"/>
      <c r="U30" s="1001" t="str">
        <f t="shared" si="0"/>
        <v/>
      </c>
      <c r="V30" s="1001"/>
      <c r="W30" s="1001"/>
      <c r="Y30" s="63"/>
      <c r="AA30" s="898"/>
      <c r="AB30" s="899"/>
      <c r="AC30" s="899"/>
      <c r="AD30" s="899"/>
      <c r="AE30" s="899"/>
      <c r="AF30" s="899"/>
      <c r="AG30" s="899"/>
      <c r="AH30" s="899"/>
      <c r="AI30" s="900"/>
      <c r="AJ30" s="1013"/>
      <c r="AK30" s="1009"/>
      <c r="AL30" s="1009"/>
      <c r="AM30" s="1014"/>
      <c r="AN30" s="934"/>
      <c r="AO30" s="935"/>
      <c r="AP30" s="935"/>
      <c r="AQ30" s="935"/>
      <c r="AR30" s="935"/>
      <c r="AS30" s="935"/>
      <c r="AT30" s="935"/>
      <c r="AU30" s="935"/>
      <c r="AV30" s="936"/>
      <c r="AW30" s="1008"/>
      <c r="AX30" s="1009"/>
      <c r="AY30" s="1009"/>
      <c r="AZ30" s="1010"/>
      <c r="BA30" s="1005"/>
      <c r="BB30" s="1006"/>
      <c r="BC30" s="1006"/>
      <c r="BD30" s="1006"/>
      <c r="BE30" s="1006"/>
      <c r="BF30" s="1006"/>
      <c r="BG30" s="1006"/>
      <c r="BH30" s="1006"/>
      <c r="BI30" s="1007"/>
    </row>
    <row r="31" spans="1:61" s="4" customFormat="1" ht="21" customHeight="1" thickTop="1">
      <c r="A31" s="860">
        <v>25</v>
      </c>
      <c r="B31" s="860"/>
      <c r="C31" s="861">
        <f>IF($C$5=☆入力!$B$15,☆入力!$B40,☆入力!$C40)</f>
        <v>0</v>
      </c>
      <c r="D31" s="862"/>
      <c r="E31" s="862"/>
      <c r="F31" s="863"/>
      <c r="G31" s="864">
        <f>☆入力!D40</f>
        <v>0</v>
      </c>
      <c r="H31" s="864"/>
      <c r="I31" s="864"/>
      <c r="J31" s="864"/>
      <c r="K31" s="870">
        <f>☆入力!Y40</f>
        <v>0</v>
      </c>
      <c r="L31" s="870"/>
      <c r="M31" s="870"/>
      <c r="N31" s="870"/>
      <c r="O31" s="967" t="s">
        <v>342</v>
      </c>
      <c r="P31" s="968"/>
      <c r="Q31" s="870">
        <f>☆入力!AC40</f>
        <v>0</v>
      </c>
      <c r="R31" s="870"/>
      <c r="S31" s="870"/>
      <c r="T31" s="870"/>
      <c r="U31" s="970" t="str">
        <f t="shared" si="0"/>
        <v/>
      </c>
      <c r="V31" s="970"/>
      <c r="W31" s="970"/>
      <c r="Y31" s="63"/>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row>
    <row r="32" spans="1:61" s="4" customFormat="1" ht="21" customHeight="1">
      <c r="A32" s="860">
        <v>26</v>
      </c>
      <c r="B32" s="860"/>
      <c r="C32" s="861">
        <f>IF($C$5=☆入力!$B$15,☆入力!$B41,☆入力!$C41)</f>
        <v>0</v>
      </c>
      <c r="D32" s="862"/>
      <c r="E32" s="862"/>
      <c r="F32" s="863"/>
      <c r="G32" s="864">
        <f>☆入力!D41</f>
        <v>0</v>
      </c>
      <c r="H32" s="864"/>
      <c r="I32" s="864"/>
      <c r="J32" s="864"/>
      <c r="K32" s="870">
        <f>☆入力!Y41</f>
        <v>0</v>
      </c>
      <c r="L32" s="870"/>
      <c r="M32" s="870"/>
      <c r="N32" s="870"/>
      <c r="O32" s="967" t="s">
        <v>342</v>
      </c>
      <c r="P32" s="968"/>
      <c r="Q32" s="870">
        <f>☆入力!AC41</f>
        <v>0</v>
      </c>
      <c r="R32" s="870"/>
      <c r="S32" s="870"/>
      <c r="T32" s="870"/>
      <c r="U32" s="970" t="str">
        <f>IFERROR(100%-(Q32/K32),"")</f>
        <v/>
      </c>
      <c r="V32" s="970"/>
      <c r="W32" s="970"/>
      <c r="Y32" s="63"/>
      <c r="Z32" s="14" t="s">
        <v>348</v>
      </c>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row>
    <row r="33" spans="1:61" s="4" customFormat="1" ht="21" customHeight="1">
      <c r="A33" s="860">
        <v>27</v>
      </c>
      <c r="B33" s="860"/>
      <c r="C33" s="861">
        <f>IF($C$5=☆入力!$B$15,☆入力!$B42,☆入力!$C42)</f>
        <v>0</v>
      </c>
      <c r="D33" s="862"/>
      <c r="E33" s="862"/>
      <c r="F33" s="863"/>
      <c r="G33" s="864">
        <f>☆入力!D42</f>
        <v>0</v>
      </c>
      <c r="H33" s="864"/>
      <c r="I33" s="864"/>
      <c r="J33" s="864"/>
      <c r="K33" s="870">
        <f>☆入力!Y42</f>
        <v>0</v>
      </c>
      <c r="L33" s="870"/>
      <c r="M33" s="870"/>
      <c r="N33" s="870"/>
      <c r="O33" s="967" t="s">
        <v>342</v>
      </c>
      <c r="P33" s="968"/>
      <c r="Q33" s="870">
        <f>☆入力!AC42</f>
        <v>0</v>
      </c>
      <c r="R33" s="870"/>
      <c r="S33" s="870"/>
      <c r="T33" s="870"/>
      <c r="U33" s="970" t="str">
        <f>IFERROR(100%-(Q33/K33),"")</f>
        <v/>
      </c>
      <c r="V33" s="970"/>
      <c r="W33" s="970"/>
      <c r="Y33" s="63"/>
      <c r="Z33" s="964">
        <f>☆入力!X2</f>
        <v>0</v>
      </c>
      <c r="AA33" s="965"/>
      <c r="AB33" s="965"/>
      <c r="AC33" s="965"/>
      <c r="AD33" s="965"/>
      <c r="AE33" s="965"/>
      <c r="AF33" s="965"/>
      <c r="AG33" s="965"/>
      <c r="AH33" s="965"/>
      <c r="AI33" s="965"/>
      <c r="AJ33" s="965"/>
      <c r="AK33" s="965"/>
      <c r="AL33" s="965"/>
      <c r="AM33" s="965"/>
      <c r="AN33" s="965"/>
      <c r="AO33" s="965"/>
      <c r="AP33" s="965"/>
      <c r="AQ33" s="965"/>
      <c r="AR33" s="965"/>
      <c r="AS33" s="965"/>
      <c r="AT33" s="965"/>
      <c r="AU33" s="965"/>
      <c r="AV33" s="965"/>
      <c r="AW33" s="965"/>
      <c r="AX33" s="965"/>
      <c r="AY33" s="965"/>
      <c r="AZ33" s="965"/>
      <c r="BA33" s="965"/>
      <c r="BB33" s="965"/>
      <c r="BC33" s="965"/>
      <c r="BD33" s="965"/>
      <c r="BE33" s="965"/>
      <c r="BF33" s="965"/>
      <c r="BG33" s="965"/>
      <c r="BH33" s="965"/>
      <c r="BI33" s="966"/>
    </row>
    <row r="34" spans="1:61" s="4" customFormat="1" ht="21" customHeight="1">
      <c r="A34" s="860">
        <v>28</v>
      </c>
      <c r="B34" s="860"/>
      <c r="C34" s="861">
        <f>IF($C$5=☆入力!$B$15,☆入力!$B43,☆入力!$C43)</f>
        <v>0</v>
      </c>
      <c r="D34" s="862"/>
      <c r="E34" s="862"/>
      <c r="F34" s="863"/>
      <c r="G34" s="864">
        <f>☆入力!D43</f>
        <v>0</v>
      </c>
      <c r="H34" s="864"/>
      <c r="I34" s="864"/>
      <c r="J34" s="864"/>
      <c r="K34" s="870">
        <f>☆入力!Y43</f>
        <v>0</v>
      </c>
      <c r="L34" s="870"/>
      <c r="M34" s="870"/>
      <c r="N34" s="870"/>
      <c r="O34" s="967" t="s">
        <v>342</v>
      </c>
      <c r="P34" s="968"/>
      <c r="Q34" s="870">
        <f>☆入力!AC43</f>
        <v>0</v>
      </c>
      <c r="R34" s="870"/>
      <c r="S34" s="870"/>
      <c r="T34" s="870"/>
      <c r="U34" s="970" t="str">
        <f>IFERROR(100%-(Q34/K34),"")</f>
        <v/>
      </c>
      <c r="V34" s="970"/>
      <c r="W34" s="970"/>
      <c r="Y34" s="63"/>
      <c r="Z34" s="958">
        <f>☆入力!X3</f>
        <v>0</v>
      </c>
      <c r="AA34" s="959"/>
      <c r="AB34" s="959"/>
      <c r="AC34" s="959"/>
      <c r="AD34" s="959"/>
      <c r="AE34" s="959"/>
      <c r="AF34" s="959"/>
      <c r="AG34" s="959"/>
      <c r="AH34" s="959"/>
      <c r="AI34" s="959"/>
      <c r="AJ34" s="959"/>
      <c r="AK34" s="959"/>
      <c r="AL34" s="959"/>
      <c r="AM34" s="959"/>
      <c r="AN34" s="959"/>
      <c r="AO34" s="959"/>
      <c r="AP34" s="959"/>
      <c r="AQ34" s="959"/>
      <c r="AR34" s="959"/>
      <c r="AS34" s="959"/>
      <c r="AT34" s="959"/>
      <c r="AU34" s="959"/>
      <c r="AV34" s="959"/>
      <c r="AW34" s="959"/>
      <c r="AX34" s="959"/>
      <c r="AY34" s="959"/>
      <c r="AZ34" s="959"/>
      <c r="BA34" s="959"/>
      <c r="BB34" s="959"/>
      <c r="BC34" s="959"/>
      <c r="BD34" s="959"/>
      <c r="BE34" s="959"/>
      <c r="BF34" s="959"/>
      <c r="BG34" s="959"/>
      <c r="BH34" s="959"/>
      <c r="BI34" s="960"/>
    </row>
    <row r="35" spans="1:61" s="4" customFormat="1" ht="21" customHeight="1">
      <c r="A35" s="860">
        <v>29</v>
      </c>
      <c r="B35" s="860"/>
      <c r="C35" s="861">
        <f>IF($C$5=☆入力!$B$15,☆入力!$B44,☆入力!$C44)</f>
        <v>0</v>
      </c>
      <c r="D35" s="862"/>
      <c r="E35" s="862"/>
      <c r="F35" s="863"/>
      <c r="G35" s="864">
        <f>☆入力!D44</f>
        <v>0</v>
      </c>
      <c r="H35" s="864"/>
      <c r="I35" s="864"/>
      <c r="J35" s="864"/>
      <c r="K35" s="870">
        <f>☆入力!Y44</f>
        <v>0</v>
      </c>
      <c r="L35" s="870"/>
      <c r="M35" s="870"/>
      <c r="N35" s="870"/>
      <c r="O35" s="967" t="s">
        <v>342</v>
      </c>
      <c r="P35" s="968"/>
      <c r="Q35" s="870">
        <f>☆入力!AC44</f>
        <v>0</v>
      </c>
      <c r="R35" s="870"/>
      <c r="S35" s="870"/>
      <c r="T35" s="870"/>
      <c r="U35" s="970" t="str">
        <f>IFERROR(100%-(Q35/K35),"")</f>
        <v/>
      </c>
      <c r="V35" s="970"/>
      <c r="W35" s="970"/>
      <c r="Y35" s="63"/>
      <c r="Z35" s="958">
        <f>☆入力!X4</f>
        <v>0</v>
      </c>
      <c r="AA35" s="959"/>
      <c r="AB35" s="959"/>
      <c r="AC35" s="959"/>
      <c r="AD35" s="959"/>
      <c r="AE35" s="959"/>
      <c r="AF35" s="959"/>
      <c r="AG35" s="959"/>
      <c r="AH35" s="959"/>
      <c r="AI35" s="959"/>
      <c r="AJ35" s="959"/>
      <c r="AK35" s="959"/>
      <c r="AL35" s="959"/>
      <c r="AM35" s="959"/>
      <c r="AN35" s="959"/>
      <c r="AO35" s="959"/>
      <c r="AP35" s="959"/>
      <c r="AQ35" s="959"/>
      <c r="AR35" s="959"/>
      <c r="AS35" s="959"/>
      <c r="AT35" s="959"/>
      <c r="AU35" s="959"/>
      <c r="AV35" s="959"/>
      <c r="AW35" s="959"/>
      <c r="AX35" s="959"/>
      <c r="AY35" s="959"/>
      <c r="AZ35" s="959"/>
      <c r="BA35" s="959"/>
      <c r="BB35" s="959"/>
      <c r="BC35" s="959"/>
      <c r="BD35" s="959"/>
      <c r="BE35" s="959"/>
      <c r="BF35" s="959"/>
      <c r="BG35" s="959"/>
      <c r="BH35" s="959"/>
      <c r="BI35" s="960"/>
    </row>
    <row r="36" spans="1:61" s="4" customFormat="1" ht="21" customHeight="1">
      <c r="A36" s="849">
        <v>30</v>
      </c>
      <c r="B36" s="849"/>
      <c r="C36" s="850">
        <f>IF($C$5=☆入力!$B$15,☆入力!$B45,☆入力!$C45)</f>
        <v>0</v>
      </c>
      <c r="D36" s="851"/>
      <c r="E36" s="851"/>
      <c r="F36" s="852"/>
      <c r="G36" s="853">
        <f>☆入力!D45</f>
        <v>0</v>
      </c>
      <c r="H36" s="853"/>
      <c r="I36" s="853"/>
      <c r="J36" s="853"/>
      <c r="K36" s="859">
        <f>☆入力!Y45</f>
        <v>0</v>
      </c>
      <c r="L36" s="859"/>
      <c r="M36" s="859"/>
      <c r="N36" s="859"/>
      <c r="O36" s="967" t="s">
        <v>342</v>
      </c>
      <c r="P36" s="968"/>
      <c r="Q36" s="859">
        <f>☆入力!AC45</f>
        <v>0</v>
      </c>
      <c r="R36" s="859"/>
      <c r="S36" s="859"/>
      <c r="T36" s="859"/>
      <c r="U36" s="969" t="str">
        <f>IFERROR(100%-(Q36/K36),"")</f>
        <v/>
      </c>
      <c r="V36" s="969"/>
      <c r="W36" s="969"/>
      <c r="Y36" s="63"/>
      <c r="Z36" s="958">
        <f>☆入力!X5</f>
        <v>0</v>
      </c>
      <c r="AA36" s="959"/>
      <c r="AB36" s="959"/>
      <c r="AC36" s="959"/>
      <c r="AD36" s="959"/>
      <c r="AE36" s="959"/>
      <c r="AF36" s="959"/>
      <c r="AG36" s="959"/>
      <c r="AH36" s="959"/>
      <c r="AI36" s="959"/>
      <c r="AJ36" s="959"/>
      <c r="AK36" s="959"/>
      <c r="AL36" s="959"/>
      <c r="AM36" s="959"/>
      <c r="AN36" s="959"/>
      <c r="AO36" s="959"/>
      <c r="AP36" s="959"/>
      <c r="AQ36" s="959"/>
      <c r="AR36" s="959"/>
      <c r="AS36" s="959"/>
      <c r="AT36" s="959"/>
      <c r="AU36" s="959"/>
      <c r="AV36" s="959"/>
      <c r="AW36" s="959"/>
      <c r="AX36" s="959"/>
      <c r="AY36" s="959"/>
      <c r="AZ36" s="959"/>
      <c r="BA36" s="959"/>
      <c r="BB36" s="959"/>
      <c r="BC36" s="959"/>
      <c r="BD36" s="959"/>
      <c r="BE36" s="959"/>
      <c r="BF36" s="959"/>
      <c r="BG36" s="959"/>
      <c r="BH36" s="959"/>
      <c r="BI36" s="960"/>
    </row>
    <row r="37" spans="1:61" s="14" customFormat="1" ht="21" customHeight="1">
      <c r="C37" s="479"/>
      <c r="D37" s="479"/>
      <c r="E37" s="479"/>
      <c r="F37" s="479"/>
      <c r="G37" s="479"/>
      <c r="H37" s="479"/>
      <c r="I37" s="479"/>
      <c r="J37" s="479"/>
      <c r="Y37" s="63"/>
      <c r="Z37" s="958">
        <f>☆入力!X6</f>
        <v>0</v>
      </c>
      <c r="AA37" s="959"/>
      <c r="AB37" s="959"/>
      <c r="AC37" s="959"/>
      <c r="AD37" s="959"/>
      <c r="AE37" s="959"/>
      <c r="AF37" s="959"/>
      <c r="AG37" s="959"/>
      <c r="AH37" s="959"/>
      <c r="AI37" s="959"/>
      <c r="AJ37" s="959"/>
      <c r="AK37" s="959"/>
      <c r="AL37" s="959"/>
      <c r="AM37" s="959"/>
      <c r="AN37" s="959"/>
      <c r="AO37" s="959"/>
      <c r="AP37" s="959"/>
      <c r="AQ37" s="959"/>
      <c r="AR37" s="959"/>
      <c r="AS37" s="959"/>
      <c r="AT37" s="959"/>
      <c r="AU37" s="959"/>
      <c r="AV37" s="959"/>
      <c r="AW37" s="959"/>
      <c r="AX37" s="959"/>
      <c r="AY37" s="959"/>
      <c r="AZ37" s="959"/>
      <c r="BA37" s="959"/>
      <c r="BB37" s="959"/>
      <c r="BC37" s="959"/>
      <c r="BD37" s="959"/>
      <c r="BE37" s="959"/>
      <c r="BF37" s="959"/>
      <c r="BG37" s="959"/>
      <c r="BH37" s="959"/>
      <c r="BI37" s="960"/>
    </row>
    <row r="38" spans="1:61" s="14" customFormat="1" ht="21" customHeight="1">
      <c r="C38" s="479"/>
      <c r="D38" s="479"/>
      <c r="E38" s="479"/>
      <c r="F38" s="479"/>
      <c r="G38" s="479"/>
      <c r="H38" s="479"/>
      <c r="I38" s="479"/>
      <c r="J38" s="479"/>
      <c r="K38" s="990">
        <f>SUM(K7:N36)</f>
        <v>0</v>
      </c>
      <c r="L38" s="990"/>
      <c r="M38" s="990"/>
      <c r="N38" s="990"/>
      <c r="O38" s="992" t="s">
        <v>342</v>
      </c>
      <c r="P38" s="993"/>
      <c r="Q38" s="990">
        <f>SUM(Q7:T36)</f>
        <v>0</v>
      </c>
      <c r="R38" s="990"/>
      <c r="S38" s="990"/>
      <c r="T38" s="990"/>
      <c r="U38" s="1011" t="str">
        <f>IFERROR(100%-(Q38/K38),"")</f>
        <v/>
      </c>
      <c r="V38" s="1011"/>
      <c r="W38" s="1011"/>
      <c r="Y38" s="63"/>
      <c r="Z38" s="958">
        <f>☆入力!X7</f>
        <v>0</v>
      </c>
      <c r="AA38" s="959"/>
      <c r="AB38" s="959"/>
      <c r="AC38" s="959"/>
      <c r="AD38" s="959"/>
      <c r="AE38" s="959"/>
      <c r="AF38" s="959"/>
      <c r="AG38" s="959"/>
      <c r="AH38" s="959"/>
      <c r="AI38" s="959"/>
      <c r="AJ38" s="959"/>
      <c r="AK38" s="959"/>
      <c r="AL38" s="959"/>
      <c r="AM38" s="959"/>
      <c r="AN38" s="959"/>
      <c r="AO38" s="959"/>
      <c r="AP38" s="959"/>
      <c r="AQ38" s="959"/>
      <c r="AR38" s="959"/>
      <c r="AS38" s="959"/>
      <c r="AT38" s="959"/>
      <c r="AU38" s="959"/>
      <c r="AV38" s="959"/>
      <c r="AW38" s="959"/>
      <c r="AX38" s="959"/>
      <c r="AY38" s="959"/>
      <c r="AZ38" s="959"/>
      <c r="BA38" s="959"/>
      <c r="BB38" s="959"/>
      <c r="BC38" s="959"/>
      <c r="BD38" s="959"/>
      <c r="BE38" s="959"/>
      <c r="BF38" s="959"/>
      <c r="BG38" s="959"/>
      <c r="BH38" s="959"/>
      <c r="BI38" s="960"/>
    </row>
    <row r="39" spans="1:61" s="14" customFormat="1" ht="21" customHeight="1">
      <c r="C39" s="15"/>
      <c r="D39" s="15"/>
      <c r="E39" s="15"/>
      <c r="F39" s="15"/>
      <c r="G39" s="15"/>
      <c r="H39" s="15"/>
      <c r="I39" s="15"/>
      <c r="J39" s="15"/>
      <c r="K39" s="991"/>
      <c r="L39" s="991"/>
      <c r="M39" s="991"/>
      <c r="N39" s="991"/>
      <c r="O39" s="992"/>
      <c r="P39" s="993"/>
      <c r="Q39" s="991"/>
      <c r="R39" s="991"/>
      <c r="S39" s="991"/>
      <c r="T39" s="991"/>
      <c r="U39" s="1012"/>
      <c r="V39" s="1012"/>
      <c r="W39" s="1012"/>
      <c r="Y39" s="63"/>
      <c r="Z39" s="958">
        <f>☆入力!X8</f>
        <v>0</v>
      </c>
      <c r="AA39" s="959"/>
      <c r="AB39" s="959"/>
      <c r="AC39" s="959"/>
      <c r="AD39" s="959"/>
      <c r="AE39" s="959"/>
      <c r="AF39" s="959"/>
      <c r="AG39" s="959"/>
      <c r="AH39" s="959"/>
      <c r="AI39" s="959"/>
      <c r="AJ39" s="959"/>
      <c r="AK39" s="959"/>
      <c r="AL39" s="959"/>
      <c r="AM39" s="959"/>
      <c r="AN39" s="959"/>
      <c r="AO39" s="959"/>
      <c r="AP39" s="959"/>
      <c r="AQ39" s="959"/>
      <c r="AR39" s="959"/>
      <c r="AS39" s="959"/>
      <c r="AT39" s="959"/>
      <c r="AU39" s="959"/>
      <c r="AV39" s="959"/>
      <c r="AW39" s="959"/>
      <c r="AX39" s="959"/>
      <c r="AY39" s="959"/>
      <c r="AZ39" s="959"/>
      <c r="BA39" s="959"/>
      <c r="BB39" s="959"/>
      <c r="BC39" s="959"/>
      <c r="BD39" s="959"/>
      <c r="BE39" s="959"/>
      <c r="BF39" s="959"/>
      <c r="BG39" s="959"/>
      <c r="BH39" s="959"/>
      <c r="BI39" s="960"/>
    </row>
    <row r="40" spans="1:61" s="14" customFormat="1" ht="21" customHeight="1" thickBot="1">
      <c r="A40" s="75"/>
      <c r="C40" s="15"/>
      <c r="D40" s="15"/>
      <c r="E40" s="15"/>
      <c r="F40" s="15"/>
      <c r="G40" s="75"/>
      <c r="H40" s="15"/>
      <c r="I40" s="15"/>
      <c r="J40" s="15"/>
      <c r="K40" s="75"/>
      <c r="Q40" s="15"/>
      <c r="R40" s="15"/>
      <c r="Y40" s="63"/>
      <c r="Z40" s="958">
        <f>☆入力!X9</f>
        <v>0</v>
      </c>
      <c r="AA40" s="959"/>
      <c r="AB40" s="959"/>
      <c r="AC40" s="959"/>
      <c r="AD40" s="959"/>
      <c r="AE40" s="959"/>
      <c r="AF40" s="959"/>
      <c r="AG40" s="959"/>
      <c r="AH40" s="959"/>
      <c r="AI40" s="959"/>
      <c r="AJ40" s="959"/>
      <c r="AK40" s="959"/>
      <c r="AL40" s="959"/>
      <c r="AM40" s="959"/>
      <c r="AN40" s="959"/>
      <c r="AO40" s="959"/>
      <c r="AP40" s="959"/>
      <c r="AQ40" s="959"/>
      <c r="AR40" s="959"/>
      <c r="AS40" s="959"/>
      <c r="AT40" s="959"/>
      <c r="AU40" s="959"/>
      <c r="AV40" s="959"/>
      <c r="AW40" s="959"/>
      <c r="AX40" s="959"/>
      <c r="AY40" s="959"/>
      <c r="AZ40" s="959"/>
      <c r="BA40" s="959"/>
      <c r="BB40" s="959"/>
      <c r="BC40" s="959"/>
      <c r="BD40" s="959"/>
      <c r="BE40" s="959"/>
      <c r="BF40" s="959"/>
      <c r="BG40" s="959"/>
      <c r="BH40" s="959"/>
      <c r="BI40" s="960"/>
    </row>
    <row r="41" spans="1:61" ht="21" customHeight="1" thickTop="1">
      <c r="A41" s="980" t="s">
        <v>349</v>
      </c>
      <c r="B41" s="980"/>
      <c r="C41" s="980"/>
      <c r="D41" s="980"/>
      <c r="E41" s="980"/>
      <c r="F41" s="980"/>
      <c r="G41" s="980"/>
      <c r="H41" s="980"/>
      <c r="I41" s="980"/>
      <c r="J41" s="980"/>
      <c r="K41" s="980"/>
      <c r="L41" s="980"/>
      <c r="M41" s="980"/>
      <c r="N41" s="980"/>
      <c r="O41" s="980"/>
      <c r="P41" s="981"/>
      <c r="Q41" s="971">
        <f>K38-Q38</f>
        <v>0</v>
      </c>
      <c r="R41" s="972"/>
      <c r="S41" s="972"/>
      <c r="T41" s="972"/>
      <c r="U41" s="972"/>
      <c r="V41" s="972"/>
      <c r="W41" s="973"/>
      <c r="Y41" s="63"/>
      <c r="Z41" s="958">
        <f>☆入力!X10</f>
        <v>0</v>
      </c>
      <c r="AA41" s="959"/>
      <c r="AB41" s="959"/>
      <c r="AC41" s="959"/>
      <c r="AD41" s="959"/>
      <c r="AE41" s="959"/>
      <c r="AF41" s="959"/>
      <c r="AG41" s="959"/>
      <c r="AH41" s="959"/>
      <c r="AI41" s="959"/>
      <c r="AJ41" s="959"/>
      <c r="AK41" s="959"/>
      <c r="AL41" s="959"/>
      <c r="AM41" s="959"/>
      <c r="AN41" s="959"/>
      <c r="AO41" s="959"/>
      <c r="AP41" s="959"/>
      <c r="AQ41" s="959"/>
      <c r="AR41" s="959"/>
      <c r="AS41" s="959"/>
      <c r="AT41" s="959"/>
      <c r="AU41" s="959"/>
      <c r="AV41" s="959"/>
      <c r="AW41" s="959"/>
      <c r="AX41" s="959"/>
      <c r="AY41" s="959"/>
      <c r="AZ41" s="959"/>
      <c r="BA41" s="959"/>
      <c r="BB41" s="959"/>
      <c r="BC41" s="959"/>
      <c r="BD41" s="959"/>
      <c r="BE41" s="959"/>
      <c r="BF41" s="959"/>
      <c r="BG41" s="959"/>
      <c r="BH41" s="959"/>
      <c r="BI41" s="960"/>
    </row>
    <row r="42" spans="1:61" ht="21" customHeight="1" thickBot="1">
      <c r="A42" s="980"/>
      <c r="B42" s="980"/>
      <c r="C42" s="980"/>
      <c r="D42" s="980"/>
      <c r="E42" s="980"/>
      <c r="F42" s="980"/>
      <c r="G42" s="980"/>
      <c r="H42" s="980"/>
      <c r="I42" s="980"/>
      <c r="J42" s="980"/>
      <c r="K42" s="980"/>
      <c r="L42" s="980"/>
      <c r="M42" s="980"/>
      <c r="N42" s="980"/>
      <c r="O42" s="980"/>
      <c r="P42" s="981"/>
      <c r="Q42" s="974"/>
      <c r="R42" s="975"/>
      <c r="S42" s="975"/>
      <c r="T42" s="975"/>
      <c r="U42" s="975"/>
      <c r="V42" s="975"/>
      <c r="W42" s="976"/>
      <c r="Y42" s="63"/>
      <c r="Z42" s="961">
        <f>☆入力!X11</f>
        <v>0</v>
      </c>
      <c r="AA42" s="962"/>
      <c r="AB42" s="962"/>
      <c r="AC42" s="962"/>
      <c r="AD42" s="962"/>
      <c r="AE42" s="962"/>
      <c r="AF42" s="962"/>
      <c r="AG42" s="962"/>
      <c r="AH42" s="962"/>
      <c r="AI42" s="962"/>
      <c r="AJ42" s="962"/>
      <c r="AK42" s="962"/>
      <c r="AL42" s="962"/>
      <c r="AM42" s="962"/>
      <c r="AN42" s="962"/>
      <c r="AO42" s="962"/>
      <c r="AP42" s="962"/>
      <c r="AQ42" s="962"/>
      <c r="AR42" s="962"/>
      <c r="AS42" s="962"/>
      <c r="AT42" s="962"/>
      <c r="AU42" s="962"/>
      <c r="AV42" s="962"/>
      <c r="AW42" s="962"/>
      <c r="AX42" s="962"/>
      <c r="AY42" s="962"/>
      <c r="AZ42" s="962"/>
      <c r="BA42" s="962"/>
      <c r="BB42" s="962"/>
      <c r="BC42" s="962"/>
      <c r="BD42" s="962"/>
      <c r="BE42" s="962"/>
      <c r="BF42" s="962"/>
      <c r="BG42" s="962"/>
      <c r="BH42" s="962"/>
      <c r="BI42" s="963"/>
    </row>
    <row r="43" spans="1:61" ht="21" customHeight="1" thickTop="1">
      <c r="Y43" s="4"/>
    </row>
    <row r="44" spans="1:61" ht="21" customHeight="1">
      <c r="A44" s="58" t="s">
        <v>350</v>
      </c>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310">
        <v>5</v>
      </c>
    </row>
  </sheetData>
  <mergeCells count="268">
    <mergeCell ref="AN3:AV4"/>
    <mergeCell ref="BA3:BI4"/>
    <mergeCell ref="AA27:BI28"/>
    <mergeCell ref="O10:P10"/>
    <mergeCell ref="O11:P11"/>
    <mergeCell ref="Q3:W3"/>
    <mergeCell ref="AA5:AV6"/>
    <mergeCell ref="AA11:AV12"/>
    <mergeCell ref="AA13:AI14"/>
    <mergeCell ref="AN13:AV14"/>
    <mergeCell ref="O12:P12"/>
    <mergeCell ref="O13:P13"/>
    <mergeCell ref="O14:P14"/>
    <mergeCell ref="AA17:AV18"/>
    <mergeCell ref="AA19:AI20"/>
    <mergeCell ref="AN19:AV20"/>
    <mergeCell ref="AJ7:AM8"/>
    <mergeCell ref="U5:W5"/>
    <mergeCell ref="AN7:AV8"/>
    <mergeCell ref="BA7:BI8"/>
    <mergeCell ref="BA9:BI10"/>
    <mergeCell ref="BA13:BI14"/>
    <mergeCell ref="BA15:BI16"/>
    <mergeCell ref="BA19:BI20"/>
    <mergeCell ref="Q5:T5"/>
    <mergeCell ref="BA29:BI30"/>
    <mergeCell ref="AW7:AZ8"/>
    <mergeCell ref="AW13:AZ14"/>
    <mergeCell ref="AW19:AZ20"/>
    <mergeCell ref="AW29:AZ30"/>
    <mergeCell ref="U31:W31"/>
    <mergeCell ref="U38:W39"/>
    <mergeCell ref="AA9:AI10"/>
    <mergeCell ref="AA15:AI16"/>
    <mergeCell ref="AN9:AV10"/>
    <mergeCell ref="AN15:AV16"/>
    <mergeCell ref="AA29:AI30"/>
    <mergeCell ref="AN29:AV30"/>
    <mergeCell ref="AJ13:AM14"/>
    <mergeCell ref="AJ19:AM20"/>
    <mergeCell ref="AJ29:AM30"/>
    <mergeCell ref="U21:W21"/>
    <mergeCell ref="U22:W22"/>
    <mergeCell ref="U23:W23"/>
    <mergeCell ref="U24:W24"/>
    <mergeCell ref="U25:W25"/>
    <mergeCell ref="U26:W26"/>
    <mergeCell ref="U27:W27"/>
    <mergeCell ref="U15:W15"/>
    <mergeCell ref="U16:W16"/>
    <mergeCell ref="U17:W17"/>
    <mergeCell ref="U18:W18"/>
    <mergeCell ref="U19:W19"/>
    <mergeCell ref="U20:W20"/>
    <mergeCell ref="O16:P16"/>
    <mergeCell ref="O17:P17"/>
    <mergeCell ref="Q16:T16"/>
    <mergeCell ref="Q17:T17"/>
    <mergeCell ref="O15:P15"/>
    <mergeCell ref="Q15:T15"/>
    <mergeCell ref="U30:W30"/>
    <mergeCell ref="O25:P25"/>
    <mergeCell ref="O18:P18"/>
    <mergeCell ref="O19:P19"/>
    <mergeCell ref="O20:P20"/>
    <mergeCell ref="O21:P21"/>
    <mergeCell ref="O22:P22"/>
    <mergeCell ref="O23:P23"/>
    <mergeCell ref="O24:P24"/>
    <mergeCell ref="Q18:T18"/>
    <mergeCell ref="Q19:T19"/>
    <mergeCell ref="Q20:T20"/>
    <mergeCell ref="Q21:T21"/>
    <mergeCell ref="Q22:T22"/>
    <mergeCell ref="Q23:T23"/>
    <mergeCell ref="Q24:T24"/>
    <mergeCell ref="Q25:T25"/>
    <mergeCell ref="Q26:T26"/>
    <mergeCell ref="Q27:T27"/>
    <mergeCell ref="Q28:T28"/>
    <mergeCell ref="U28:W28"/>
    <mergeCell ref="U29:W29"/>
    <mergeCell ref="Q11:T11"/>
    <mergeCell ref="Q14:T14"/>
    <mergeCell ref="AA7:AI8"/>
    <mergeCell ref="U7:W7"/>
    <mergeCell ref="U8:W8"/>
    <mergeCell ref="U9:W9"/>
    <mergeCell ref="U10:W10"/>
    <mergeCell ref="U11:W11"/>
    <mergeCell ref="U12:W12"/>
    <mergeCell ref="U13:W13"/>
    <mergeCell ref="U14:W14"/>
    <mergeCell ref="AA3:AI4"/>
    <mergeCell ref="O7:P7"/>
    <mergeCell ref="O8:P8"/>
    <mergeCell ref="O9:P9"/>
    <mergeCell ref="Q29:T29"/>
    <mergeCell ref="Q30:T30"/>
    <mergeCell ref="Q31:T31"/>
    <mergeCell ref="Q38:T39"/>
    <mergeCell ref="K31:N31"/>
    <mergeCell ref="K38:N39"/>
    <mergeCell ref="O26:P26"/>
    <mergeCell ref="O27:P27"/>
    <mergeCell ref="O28:P28"/>
    <mergeCell ref="O29:P29"/>
    <mergeCell ref="O30:P30"/>
    <mergeCell ref="O31:P31"/>
    <mergeCell ref="O38:P39"/>
    <mergeCell ref="K20:N20"/>
    <mergeCell ref="Q7:T7"/>
    <mergeCell ref="Q8:T8"/>
    <mergeCell ref="Q9:T9"/>
    <mergeCell ref="Q12:T12"/>
    <mergeCell ref="Q10:T10"/>
    <mergeCell ref="Q13:T13"/>
    <mergeCell ref="A29:B29"/>
    <mergeCell ref="C29:F29"/>
    <mergeCell ref="G29:J29"/>
    <mergeCell ref="A31:B31"/>
    <mergeCell ref="C31:F31"/>
    <mergeCell ref="G31:J31"/>
    <mergeCell ref="K29:N29"/>
    <mergeCell ref="A30:B30"/>
    <mergeCell ref="C30:F30"/>
    <mergeCell ref="G30:J30"/>
    <mergeCell ref="K30:N30"/>
    <mergeCell ref="A28:B28"/>
    <mergeCell ref="C28:F28"/>
    <mergeCell ref="G28:J28"/>
    <mergeCell ref="A27:B27"/>
    <mergeCell ref="C27:F27"/>
    <mergeCell ref="G27:J27"/>
    <mergeCell ref="K28:N28"/>
    <mergeCell ref="A26:B26"/>
    <mergeCell ref="C26:F26"/>
    <mergeCell ref="G26:J26"/>
    <mergeCell ref="K26:N26"/>
    <mergeCell ref="K27:N27"/>
    <mergeCell ref="A24:B24"/>
    <mergeCell ref="C24:F24"/>
    <mergeCell ref="G24:J24"/>
    <mergeCell ref="K24:N24"/>
    <mergeCell ref="A25:B25"/>
    <mergeCell ref="C25:F25"/>
    <mergeCell ref="G25:J25"/>
    <mergeCell ref="K25:N25"/>
    <mergeCell ref="A22:B22"/>
    <mergeCell ref="C22:F22"/>
    <mergeCell ref="G22:J22"/>
    <mergeCell ref="K22:N22"/>
    <mergeCell ref="A23:B23"/>
    <mergeCell ref="C23:F23"/>
    <mergeCell ref="G23:J23"/>
    <mergeCell ref="K23:N23"/>
    <mergeCell ref="A21:B21"/>
    <mergeCell ref="C21:F21"/>
    <mergeCell ref="G21:J21"/>
    <mergeCell ref="A20:B20"/>
    <mergeCell ref="C20:F20"/>
    <mergeCell ref="G20:J20"/>
    <mergeCell ref="K21:N21"/>
    <mergeCell ref="A18:B18"/>
    <mergeCell ref="C18:F18"/>
    <mergeCell ref="G18:J18"/>
    <mergeCell ref="K18:N18"/>
    <mergeCell ref="A19:B19"/>
    <mergeCell ref="C19:F19"/>
    <mergeCell ref="G19:J19"/>
    <mergeCell ref="K19:N19"/>
    <mergeCell ref="A16:B16"/>
    <mergeCell ref="C16:F16"/>
    <mergeCell ref="G16:J16"/>
    <mergeCell ref="K16:N16"/>
    <mergeCell ref="A17:B17"/>
    <mergeCell ref="C17:F17"/>
    <mergeCell ref="G17:J17"/>
    <mergeCell ref="K17:N17"/>
    <mergeCell ref="A15:B15"/>
    <mergeCell ref="C15:F15"/>
    <mergeCell ref="G15:J15"/>
    <mergeCell ref="K15:N15"/>
    <mergeCell ref="C12:F12"/>
    <mergeCell ref="G12:J12"/>
    <mergeCell ref="K12:N12"/>
    <mergeCell ref="K9:N9"/>
    <mergeCell ref="A10:B10"/>
    <mergeCell ref="C10:F10"/>
    <mergeCell ref="G10:J10"/>
    <mergeCell ref="K10:N10"/>
    <mergeCell ref="A14:B14"/>
    <mergeCell ref="C14:F14"/>
    <mergeCell ref="G14:J14"/>
    <mergeCell ref="A13:B13"/>
    <mergeCell ref="C13:F13"/>
    <mergeCell ref="G13:J13"/>
    <mergeCell ref="K13:N13"/>
    <mergeCell ref="K14:N14"/>
    <mergeCell ref="A1:BI1"/>
    <mergeCell ref="Q41:W42"/>
    <mergeCell ref="K3:N3"/>
    <mergeCell ref="K5:N5"/>
    <mergeCell ref="A7:B7"/>
    <mergeCell ref="C7:F7"/>
    <mergeCell ref="G7:J7"/>
    <mergeCell ref="A5:B5"/>
    <mergeCell ref="C5:F5"/>
    <mergeCell ref="G5:J5"/>
    <mergeCell ref="K7:N7"/>
    <mergeCell ref="A8:B8"/>
    <mergeCell ref="C8:F8"/>
    <mergeCell ref="G8:J8"/>
    <mergeCell ref="K8:N8"/>
    <mergeCell ref="A9:B9"/>
    <mergeCell ref="C9:F9"/>
    <mergeCell ref="G9:J9"/>
    <mergeCell ref="A41:P42"/>
    <mergeCell ref="A11:B11"/>
    <mergeCell ref="C11:F11"/>
    <mergeCell ref="G11:J11"/>
    <mergeCell ref="K11:N11"/>
    <mergeCell ref="A12:B12"/>
    <mergeCell ref="A32:B32"/>
    <mergeCell ref="C32:F32"/>
    <mergeCell ref="G32:J32"/>
    <mergeCell ref="K32:N32"/>
    <mergeCell ref="O32:P32"/>
    <mergeCell ref="Q32:T32"/>
    <mergeCell ref="U32:W32"/>
    <mergeCell ref="A33:B33"/>
    <mergeCell ref="C33:F33"/>
    <mergeCell ref="G33:J33"/>
    <mergeCell ref="K33:N33"/>
    <mergeCell ref="O33:P33"/>
    <mergeCell ref="Q33:T33"/>
    <mergeCell ref="U33:W33"/>
    <mergeCell ref="A36:B36"/>
    <mergeCell ref="C36:F36"/>
    <mergeCell ref="G36:J36"/>
    <mergeCell ref="K36:N36"/>
    <mergeCell ref="O36:P36"/>
    <mergeCell ref="Q36:T36"/>
    <mergeCell ref="U36:W36"/>
    <mergeCell ref="A34:B34"/>
    <mergeCell ref="C34:F34"/>
    <mergeCell ref="G34:J34"/>
    <mergeCell ref="K34:N34"/>
    <mergeCell ref="O34:P34"/>
    <mergeCell ref="Q34:T34"/>
    <mergeCell ref="U34:W34"/>
    <mergeCell ref="A35:B35"/>
    <mergeCell ref="C35:F35"/>
    <mergeCell ref="G35:J35"/>
    <mergeCell ref="K35:N35"/>
    <mergeCell ref="O35:P35"/>
    <mergeCell ref="Q35:T35"/>
    <mergeCell ref="U35:W35"/>
    <mergeCell ref="Z41:BI41"/>
    <mergeCell ref="Z42:BI42"/>
    <mergeCell ref="Z33:BI33"/>
    <mergeCell ref="Z34:BI34"/>
    <mergeCell ref="Z35:BI35"/>
    <mergeCell ref="Z36:BI36"/>
    <mergeCell ref="Z37:BI37"/>
    <mergeCell ref="Z38:BI38"/>
    <mergeCell ref="Z39:BI39"/>
    <mergeCell ref="Z40:BI40"/>
  </mergeCells>
  <phoneticPr fontId="2"/>
  <conditionalFormatting sqref="C7:J36">
    <cfRule type="cellIs" dxfId="87" priority="4" operator="equal">
      <formula>0</formula>
    </cfRule>
  </conditionalFormatting>
  <conditionalFormatting sqref="K7:O36">
    <cfRule type="cellIs" dxfId="86" priority="9" operator="equal">
      <formula>0</formula>
    </cfRule>
  </conditionalFormatting>
  <conditionalFormatting sqref="Q7:T36">
    <cfRule type="cellIs" dxfId="85" priority="6" operator="equal">
      <formula>0</formula>
    </cfRule>
  </conditionalFormatting>
  <conditionalFormatting sqref="Z33:BI42">
    <cfRule type="cellIs" dxfId="84" priority="1" operator="equal">
      <formula>0</formula>
    </cfRule>
  </conditionalFormatting>
  <printOptions horizontalCentered="1" verticalCentered="1"/>
  <pageMargins left="0" right="0" top="0" bottom="0" header="0" footer="0"/>
  <pageSetup paperSize="9" scale="6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AB5CD-B2D5-45E3-9465-C57795CB9AA8}">
  <sheetPr>
    <tabColor rgb="FF0070C0"/>
  </sheetPr>
  <dimension ref="B2:O31"/>
  <sheetViews>
    <sheetView view="pageBreakPreview" zoomScale="85" zoomScaleNormal="100" zoomScaleSheetLayoutView="85" workbookViewId="0">
      <selection activeCell="BR30" sqref="BR30"/>
    </sheetView>
  </sheetViews>
  <sheetFormatPr defaultRowHeight="18.75"/>
  <sheetData>
    <row r="2" spans="2:10">
      <c r="B2" s="848" t="s">
        <v>351</v>
      </c>
      <c r="C2" s="848"/>
      <c r="D2" s="848"/>
      <c r="E2" s="848"/>
      <c r="F2" s="848"/>
      <c r="G2" s="848"/>
      <c r="H2" s="848"/>
      <c r="I2" s="848"/>
      <c r="J2" s="848"/>
    </row>
    <row r="3" spans="2:10">
      <c r="B3" s="848"/>
      <c r="C3" s="848"/>
      <c r="D3" s="848"/>
      <c r="E3" s="848"/>
      <c r="F3" s="848"/>
      <c r="G3" s="848"/>
      <c r="H3" s="848"/>
      <c r="I3" s="848"/>
      <c r="J3" s="848"/>
    </row>
    <row r="31" spans="15:15">
      <c r="O31">
        <v>4</v>
      </c>
    </row>
  </sheetData>
  <mergeCells count="1">
    <mergeCell ref="B2:J3"/>
  </mergeCells>
  <phoneticPr fontId="2"/>
  <printOptions horizontalCentered="1" verticalCentered="1"/>
  <pageMargins left="0" right="0" top="0" bottom="0" header="0.31496062992125984" footer="0.31496062992125984"/>
  <pageSetup paperSize="9" scale="9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47214-2D66-46BE-83D8-FE0F2EDDA38A}">
  <sheetPr>
    <tabColor rgb="FFFFFF00"/>
  </sheetPr>
  <dimension ref="A1:BE44"/>
  <sheetViews>
    <sheetView view="pageBreakPreview" zoomScale="55" zoomScaleNormal="80" zoomScaleSheetLayoutView="55" workbookViewId="0">
      <selection activeCell="BD45" sqref="BD45"/>
    </sheetView>
  </sheetViews>
  <sheetFormatPr defaultColWidth="3.5" defaultRowHeight="21" customHeight="1" outlineLevelRow="1"/>
  <cols>
    <col min="1" max="2" width="3.5" style="2"/>
    <col min="3" max="13" width="3.5" style="3"/>
    <col min="14" max="16384" width="3.5" style="2"/>
  </cols>
  <sheetData>
    <row r="1" spans="1:57" ht="38.25">
      <c r="A1" s="877" t="s">
        <v>301</v>
      </c>
      <c r="B1" s="877"/>
      <c r="C1" s="877"/>
      <c r="D1" s="877"/>
      <c r="E1" s="877"/>
      <c r="F1" s="877"/>
      <c r="G1" s="877"/>
      <c r="H1" s="877"/>
      <c r="I1" s="877"/>
      <c r="J1" s="877"/>
      <c r="K1" s="877"/>
      <c r="L1" s="877"/>
      <c r="M1" s="877"/>
      <c r="N1" s="877"/>
      <c r="O1" s="877"/>
      <c r="P1" s="877"/>
      <c r="Q1" s="877"/>
      <c r="R1" s="877"/>
      <c r="S1" s="877"/>
      <c r="T1" s="877"/>
      <c r="U1" s="877"/>
      <c r="V1" s="877"/>
      <c r="W1" s="877"/>
      <c r="X1" s="877"/>
      <c r="Y1" s="877"/>
      <c r="Z1" s="877"/>
      <c r="AA1" s="877"/>
      <c r="AB1" s="877"/>
      <c r="AC1" s="877"/>
      <c r="AD1" s="877"/>
      <c r="AE1" s="877"/>
      <c r="AF1" s="877"/>
      <c r="AG1" s="877"/>
      <c r="AH1" s="877"/>
      <c r="AI1" s="877"/>
      <c r="AJ1" s="877"/>
      <c r="AK1" s="877"/>
      <c r="AL1" s="877"/>
      <c r="AM1" s="877"/>
      <c r="AN1" s="877"/>
      <c r="AO1" s="877"/>
      <c r="AP1" s="877"/>
      <c r="AQ1" s="877"/>
      <c r="AR1" s="877"/>
      <c r="AS1" s="877"/>
      <c r="AT1" s="877"/>
      <c r="AU1" s="877"/>
      <c r="AV1" s="877"/>
      <c r="AW1" s="877"/>
      <c r="AX1" s="877"/>
      <c r="AY1" s="877"/>
      <c r="AZ1" s="877"/>
      <c r="BA1" s="877"/>
      <c r="BB1" s="877"/>
      <c r="BC1" s="877"/>
      <c r="BD1" s="877"/>
      <c r="BE1" s="55"/>
    </row>
    <row r="2" spans="1:57" ht="21" customHeight="1" thickBot="1">
      <c r="A2" s="467"/>
      <c r="B2" s="467"/>
      <c r="C2" s="467"/>
      <c r="D2" s="467"/>
      <c r="E2" s="467"/>
      <c r="F2" s="467"/>
      <c r="G2" s="467"/>
      <c r="H2" s="467"/>
      <c r="I2" s="467"/>
      <c r="J2" s="467"/>
      <c r="K2" s="467"/>
      <c r="L2" s="467"/>
      <c r="M2" s="467"/>
      <c r="N2" s="467"/>
      <c r="O2" s="467"/>
      <c r="P2" s="467"/>
      <c r="Q2" s="467"/>
      <c r="R2" s="467"/>
      <c r="S2" s="467"/>
      <c r="T2" s="467"/>
      <c r="U2" s="467"/>
      <c r="V2" s="467"/>
      <c r="W2" s="467"/>
      <c r="X2" s="467"/>
      <c r="Y2" s="467"/>
      <c r="Z2" s="467"/>
      <c r="AA2" s="467"/>
      <c r="AB2" s="467"/>
      <c r="AC2" s="467"/>
      <c r="AD2" s="467"/>
      <c r="AE2" s="467"/>
      <c r="AF2" s="467"/>
      <c r="AG2" s="467"/>
      <c r="AH2" s="467"/>
      <c r="AI2" s="467"/>
      <c r="AJ2" s="467"/>
      <c r="AK2" s="467"/>
      <c r="AL2" s="467"/>
      <c r="AM2" s="467"/>
      <c r="AN2" s="467"/>
      <c r="AO2" s="467"/>
      <c r="AP2" s="467"/>
      <c r="AQ2" s="467"/>
      <c r="AR2" s="467"/>
      <c r="AS2" s="467"/>
      <c r="AT2" s="467"/>
      <c r="AU2" s="467"/>
      <c r="AV2" s="467"/>
      <c r="AW2" s="467"/>
      <c r="AX2" s="467"/>
      <c r="AY2" s="467"/>
      <c r="AZ2" s="467"/>
      <c r="BA2" s="467"/>
      <c r="BB2" s="467"/>
      <c r="BC2" s="467"/>
      <c r="BD2" s="467"/>
      <c r="BE2" s="55"/>
    </row>
    <row r="3" spans="1:57" s="4" customFormat="1" ht="23.1" customHeight="1" thickTop="1">
      <c r="R3" s="912" t="s">
        <v>302</v>
      </c>
      <c r="S3" s="913"/>
      <c r="T3" s="913"/>
      <c r="U3" s="913"/>
      <c r="V3" s="913"/>
      <c r="W3" s="913"/>
      <c r="X3" s="913"/>
      <c r="Y3" s="913"/>
      <c r="Z3" s="913"/>
      <c r="AA3" s="913"/>
      <c r="AB3" s="914"/>
      <c r="AC3" s="60"/>
      <c r="AD3" s="60"/>
      <c r="AE3" s="60"/>
      <c r="AF3" s="918" t="s">
        <v>303</v>
      </c>
      <c r="AG3" s="919"/>
      <c r="AH3" s="919"/>
      <c r="AI3" s="919"/>
      <c r="AJ3" s="919"/>
      <c r="AK3" s="919"/>
      <c r="AL3" s="919"/>
      <c r="AM3" s="919"/>
      <c r="AN3" s="919"/>
      <c r="AO3" s="919"/>
      <c r="AP3" s="919"/>
      <c r="AQ3" s="919"/>
      <c r="AR3" s="919"/>
      <c r="AS3" s="919"/>
      <c r="AT3" s="919"/>
      <c r="AU3" s="919"/>
      <c r="AV3" s="919"/>
      <c r="AW3" s="919"/>
      <c r="AX3" s="919"/>
      <c r="AY3" s="919"/>
      <c r="AZ3" s="919"/>
      <c r="BA3" s="920"/>
      <c r="BB3" s="60"/>
      <c r="BC3" s="60"/>
      <c r="BD3" s="60"/>
    </row>
    <row r="4" spans="1:57" s="13" customFormat="1" ht="21" customHeight="1" thickBot="1">
      <c r="B4" s="12"/>
      <c r="C4" s="12"/>
      <c r="D4" s="12"/>
      <c r="E4" s="12"/>
      <c r="F4" s="12"/>
      <c r="G4" s="12"/>
      <c r="H4" s="12"/>
      <c r="I4" s="12"/>
      <c r="J4" s="12"/>
      <c r="K4" s="12"/>
      <c r="L4" s="12"/>
      <c r="M4" s="12"/>
      <c r="N4" s="12"/>
      <c r="O4" s="12"/>
      <c r="P4" s="12"/>
      <c r="Q4" s="12"/>
      <c r="R4" s="915"/>
      <c r="S4" s="916"/>
      <c r="T4" s="916"/>
      <c r="U4" s="916"/>
      <c r="V4" s="916"/>
      <c r="W4" s="916"/>
      <c r="X4" s="916"/>
      <c r="Y4" s="916"/>
      <c r="Z4" s="916"/>
      <c r="AA4" s="916"/>
      <c r="AB4" s="917"/>
      <c r="AD4" s="66"/>
      <c r="AF4" s="921"/>
      <c r="AG4" s="922"/>
      <c r="AH4" s="922"/>
      <c r="AI4" s="922"/>
      <c r="AJ4" s="922"/>
      <c r="AK4" s="922"/>
      <c r="AL4" s="922"/>
      <c r="AM4" s="922"/>
      <c r="AN4" s="922"/>
      <c r="AO4" s="922"/>
      <c r="AP4" s="922"/>
      <c r="AQ4" s="922"/>
      <c r="AR4" s="922"/>
      <c r="AS4" s="922"/>
      <c r="AT4" s="922"/>
      <c r="AU4" s="922"/>
      <c r="AV4" s="922"/>
      <c r="AW4" s="922"/>
      <c r="AX4" s="922"/>
      <c r="AY4" s="922"/>
      <c r="AZ4" s="922"/>
      <c r="BA4" s="923"/>
    </row>
    <row r="5" spans="1:57" s="4" customFormat="1" ht="21" customHeight="1" thickTop="1">
      <c r="A5" s="52"/>
      <c r="B5" s="53"/>
      <c r="C5" s="54"/>
      <c r="D5" s="54"/>
      <c r="E5" s="54"/>
      <c r="F5" s="54"/>
      <c r="G5" s="54"/>
      <c r="H5" s="54"/>
      <c r="I5" s="54"/>
      <c r="J5" s="54"/>
      <c r="K5" s="54"/>
      <c r="L5" s="54"/>
      <c r="M5" s="54"/>
      <c r="N5" s="53"/>
      <c r="O5" s="53"/>
      <c r="P5" s="53"/>
      <c r="Q5" s="53"/>
      <c r="R5" s="53"/>
      <c r="S5" s="53"/>
      <c r="T5" s="53"/>
      <c r="U5" s="53"/>
      <c r="V5" s="53"/>
      <c r="W5" s="53"/>
      <c r="X5" s="53"/>
      <c r="Y5" s="53"/>
      <c r="Z5" s="53"/>
      <c r="AA5" s="53"/>
      <c r="AB5" s="53"/>
      <c r="AD5" s="63"/>
    </row>
    <row r="6" spans="1:57" ht="21" customHeight="1" thickBot="1">
      <c r="A6" s="903" t="s">
        <v>304</v>
      </c>
      <c r="B6" s="907"/>
      <c r="C6" s="908" t="str">
        <f>LED計算式!M32</f>
        <v>試算エリア</v>
      </c>
      <c r="D6" s="909"/>
      <c r="E6" s="909"/>
      <c r="F6" s="910"/>
      <c r="G6" s="871" t="s">
        <v>305</v>
      </c>
      <c r="H6" s="871"/>
      <c r="I6" s="871"/>
      <c r="J6" s="871"/>
      <c r="K6" s="871"/>
      <c r="L6" s="873" t="s">
        <v>306</v>
      </c>
      <c r="M6" s="873"/>
      <c r="N6" s="873"/>
      <c r="O6" s="873"/>
      <c r="P6" s="902" t="s">
        <v>200</v>
      </c>
      <c r="Q6" s="903"/>
      <c r="R6" s="904" t="s">
        <v>117</v>
      </c>
      <c r="S6" s="904"/>
      <c r="T6" s="904"/>
      <c r="U6" s="905" t="s">
        <v>307</v>
      </c>
      <c r="V6" s="905"/>
      <c r="W6" s="905"/>
      <c r="X6" s="905"/>
      <c r="Y6" s="906" t="s">
        <v>308</v>
      </c>
      <c r="Z6" s="906"/>
      <c r="AA6" s="906"/>
      <c r="AB6" s="906"/>
      <c r="AD6" s="64"/>
    </row>
    <row r="7" spans="1:57" ht="21" customHeight="1" thickTop="1">
      <c r="A7" s="15"/>
      <c r="B7" s="15"/>
      <c r="C7" s="16"/>
      <c r="D7" s="16"/>
      <c r="E7" s="16"/>
      <c r="F7" s="16"/>
      <c r="G7" s="16"/>
      <c r="H7" s="16"/>
      <c r="I7" s="16"/>
      <c r="J7" s="16"/>
      <c r="K7" s="16"/>
      <c r="L7" s="16"/>
      <c r="M7" s="16"/>
      <c r="N7" s="17"/>
      <c r="O7" s="17"/>
      <c r="P7" s="17"/>
      <c r="Q7" s="17"/>
      <c r="R7" s="17"/>
      <c r="S7" s="17"/>
      <c r="T7" s="17"/>
      <c r="U7" s="17"/>
      <c r="V7" s="17"/>
      <c r="W7" s="17"/>
      <c r="X7" s="17"/>
      <c r="Y7" s="17"/>
      <c r="Z7" s="17"/>
      <c r="AA7" s="17"/>
      <c r="AB7" s="17"/>
      <c r="AD7" s="64"/>
      <c r="AF7" s="878" t="s">
        <v>309</v>
      </c>
      <c r="AG7" s="878"/>
      <c r="AH7" s="878"/>
      <c r="AI7" s="878"/>
      <c r="AJ7" s="878"/>
      <c r="AK7" s="878"/>
      <c r="AL7" s="878"/>
      <c r="AM7" s="878"/>
      <c r="AN7" s="878"/>
      <c r="AO7" s="878"/>
      <c r="AP7" s="878"/>
      <c r="AQ7" s="878"/>
      <c r="AR7" s="878"/>
      <c r="AS7" s="895">
        <f>Y39*120</f>
        <v>0</v>
      </c>
      <c r="AT7" s="896"/>
      <c r="AU7" s="896"/>
      <c r="AV7" s="896"/>
      <c r="AW7" s="896"/>
      <c r="AX7" s="896"/>
      <c r="AY7" s="896"/>
      <c r="AZ7" s="896"/>
      <c r="BA7" s="897"/>
    </row>
    <row r="8" spans="1:57" s="4" customFormat="1" ht="21" customHeight="1" thickBot="1">
      <c r="A8" s="911">
        <v>1</v>
      </c>
      <c r="B8" s="911"/>
      <c r="C8" s="872">
        <f>IF($C$6=☆入力!$B$15,☆入力!$B16,☆入力!$C16)</f>
        <v>0</v>
      </c>
      <c r="D8" s="872"/>
      <c r="E8" s="872"/>
      <c r="F8" s="872"/>
      <c r="G8" s="872">
        <f>☆入力!D16</f>
        <v>0</v>
      </c>
      <c r="H8" s="872"/>
      <c r="I8" s="872"/>
      <c r="J8" s="872"/>
      <c r="K8" s="872"/>
      <c r="L8" s="876">
        <f>☆入力!H16</f>
        <v>0</v>
      </c>
      <c r="M8" s="876"/>
      <c r="N8" s="876"/>
      <c r="O8" s="876"/>
      <c r="P8" s="925">
        <f>☆入力!L16</f>
        <v>0</v>
      </c>
      <c r="Q8" s="926"/>
      <c r="R8" s="927">
        <f>☆入力!K16</f>
        <v>0</v>
      </c>
      <c r="S8" s="927"/>
      <c r="T8" s="927"/>
      <c r="U8" s="928">
        <f>☆入力!W16</f>
        <v>0</v>
      </c>
      <c r="V8" s="928"/>
      <c r="W8" s="928"/>
      <c r="X8" s="928"/>
      <c r="Y8" s="929">
        <f>☆入力!Y16</f>
        <v>0</v>
      </c>
      <c r="Z8" s="929"/>
      <c r="AA8" s="929"/>
      <c r="AB8" s="929"/>
      <c r="AD8" s="63"/>
      <c r="AF8" s="878"/>
      <c r="AG8" s="878"/>
      <c r="AH8" s="878"/>
      <c r="AI8" s="878"/>
      <c r="AJ8" s="878"/>
      <c r="AK8" s="878"/>
      <c r="AL8" s="878"/>
      <c r="AM8" s="878"/>
      <c r="AN8" s="878"/>
      <c r="AO8" s="878"/>
      <c r="AP8" s="878"/>
      <c r="AQ8" s="878"/>
      <c r="AR8" s="878"/>
      <c r="AS8" s="898"/>
      <c r="AT8" s="899"/>
      <c r="AU8" s="899"/>
      <c r="AV8" s="899"/>
      <c r="AW8" s="899"/>
      <c r="AX8" s="899"/>
      <c r="AY8" s="899"/>
      <c r="AZ8" s="899"/>
      <c r="BA8" s="900"/>
    </row>
    <row r="9" spans="1:57" s="4" customFormat="1" ht="21" customHeight="1" thickTop="1">
      <c r="A9" s="860">
        <v>2</v>
      </c>
      <c r="B9" s="860"/>
      <c r="C9" s="861">
        <f>IF($C$6=☆入力!$B$15,☆入力!$B17,☆入力!$C17)</f>
        <v>0</v>
      </c>
      <c r="D9" s="862"/>
      <c r="E9" s="862"/>
      <c r="F9" s="863"/>
      <c r="G9" s="864">
        <f>☆入力!D17</f>
        <v>0</v>
      </c>
      <c r="H9" s="864"/>
      <c r="I9" s="864"/>
      <c r="J9" s="864"/>
      <c r="K9" s="864"/>
      <c r="L9" s="865">
        <f>☆入力!H17</f>
        <v>0</v>
      </c>
      <c r="M9" s="865"/>
      <c r="N9" s="865"/>
      <c r="O9" s="865"/>
      <c r="P9" s="866">
        <f>☆入力!L17</f>
        <v>0</v>
      </c>
      <c r="Q9" s="867"/>
      <c r="R9" s="868">
        <f>☆入力!K17</f>
        <v>0</v>
      </c>
      <c r="S9" s="868"/>
      <c r="T9" s="868"/>
      <c r="U9" s="869">
        <f>☆入力!W17</f>
        <v>0</v>
      </c>
      <c r="V9" s="869"/>
      <c r="W9" s="869"/>
      <c r="X9" s="869"/>
      <c r="Y9" s="870">
        <f>☆入力!Y17</f>
        <v>0</v>
      </c>
      <c r="Z9" s="870"/>
      <c r="AA9" s="870"/>
      <c r="AB9" s="870"/>
      <c r="AD9" s="63"/>
    </row>
    <row r="10" spans="1:57" s="4" customFormat="1" ht="21" customHeight="1">
      <c r="A10" s="860">
        <v>3</v>
      </c>
      <c r="B10" s="860"/>
      <c r="C10" s="861">
        <f>IF($C$6=☆入力!$B$15,☆入力!$B18,☆入力!$C18)</f>
        <v>0</v>
      </c>
      <c r="D10" s="862"/>
      <c r="E10" s="862"/>
      <c r="F10" s="863"/>
      <c r="G10" s="864">
        <f>☆入力!D18</f>
        <v>0</v>
      </c>
      <c r="H10" s="864"/>
      <c r="I10" s="864"/>
      <c r="J10" s="864"/>
      <c r="K10" s="864"/>
      <c r="L10" s="865">
        <f>☆入力!H18</f>
        <v>0</v>
      </c>
      <c r="M10" s="865"/>
      <c r="N10" s="865"/>
      <c r="O10" s="865"/>
      <c r="P10" s="866">
        <f>☆入力!L18</f>
        <v>0</v>
      </c>
      <c r="Q10" s="867"/>
      <c r="R10" s="868">
        <f>☆入力!K18</f>
        <v>0</v>
      </c>
      <c r="S10" s="868"/>
      <c r="T10" s="868"/>
      <c r="U10" s="869">
        <f>☆入力!W18</f>
        <v>0</v>
      </c>
      <c r="V10" s="869"/>
      <c r="W10" s="869"/>
      <c r="X10" s="869"/>
      <c r="Y10" s="870">
        <f>☆入力!Y18</f>
        <v>0</v>
      </c>
      <c r="Z10" s="870"/>
      <c r="AA10" s="870"/>
      <c r="AB10" s="870"/>
      <c r="AD10" s="63"/>
      <c r="AG10" s="67" t="s">
        <v>310</v>
      </c>
      <c r="AH10" s="67"/>
      <c r="AI10" s="67"/>
      <c r="AJ10" s="67"/>
      <c r="AK10" s="67"/>
      <c r="AL10" s="67"/>
      <c r="AM10" s="67"/>
      <c r="AN10" s="14"/>
      <c r="AO10" s="874">
        <f>Y39</f>
        <v>0</v>
      </c>
      <c r="AP10" s="874"/>
      <c r="AQ10" s="874"/>
      <c r="AR10" s="874"/>
      <c r="AS10" s="67" t="s">
        <v>311</v>
      </c>
      <c r="AT10" s="67"/>
      <c r="AU10" s="67"/>
      <c r="AV10" s="67"/>
      <c r="AW10" s="67"/>
      <c r="AX10" s="67"/>
      <c r="AY10" s="67"/>
      <c r="AZ10" s="67"/>
      <c r="BA10" s="67"/>
    </row>
    <row r="11" spans="1:57" s="4" customFormat="1" ht="21" customHeight="1">
      <c r="A11" s="860">
        <v>4</v>
      </c>
      <c r="B11" s="860"/>
      <c r="C11" s="861">
        <f>IF($C$6=☆入力!$B$15,☆入力!$B19,☆入力!$C19)</f>
        <v>0</v>
      </c>
      <c r="D11" s="862"/>
      <c r="E11" s="862"/>
      <c r="F11" s="863"/>
      <c r="G11" s="864">
        <f>☆入力!D19</f>
        <v>0</v>
      </c>
      <c r="H11" s="864"/>
      <c r="I11" s="864"/>
      <c r="J11" s="864"/>
      <c r="K11" s="864"/>
      <c r="L11" s="865">
        <f>☆入力!H19</f>
        <v>0</v>
      </c>
      <c r="M11" s="865"/>
      <c r="N11" s="865"/>
      <c r="O11" s="865"/>
      <c r="P11" s="866">
        <f>☆入力!L19</f>
        <v>0</v>
      </c>
      <c r="Q11" s="867"/>
      <c r="R11" s="868">
        <f>☆入力!K19</f>
        <v>0</v>
      </c>
      <c r="S11" s="868"/>
      <c r="T11" s="868"/>
      <c r="U11" s="869">
        <f>☆入力!W19</f>
        <v>0</v>
      </c>
      <c r="V11" s="869"/>
      <c r="W11" s="869"/>
      <c r="X11" s="869"/>
      <c r="Y11" s="870">
        <f>☆入力!Y19</f>
        <v>0</v>
      </c>
      <c r="Z11" s="870"/>
      <c r="AA11" s="870"/>
      <c r="AB11" s="870"/>
      <c r="AD11" s="63"/>
    </row>
    <row r="12" spans="1:57" s="4" customFormat="1" ht="21" customHeight="1">
      <c r="A12" s="860">
        <v>5</v>
      </c>
      <c r="B12" s="860"/>
      <c r="C12" s="861">
        <f>IF($C$6=☆入力!$B$15,☆入力!$B20,☆入力!$C20)</f>
        <v>0</v>
      </c>
      <c r="D12" s="862"/>
      <c r="E12" s="862"/>
      <c r="F12" s="863"/>
      <c r="G12" s="864">
        <f>☆入力!D20</f>
        <v>0</v>
      </c>
      <c r="H12" s="864"/>
      <c r="I12" s="864"/>
      <c r="J12" s="864"/>
      <c r="K12" s="864"/>
      <c r="L12" s="865">
        <f>☆入力!H20</f>
        <v>0</v>
      </c>
      <c r="M12" s="865"/>
      <c r="N12" s="865"/>
      <c r="O12" s="865"/>
      <c r="P12" s="866">
        <f>☆入力!L20</f>
        <v>0</v>
      </c>
      <c r="Q12" s="867"/>
      <c r="R12" s="868">
        <f>☆入力!K20</f>
        <v>0</v>
      </c>
      <c r="S12" s="868"/>
      <c r="T12" s="868"/>
      <c r="U12" s="869">
        <f>☆入力!W20</f>
        <v>0</v>
      </c>
      <c r="V12" s="869"/>
      <c r="W12" s="869"/>
      <c r="X12" s="869"/>
      <c r="Y12" s="870">
        <f>☆入力!Y20</f>
        <v>0</v>
      </c>
      <c r="Z12" s="870"/>
      <c r="AA12" s="870"/>
      <c r="AB12" s="870"/>
      <c r="AD12" s="63"/>
    </row>
    <row r="13" spans="1:57" s="4" customFormat="1" ht="21" customHeight="1">
      <c r="A13" s="860">
        <v>6</v>
      </c>
      <c r="B13" s="860"/>
      <c r="C13" s="861">
        <f>IF($C$6=☆入力!$B$15,☆入力!$B21,☆入力!$C21)</f>
        <v>0</v>
      </c>
      <c r="D13" s="862"/>
      <c r="E13" s="862"/>
      <c r="F13" s="863"/>
      <c r="G13" s="864">
        <f>☆入力!D21</f>
        <v>0</v>
      </c>
      <c r="H13" s="864"/>
      <c r="I13" s="864"/>
      <c r="J13" s="864"/>
      <c r="K13" s="864"/>
      <c r="L13" s="865">
        <f>☆入力!H21</f>
        <v>0</v>
      </c>
      <c r="M13" s="865"/>
      <c r="N13" s="865"/>
      <c r="O13" s="865"/>
      <c r="P13" s="866">
        <f>☆入力!L21</f>
        <v>0</v>
      </c>
      <c r="Q13" s="867"/>
      <c r="R13" s="868">
        <f>☆入力!K21</f>
        <v>0</v>
      </c>
      <c r="S13" s="868"/>
      <c r="T13" s="868"/>
      <c r="U13" s="869">
        <f>☆入力!W21</f>
        <v>0</v>
      </c>
      <c r="V13" s="869"/>
      <c r="W13" s="869"/>
      <c r="X13" s="869"/>
      <c r="Y13" s="870">
        <f>☆入力!Y21</f>
        <v>0</v>
      </c>
      <c r="Z13" s="870"/>
      <c r="AA13" s="870"/>
      <c r="AB13" s="870"/>
      <c r="AD13" s="63"/>
      <c r="AS13" s="901" t="s">
        <v>312</v>
      </c>
      <c r="AT13" s="901"/>
      <c r="AU13" s="901"/>
      <c r="AV13" s="901"/>
      <c r="AW13" s="901"/>
      <c r="AX13" s="901"/>
      <c r="AY13" s="901"/>
      <c r="AZ13" s="901"/>
      <c r="BA13" s="901"/>
    </row>
    <row r="14" spans="1:57" s="4" customFormat="1" ht="21" customHeight="1">
      <c r="A14" s="860">
        <v>7</v>
      </c>
      <c r="B14" s="860"/>
      <c r="C14" s="861">
        <f>IF($C$6=☆入力!$B$15,☆入力!$B22,☆入力!$C22)</f>
        <v>0</v>
      </c>
      <c r="D14" s="862"/>
      <c r="E14" s="862"/>
      <c r="F14" s="863"/>
      <c r="G14" s="864">
        <f>☆入力!D22</f>
        <v>0</v>
      </c>
      <c r="H14" s="864"/>
      <c r="I14" s="864"/>
      <c r="J14" s="864"/>
      <c r="K14" s="864"/>
      <c r="L14" s="865">
        <f>☆入力!H22</f>
        <v>0</v>
      </c>
      <c r="M14" s="865"/>
      <c r="N14" s="865"/>
      <c r="O14" s="865"/>
      <c r="P14" s="866">
        <f>☆入力!L22</f>
        <v>0</v>
      </c>
      <c r="Q14" s="867"/>
      <c r="R14" s="868">
        <f>☆入力!K22</f>
        <v>0</v>
      </c>
      <c r="S14" s="868"/>
      <c r="T14" s="868"/>
      <c r="U14" s="869">
        <f>☆入力!W22</f>
        <v>0</v>
      </c>
      <c r="V14" s="869"/>
      <c r="W14" s="869"/>
      <c r="X14" s="869"/>
      <c r="Y14" s="870">
        <f>☆入力!Y22</f>
        <v>0</v>
      </c>
      <c r="Z14" s="870"/>
      <c r="AA14" s="870"/>
      <c r="AB14" s="870"/>
      <c r="AD14" s="63"/>
      <c r="AS14" s="901"/>
      <c r="AT14" s="901"/>
      <c r="AU14" s="901"/>
      <c r="AV14" s="901"/>
      <c r="AW14" s="901"/>
      <c r="AX14" s="901"/>
      <c r="AY14" s="901"/>
      <c r="AZ14" s="901"/>
      <c r="BA14" s="901"/>
    </row>
    <row r="15" spans="1:57" s="4" customFormat="1" ht="21" customHeight="1">
      <c r="A15" s="860">
        <v>8</v>
      </c>
      <c r="B15" s="860"/>
      <c r="C15" s="861">
        <f>IF($C$6=☆入力!$B$15,☆入力!$B23,☆入力!$C23)</f>
        <v>0</v>
      </c>
      <c r="D15" s="862"/>
      <c r="E15" s="862"/>
      <c r="F15" s="863"/>
      <c r="G15" s="864">
        <f>☆入力!D23</f>
        <v>0</v>
      </c>
      <c r="H15" s="864"/>
      <c r="I15" s="864"/>
      <c r="J15" s="864"/>
      <c r="K15" s="864"/>
      <c r="L15" s="865">
        <f>☆入力!H23</f>
        <v>0</v>
      </c>
      <c r="M15" s="865"/>
      <c r="N15" s="865"/>
      <c r="O15" s="865"/>
      <c r="P15" s="866">
        <f>☆入力!L23</f>
        <v>0</v>
      </c>
      <c r="Q15" s="867"/>
      <c r="R15" s="868">
        <f>☆入力!K23</f>
        <v>0</v>
      </c>
      <c r="S15" s="868"/>
      <c r="T15" s="868"/>
      <c r="U15" s="869">
        <f>☆入力!W23</f>
        <v>0</v>
      </c>
      <c r="V15" s="869"/>
      <c r="W15" s="869"/>
      <c r="X15" s="869"/>
      <c r="Y15" s="870">
        <f>☆入力!Y23</f>
        <v>0</v>
      </c>
      <c r="Z15" s="870"/>
      <c r="AA15" s="870"/>
      <c r="AB15" s="870"/>
      <c r="AD15" s="63"/>
    </row>
    <row r="16" spans="1:57" s="4" customFormat="1" ht="21" customHeight="1">
      <c r="A16" s="860">
        <v>9</v>
      </c>
      <c r="B16" s="860"/>
      <c r="C16" s="861">
        <f>IF($C$6=☆入力!$B$15,☆入力!$B24,☆入力!$C24)</f>
        <v>0</v>
      </c>
      <c r="D16" s="862"/>
      <c r="E16" s="862"/>
      <c r="F16" s="863"/>
      <c r="G16" s="864">
        <f>☆入力!D24</f>
        <v>0</v>
      </c>
      <c r="H16" s="864"/>
      <c r="I16" s="864"/>
      <c r="J16" s="864"/>
      <c r="K16" s="864"/>
      <c r="L16" s="865">
        <f>☆入力!H24</f>
        <v>0</v>
      </c>
      <c r="M16" s="865"/>
      <c r="N16" s="865"/>
      <c r="O16" s="865"/>
      <c r="P16" s="866">
        <f>☆入力!L24</f>
        <v>0</v>
      </c>
      <c r="Q16" s="867"/>
      <c r="R16" s="868">
        <f>☆入力!K24</f>
        <v>0</v>
      </c>
      <c r="S16" s="868"/>
      <c r="T16" s="868"/>
      <c r="U16" s="869">
        <f>☆入力!W24</f>
        <v>0</v>
      </c>
      <c r="V16" s="869"/>
      <c r="W16" s="869"/>
      <c r="X16" s="869"/>
      <c r="Y16" s="870">
        <f>☆入力!Y24</f>
        <v>0</v>
      </c>
      <c r="Z16" s="870"/>
      <c r="AA16" s="870"/>
      <c r="AB16" s="870"/>
      <c r="AD16" s="63"/>
      <c r="AF16" s="878" t="s">
        <v>313</v>
      </c>
      <c r="AG16" s="878"/>
      <c r="AH16" s="878"/>
      <c r="AI16" s="878"/>
      <c r="AJ16" s="878"/>
      <c r="AK16" s="878"/>
      <c r="AL16" s="878"/>
      <c r="AM16" s="878"/>
      <c r="AN16" s="878"/>
      <c r="AO16" s="878"/>
      <c r="AP16" s="878"/>
      <c r="AQ16" s="878"/>
      <c r="AR16" s="878"/>
      <c r="AS16" s="878"/>
      <c r="AT16" s="878"/>
      <c r="AU16" s="878"/>
      <c r="AV16" s="878"/>
      <c r="AW16" s="878"/>
      <c r="AX16" s="878"/>
      <c r="AY16" s="878"/>
      <c r="AZ16" s="878"/>
      <c r="BA16" s="878"/>
    </row>
    <row r="17" spans="1:53" s="4" customFormat="1" ht="21" customHeight="1">
      <c r="A17" s="860">
        <v>10</v>
      </c>
      <c r="B17" s="860"/>
      <c r="C17" s="861">
        <f>IF($C$6=☆入力!$B$15,☆入力!$B25,☆入力!$C25)</f>
        <v>0</v>
      </c>
      <c r="D17" s="862"/>
      <c r="E17" s="862"/>
      <c r="F17" s="863"/>
      <c r="G17" s="864">
        <f>☆入力!D25</f>
        <v>0</v>
      </c>
      <c r="H17" s="864"/>
      <c r="I17" s="864"/>
      <c r="J17" s="864"/>
      <c r="K17" s="864"/>
      <c r="L17" s="865">
        <f>☆入力!H25</f>
        <v>0</v>
      </c>
      <c r="M17" s="865"/>
      <c r="N17" s="865"/>
      <c r="O17" s="865"/>
      <c r="P17" s="866">
        <f>☆入力!L25</f>
        <v>0</v>
      </c>
      <c r="Q17" s="867"/>
      <c r="R17" s="868">
        <f>☆入力!K25</f>
        <v>0</v>
      </c>
      <c r="S17" s="868"/>
      <c r="T17" s="868"/>
      <c r="U17" s="869">
        <f>☆入力!W25</f>
        <v>0</v>
      </c>
      <c r="V17" s="869"/>
      <c r="W17" s="869"/>
      <c r="X17" s="869"/>
      <c r="Y17" s="870">
        <f>☆入力!Y25</f>
        <v>0</v>
      </c>
      <c r="Z17" s="870"/>
      <c r="AA17" s="870"/>
      <c r="AB17" s="870"/>
      <c r="AD17" s="63"/>
      <c r="AF17" s="878"/>
      <c r="AG17" s="878"/>
      <c r="AH17" s="878"/>
      <c r="AI17" s="878"/>
      <c r="AJ17" s="878"/>
      <c r="AK17" s="878"/>
      <c r="AL17" s="878"/>
      <c r="AM17" s="878"/>
      <c r="AN17" s="878"/>
      <c r="AO17" s="878"/>
      <c r="AP17" s="878"/>
      <c r="AQ17" s="878"/>
      <c r="AR17" s="878"/>
      <c r="AS17" s="878"/>
      <c r="AT17" s="878"/>
      <c r="AU17" s="878"/>
      <c r="AV17" s="878"/>
      <c r="AW17" s="878"/>
      <c r="AX17" s="878"/>
      <c r="AY17" s="878"/>
      <c r="AZ17" s="878"/>
      <c r="BA17" s="878"/>
    </row>
    <row r="18" spans="1:53" s="4" customFormat="1" ht="21" customHeight="1" thickBot="1">
      <c r="A18" s="860">
        <v>11</v>
      </c>
      <c r="B18" s="860"/>
      <c r="C18" s="861">
        <f>IF($C$6=☆入力!$B$15,☆入力!$B26,☆入力!$C26)</f>
        <v>0</v>
      </c>
      <c r="D18" s="862"/>
      <c r="E18" s="862"/>
      <c r="F18" s="863"/>
      <c r="G18" s="864">
        <f>☆入力!D26</f>
        <v>0</v>
      </c>
      <c r="H18" s="864"/>
      <c r="I18" s="864"/>
      <c r="J18" s="864"/>
      <c r="K18" s="864"/>
      <c r="L18" s="865">
        <f>☆入力!H26</f>
        <v>0</v>
      </c>
      <c r="M18" s="865"/>
      <c r="N18" s="865"/>
      <c r="O18" s="865"/>
      <c r="P18" s="866">
        <f>☆入力!L26</f>
        <v>0</v>
      </c>
      <c r="Q18" s="867"/>
      <c r="R18" s="868">
        <f>☆入力!K26</f>
        <v>0</v>
      </c>
      <c r="S18" s="868"/>
      <c r="T18" s="868"/>
      <c r="U18" s="869">
        <f>☆入力!W26</f>
        <v>0</v>
      </c>
      <c r="V18" s="869"/>
      <c r="W18" s="869"/>
      <c r="X18" s="869"/>
      <c r="Y18" s="870">
        <f>☆入力!Y26</f>
        <v>0</v>
      </c>
      <c r="Z18" s="870"/>
      <c r="AA18" s="870"/>
      <c r="AB18" s="870"/>
      <c r="AD18" s="63"/>
    </row>
    <row r="19" spans="1:53" s="4" customFormat="1" ht="21" customHeight="1" thickTop="1">
      <c r="A19" s="860">
        <v>12</v>
      </c>
      <c r="B19" s="860"/>
      <c r="C19" s="861">
        <f>IF($C$6=☆入力!$B$15,☆入力!$B27,☆入力!$C27)</f>
        <v>0</v>
      </c>
      <c r="D19" s="862"/>
      <c r="E19" s="862"/>
      <c r="F19" s="863"/>
      <c r="G19" s="864">
        <f>☆入力!D27</f>
        <v>0</v>
      </c>
      <c r="H19" s="864"/>
      <c r="I19" s="864"/>
      <c r="J19" s="864"/>
      <c r="K19" s="864"/>
      <c r="L19" s="865">
        <f>☆入力!H27</f>
        <v>0</v>
      </c>
      <c r="M19" s="865"/>
      <c r="N19" s="865"/>
      <c r="O19" s="865"/>
      <c r="P19" s="866">
        <f>☆入力!L27</f>
        <v>0</v>
      </c>
      <c r="Q19" s="867"/>
      <c r="R19" s="868">
        <f>☆入力!K27</f>
        <v>0</v>
      </c>
      <c r="S19" s="868"/>
      <c r="T19" s="868"/>
      <c r="U19" s="869">
        <f>☆入力!W27</f>
        <v>0</v>
      </c>
      <c r="V19" s="869"/>
      <c r="W19" s="869"/>
      <c r="X19" s="869"/>
      <c r="Y19" s="870">
        <f>☆入力!Y27</f>
        <v>0</v>
      </c>
      <c r="Z19" s="870"/>
      <c r="AA19" s="870"/>
      <c r="AB19" s="870"/>
      <c r="AD19" s="63"/>
      <c r="AS19" s="895">
        <f>(AN22*☆入力!AR9*7)+(AN23*☆入力!AR9*15)</f>
        <v>0</v>
      </c>
      <c r="AT19" s="896"/>
      <c r="AU19" s="896"/>
      <c r="AV19" s="896"/>
      <c r="AW19" s="896"/>
      <c r="AX19" s="896"/>
      <c r="AY19" s="896"/>
      <c r="AZ19" s="896"/>
      <c r="BA19" s="897"/>
    </row>
    <row r="20" spans="1:53" s="4" customFormat="1" ht="21" customHeight="1" thickBot="1">
      <c r="A20" s="860">
        <v>13</v>
      </c>
      <c r="B20" s="860"/>
      <c r="C20" s="861">
        <f>IF($C$6=☆入力!$B$15,☆入力!$B28,☆入力!$C28)</f>
        <v>0</v>
      </c>
      <c r="D20" s="862"/>
      <c r="E20" s="862"/>
      <c r="F20" s="863"/>
      <c r="G20" s="864">
        <f>☆入力!D28</f>
        <v>0</v>
      </c>
      <c r="H20" s="864"/>
      <c r="I20" s="864"/>
      <c r="J20" s="864"/>
      <c r="K20" s="864"/>
      <c r="L20" s="865">
        <f>☆入力!H28</f>
        <v>0</v>
      </c>
      <c r="M20" s="865"/>
      <c r="N20" s="865"/>
      <c r="O20" s="865"/>
      <c r="P20" s="866">
        <f>☆入力!L28</f>
        <v>0</v>
      </c>
      <c r="Q20" s="867"/>
      <c r="R20" s="868">
        <f>☆入力!K28</f>
        <v>0</v>
      </c>
      <c r="S20" s="868"/>
      <c r="T20" s="868"/>
      <c r="U20" s="869">
        <f>☆入力!W28</f>
        <v>0</v>
      </c>
      <c r="V20" s="869"/>
      <c r="W20" s="869"/>
      <c r="X20" s="869"/>
      <c r="Y20" s="870">
        <f>☆入力!Y28</f>
        <v>0</v>
      </c>
      <c r="Z20" s="870"/>
      <c r="AA20" s="870"/>
      <c r="AB20" s="870"/>
      <c r="AD20" s="63"/>
      <c r="AS20" s="898"/>
      <c r="AT20" s="899"/>
      <c r="AU20" s="899"/>
      <c r="AV20" s="899"/>
      <c r="AW20" s="899"/>
      <c r="AX20" s="899"/>
      <c r="AY20" s="899"/>
      <c r="AZ20" s="899"/>
      <c r="BA20" s="900"/>
    </row>
    <row r="21" spans="1:53" s="4" customFormat="1" ht="21" customHeight="1" thickTop="1">
      <c r="A21" s="860">
        <v>14</v>
      </c>
      <c r="B21" s="860"/>
      <c r="C21" s="861">
        <f>IF($C$6=☆入力!$B$15,☆入力!$B29,☆入力!$C29)</f>
        <v>0</v>
      </c>
      <c r="D21" s="862"/>
      <c r="E21" s="862"/>
      <c r="F21" s="863"/>
      <c r="G21" s="864">
        <f>☆入力!D29</f>
        <v>0</v>
      </c>
      <c r="H21" s="864"/>
      <c r="I21" s="864"/>
      <c r="J21" s="864"/>
      <c r="K21" s="864"/>
      <c r="L21" s="865">
        <f>☆入力!H29</f>
        <v>0</v>
      </c>
      <c r="M21" s="865"/>
      <c r="N21" s="865"/>
      <c r="O21" s="865"/>
      <c r="P21" s="866">
        <f>☆入力!L29</f>
        <v>0</v>
      </c>
      <c r="Q21" s="867"/>
      <c r="R21" s="868">
        <f>☆入力!K29</f>
        <v>0</v>
      </c>
      <c r="S21" s="868"/>
      <c r="T21" s="868"/>
      <c r="U21" s="869">
        <f>☆入力!W29</f>
        <v>0</v>
      </c>
      <c r="V21" s="869"/>
      <c r="W21" s="869"/>
      <c r="X21" s="869"/>
      <c r="Y21" s="870">
        <f>☆入力!Y29</f>
        <v>0</v>
      </c>
      <c r="Z21" s="870"/>
      <c r="AA21" s="870"/>
      <c r="AB21" s="870"/>
      <c r="AD21" s="63"/>
      <c r="AG21" s="80"/>
      <c r="AH21" s="80"/>
      <c r="AI21" s="80"/>
      <c r="AJ21" s="80"/>
      <c r="AK21" s="80"/>
      <c r="AL21" s="80"/>
      <c r="AM21" s="80"/>
      <c r="AN21" s="80"/>
      <c r="AO21" s="80"/>
      <c r="AP21" s="80"/>
      <c r="AQ21" s="80"/>
      <c r="AR21" s="80"/>
      <c r="AS21" s="81"/>
      <c r="AT21" s="81"/>
      <c r="AU21" s="81"/>
      <c r="AV21" s="81"/>
      <c r="AW21" s="81"/>
      <c r="AX21" s="81"/>
      <c r="AY21" s="81"/>
      <c r="AZ21" s="81"/>
      <c r="BA21" s="81"/>
    </row>
    <row r="22" spans="1:53" s="4" customFormat="1" ht="21" customHeight="1">
      <c r="A22" s="860">
        <v>15</v>
      </c>
      <c r="B22" s="860"/>
      <c r="C22" s="861">
        <f>IF($C$6=☆入力!$B$15,☆入力!$B30,☆入力!$C30)</f>
        <v>0</v>
      </c>
      <c r="D22" s="862"/>
      <c r="E22" s="862"/>
      <c r="F22" s="863"/>
      <c r="G22" s="864">
        <f>☆入力!D30</f>
        <v>0</v>
      </c>
      <c r="H22" s="864"/>
      <c r="I22" s="864"/>
      <c r="J22" s="864"/>
      <c r="K22" s="864"/>
      <c r="L22" s="865">
        <f>☆入力!H30</f>
        <v>0</v>
      </c>
      <c r="M22" s="865"/>
      <c r="N22" s="865"/>
      <c r="O22" s="865"/>
      <c r="P22" s="866">
        <f>☆入力!L30</f>
        <v>0</v>
      </c>
      <c r="Q22" s="867"/>
      <c r="R22" s="868">
        <f>☆入力!K30</f>
        <v>0</v>
      </c>
      <c r="S22" s="868"/>
      <c r="T22" s="868"/>
      <c r="U22" s="869">
        <f>☆入力!W30</f>
        <v>0</v>
      </c>
      <c r="V22" s="869"/>
      <c r="W22" s="869"/>
      <c r="X22" s="869"/>
      <c r="Y22" s="870">
        <f>☆入力!Y30</f>
        <v>0</v>
      </c>
      <c r="Z22" s="870"/>
      <c r="AA22" s="870"/>
      <c r="AB22" s="870"/>
      <c r="AD22" s="63"/>
      <c r="AF22" s="80"/>
      <c r="AG22" s="67" t="s">
        <v>314</v>
      </c>
      <c r="AH22" s="67"/>
      <c r="AI22" s="67"/>
      <c r="AJ22" s="67"/>
      <c r="AK22" s="67"/>
      <c r="AL22" s="67"/>
      <c r="AN22" s="875">
        <f>LED計算式!N16</f>
        <v>0</v>
      </c>
      <c r="AO22" s="875"/>
      <c r="AP22" s="875"/>
      <c r="AQ22" s="67" t="str">
        <f>"× "&amp;TEXT(☆入力!AR9,"#,#00")&amp;"円（※1）× 7回（※2）"</f>
        <v>× 00円（※1）× 7回（※2）</v>
      </c>
      <c r="AS22" s="67"/>
      <c r="AT22" s="67"/>
      <c r="AU22" s="67"/>
      <c r="AV22" s="67"/>
      <c r="AW22" s="67"/>
      <c r="AX22" s="67"/>
      <c r="AY22" s="67"/>
      <c r="AZ22" s="67"/>
      <c r="BA22" s="67"/>
    </row>
    <row r="23" spans="1:53" s="4" customFormat="1" ht="21" customHeight="1">
      <c r="A23" s="860">
        <v>16</v>
      </c>
      <c r="B23" s="860"/>
      <c r="C23" s="861">
        <f>IF($C$6=☆入力!$B$15,☆入力!$B31,☆入力!$C31)</f>
        <v>0</v>
      </c>
      <c r="D23" s="862"/>
      <c r="E23" s="862"/>
      <c r="F23" s="863"/>
      <c r="G23" s="864">
        <f>☆入力!D31</f>
        <v>0</v>
      </c>
      <c r="H23" s="864"/>
      <c r="I23" s="864"/>
      <c r="J23" s="864"/>
      <c r="K23" s="864"/>
      <c r="L23" s="865">
        <f>☆入力!H31</f>
        <v>0</v>
      </c>
      <c r="M23" s="865"/>
      <c r="N23" s="865"/>
      <c r="O23" s="865"/>
      <c r="P23" s="866">
        <f>☆入力!L31</f>
        <v>0</v>
      </c>
      <c r="Q23" s="867"/>
      <c r="R23" s="868">
        <f>☆入力!K31</f>
        <v>0</v>
      </c>
      <c r="S23" s="868"/>
      <c r="T23" s="868"/>
      <c r="U23" s="869">
        <f>☆入力!W31</f>
        <v>0</v>
      </c>
      <c r="V23" s="869"/>
      <c r="W23" s="869"/>
      <c r="X23" s="869"/>
      <c r="Y23" s="870">
        <f>☆入力!Y31</f>
        <v>0</v>
      </c>
      <c r="Z23" s="870"/>
      <c r="AA23" s="870"/>
      <c r="AB23" s="870"/>
      <c r="AD23" s="63"/>
      <c r="AF23" s="80"/>
      <c r="AG23" s="67" t="s">
        <v>315</v>
      </c>
      <c r="AN23" s="875">
        <f>LED計算式!N17</f>
        <v>0</v>
      </c>
      <c r="AO23" s="875"/>
      <c r="AP23" s="875"/>
      <c r="AQ23" s="67" t="str">
        <f>"× "&amp;TEXT(☆入力!AR9,"#,#00")&amp;"円（※1）× 15回（※3）"</f>
        <v>× 00円（※1）× 15回（※3）</v>
      </c>
      <c r="AS23" s="67"/>
      <c r="AT23" s="67"/>
      <c r="AU23" s="67"/>
      <c r="AV23" s="67"/>
      <c r="AW23" s="67"/>
      <c r="AX23" s="67"/>
      <c r="AY23" s="67"/>
    </row>
    <row r="24" spans="1:53" s="4" customFormat="1" ht="21" customHeight="1">
      <c r="A24" s="860">
        <v>17</v>
      </c>
      <c r="B24" s="860"/>
      <c r="C24" s="861">
        <f>IF($C$6=☆入力!$B$15,☆入力!$B32,☆入力!$C32)</f>
        <v>0</v>
      </c>
      <c r="D24" s="862"/>
      <c r="E24" s="862"/>
      <c r="F24" s="863"/>
      <c r="G24" s="864">
        <f>☆入力!D32</f>
        <v>0</v>
      </c>
      <c r="H24" s="864"/>
      <c r="I24" s="864"/>
      <c r="J24" s="864"/>
      <c r="K24" s="864"/>
      <c r="L24" s="865">
        <f>☆入力!H32</f>
        <v>0</v>
      </c>
      <c r="M24" s="865"/>
      <c r="N24" s="865"/>
      <c r="O24" s="865"/>
      <c r="P24" s="866">
        <f>☆入力!L32</f>
        <v>0</v>
      </c>
      <c r="Q24" s="867"/>
      <c r="R24" s="868">
        <f>☆入力!K32</f>
        <v>0</v>
      </c>
      <c r="S24" s="868"/>
      <c r="T24" s="868"/>
      <c r="U24" s="869">
        <f>☆入力!W32</f>
        <v>0</v>
      </c>
      <c r="V24" s="869"/>
      <c r="W24" s="869"/>
      <c r="X24" s="869"/>
      <c r="Y24" s="870">
        <f>☆入力!Y32</f>
        <v>0</v>
      </c>
      <c r="Z24" s="870"/>
      <c r="AA24" s="870"/>
      <c r="AB24" s="870"/>
      <c r="AD24" s="63"/>
      <c r="AS24" s="348"/>
      <c r="AT24" s="348"/>
      <c r="AU24" s="348"/>
      <c r="AV24" s="348"/>
      <c r="AW24" s="348"/>
      <c r="AX24" s="348"/>
      <c r="AY24" s="348"/>
      <c r="AZ24" s="348"/>
      <c r="BA24" s="348"/>
    </row>
    <row r="25" spans="1:53" s="4" customFormat="1" ht="21" customHeight="1">
      <c r="A25" s="860">
        <v>18</v>
      </c>
      <c r="B25" s="860"/>
      <c r="C25" s="861">
        <f>IF($C$6=☆入力!$B$15,☆入力!$B33,☆入力!$C33)</f>
        <v>0</v>
      </c>
      <c r="D25" s="862"/>
      <c r="E25" s="862"/>
      <c r="F25" s="863"/>
      <c r="G25" s="864">
        <f>☆入力!D33</f>
        <v>0</v>
      </c>
      <c r="H25" s="864"/>
      <c r="I25" s="864"/>
      <c r="J25" s="864"/>
      <c r="K25" s="864"/>
      <c r="L25" s="865">
        <f>☆入力!H33</f>
        <v>0</v>
      </c>
      <c r="M25" s="865"/>
      <c r="N25" s="865"/>
      <c r="O25" s="865"/>
      <c r="P25" s="866">
        <f>☆入力!L33</f>
        <v>0</v>
      </c>
      <c r="Q25" s="867"/>
      <c r="R25" s="868">
        <f>☆入力!K33</f>
        <v>0</v>
      </c>
      <c r="S25" s="868"/>
      <c r="T25" s="868"/>
      <c r="U25" s="869">
        <f>☆入力!W33</f>
        <v>0</v>
      </c>
      <c r="V25" s="869"/>
      <c r="W25" s="869"/>
      <c r="X25" s="869"/>
      <c r="Y25" s="870">
        <f>☆入力!Y33</f>
        <v>0</v>
      </c>
      <c r="Z25" s="870"/>
      <c r="AA25" s="870"/>
      <c r="AB25" s="870"/>
      <c r="AD25" s="63"/>
      <c r="AF25" s="53"/>
      <c r="AG25" s="2" t="str">
        <f>"(※1)白熱球の1球あたりの交換費用⇒"&amp;TEXT(☆入力!AR9,"#,#00")&amp;"円で計算(管理会社に委託している場合の平均)"</f>
        <v>(※1)白熱球の1球あたりの交換費用⇒00円で計算(管理会社に委託している場合の平均)</v>
      </c>
    </row>
    <row r="26" spans="1:53" s="4" customFormat="1" ht="21" customHeight="1">
      <c r="A26" s="860">
        <v>19</v>
      </c>
      <c r="B26" s="860"/>
      <c r="C26" s="861">
        <f>IF($C$6=☆入力!$B$15,☆入力!$B34,☆入力!$C34)</f>
        <v>0</v>
      </c>
      <c r="D26" s="862"/>
      <c r="E26" s="862"/>
      <c r="F26" s="863"/>
      <c r="G26" s="864">
        <f>☆入力!D34</f>
        <v>0</v>
      </c>
      <c r="H26" s="864"/>
      <c r="I26" s="864"/>
      <c r="J26" s="864"/>
      <c r="K26" s="864"/>
      <c r="L26" s="865">
        <f>☆入力!H34</f>
        <v>0</v>
      </c>
      <c r="M26" s="865"/>
      <c r="N26" s="865"/>
      <c r="O26" s="865"/>
      <c r="P26" s="866">
        <f>☆入力!L34</f>
        <v>0</v>
      </c>
      <c r="Q26" s="867"/>
      <c r="R26" s="868">
        <f>☆入力!K34</f>
        <v>0</v>
      </c>
      <c r="S26" s="868"/>
      <c r="T26" s="868"/>
      <c r="U26" s="869">
        <f>☆入力!W34</f>
        <v>0</v>
      </c>
      <c r="V26" s="869"/>
      <c r="W26" s="869"/>
      <c r="X26" s="869"/>
      <c r="Y26" s="870">
        <f>☆入力!Y34</f>
        <v>0</v>
      </c>
      <c r="Z26" s="870"/>
      <c r="AA26" s="870"/>
      <c r="AB26" s="870"/>
      <c r="AD26" s="63"/>
      <c r="AG26" s="2" t="s">
        <v>316</v>
      </c>
    </row>
    <row r="27" spans="1:53" s="4" customFormat="1" ht="21" customHeight="1">
      <c r="A27" s="860">
        <v>20</v>
      </c>
      <c r="B27" s="860"/>
      <c r="C27" s="861">
        <f>IF($C$6=☆入力!$B$15,☆入力!$B35,☆入力!$C35)</f>
        <v>0</v>
      </c>
      <c r="D27" s="862"/>
      <c r="E27" s="862"/>
      <c r="F27" s="863"/>
      <c r="G27" s="864">
        <f>☆入力!D35</f>
        <v>0</v>
      </c>
      <c r="H27" s="864"/>
      <c r="I27" s="864"/>
      <c r="J27" s="864"/>
      <c r="K27" s="864"/>
      <c r="L27" s="865">
        <f>☆入力!H35</f>
        <v>0</v>
      </c>
      <c r="M27" s="865"/>
      <c r="N27" s="865"/>
      <c r="O27" s="865"/>
      <c r="P27" s="866">
        <f>☆入力!L35</f>
        <v>0</v>
      </c>
      <c r="Q27" s="867"/>
      <c r="R27" s="868">
        <f>☆入力!K35</f>
        <v>0</v>
      </c>
      <c r="S27" s="868"/>
      <c r="T27" s="868"/>
      <c r="U27" s="869">
        <f>☆入力!W35</f>
        <v>0</v>
      </c>
      <c r="V27" s="869"/>
      <c r="W27" s="869"/>
      <c r="X27" s="869"/>
      <c r="Y27" s="870">
        <f>☆入力!Y35</f>
        <v>0</v>
      </c>
      <c r="Z27" s="870"/>
      <c r="AA27" s="870"/>
      <c r="AB27" s="870"/>
      <c r="AD27" s="63"/>
      <c r="AG27" s="2" t="s">
        <v>317</v>
      </c>
      <c r="AT27" s="81"/>
      <c r="AU27" s="81"/>
      <c r="AV27" s="81"/>
      <c r="AW27" s="81"/>
      <c r="AX27" s="81"/>
      <c r="AY27" s="81"/>
      <c r="AZ27" s="81"/>
      <c r="BA27" s="81"/>
    </row>
    <row r="28" spans="1:53" s="4" customFormat="1" ht="21" customHeight="1">
      <c r="A28" s="860">
        <v>21</v>
      </c>
      <c r="B28" s="860"/>
      <c r="C28" s="861">
        <f>IF($C$6=☆入力!$B$15,☆入力!$B36,☆入力!$C36)</f>
        <v>0</v>
      </c>
      <c r="D28" s="862"/>
      <c r="E28" s="862"/>
      <c r="F28" s="863"/>
      <c r="G28" s="864">
        <f>☆入力!D36</f>
        <v>0</v>
      </c>
      <c r="H28" s="864"/>
      <c r="I28" s="864"/>
      <c r="J28" s="864"/>
      <c r="K28" s="864"/>
      <c r="L28" s="865">
        <f>☆入力!H36</f>
        <v>0</v>
      </c>
      <c r="M28" s="865"/>
      <c r="N28" s="865"/>
      <c r="O28" s="865"/>
      <c r="P28" s="866">
        <f>☆入力!L36</f>
        <v>0</v>
      </c>
      <c r="Q28" s="867"/>
      <c r="R28" s="868">
        <f>☆入力!K36</f>
        <v>0</v>
      </c>
      <c r="S28" s="868"/>
      <c r="T28" s="868"/>
      <c r="U28" s="869">
        <f>☆入力!W36</f>
        <v>0</v>
      </c>
      <c r="V28" s="869"/>
      <c r="W28" s="869"/>
      <c r="X28" s="869"/>
      <c r="Y28" s="870">
        <f>☆入力!Y36</f>
        <v>0</v>
      </c>
      <c r="Z28" s="870"/>
      <c r="AA28" s="870"/>
      <c r="AB28" s="870"/>
      <c r="AD28" s="63"/>
      <c r="AG28" s="2"/>
    </row>
    <row r="29" spans="1:53" s="4" customFormat="1" ht="21" customHeight="1">
      <c r="A29" s="860">
        <v>22</v>
      </c>
      <c r="B29" s="860"/>
      <c r="C29" s="861">
        <f>IF($C$6=☆入力!$B$15,☆入力!$B37,☆入力!$C37)</f>
        <v>0</v>
      </c>
      <c r="D29" s="862"/>
      <c r="E29" s="862"/>
      <c r="F29" s="863"/>
      <c r="G29" s="864">
        <f>☆入力!D37</f>
        <v>0</v>
      </c>
      <c r="H29" s="864"/>
      <c r="I29" s="864"/>
      <c r="J29" s="864"/>
      <c r="K29" s="864"/>
      <c r="L29" s="865">
        <f>☆入力!H37</f>
        <v>0</v>
      </c>
      <c r="M29" s="865"/>
      <c r="N29" s="865"/>
      <c r="O29" s="865"/>
      <c r="P29" s="866">
        <f>☆入力!L37</f>
        <v>0</v>
      </c>
      <c r="Q29" s="867"/>
      <c r="R29" s="868">
        <f>☆入力!K37</f>
        <v>0</v>
      </c>
      <c r="S29" s="868"/>
      <c r="T29" s="868"/>
      <c r="U29" s="869">
        <f>☆入力!W37</f>
        <v>0</v>
      </c>
      <c r="V29" s="869"/>
      <c r="W29" s="869"/>
      <c r="X29" s="869"/>
      <c r="Y29" s="870">
        <f>☆入力!Y37</f>
        <v>0</v>
      </c>
      <c r="Z29" s="870"/>
      <c r="AA29" s="870"/>
      <c r="AB29" s="870"/>
      <c r="AD29" s="63"/>
      <c r="AG29" s="2"/>
    </row>
    <row r="30" spans="1:53" s="4" customFormat="1" ht="21" customHeight="1">
      <c r="A30" s="860">
        <v>23</v>
      </c>
      <c r="B30" s="860"/>
      <c r="C30" s="861">
        <f>IF($C$6=☆入力!$B$15,☆入力!$B38,☆入力!$C38)</f>
        <v>0</v>
      </c>
      <c r="D30" s="862"/>
      <c r="E30" s="862"/>
      <c r="F30" s="863"/>
      <c r="G30" s="864">
        <f>☆入力!D38</f>
        <v>0</v>
      </c>
      <c r="H30" s="864"/>
      <c r="I30" s="864"/>
      <c r="J30" s="864"/>
      <c r="K30" s="864"/>
      <c r="L30" s="865">
        <f>☆入力!H38</f>
        <v>0</v>
      </c>
      <c r="M30" s="865"/>
      <c r="N30" s="865"/>
      <c r="O30" s="865"/>
      <c r="P30" s="866">
        <f>☆入力!L38</f>
        <v>0</v>
      </c>
      <c r="Q30" s="867"/>
      <c r="R30" s="868">
        <f>☆入力!K38</f>
        <v>0</v>
      </c>
      <c r="S30" s="868"/>
      <c r="T30" s="868"/>
      <c r="U30" s="869">
        <f>☆入力!W38</f>
        <v>0</v>
      </c>
      <c r="V30" s="869"/>
      <c r="W30" s="869"/>
      <c r="X30" s="869"/>
      <c r="Y30" s="870">
        <f>☆入力!Y38</f>
        <v>0</v>
      </c>
      <c r="Z30" s="870"/>
      <c r="AA30" s="870"/>
      <c r="AB30" s="870"/>
      <c r="AD30" s="63"/>
      <c r="AS30" s="56"/>
      <c r="AT30" s="56"/>
      <c r="AU30" s="56"/>
      <c r="AV30" s="56"/>
      <c r="AW30" s="56"/>
      <c r="AX30" s="56"/>
      <c r="AY30" s="56"/>
      <c r="AZ30" s="56"/>
      <c r="BA30" s="56"/>
    </row>
    <row r="31" spans="1:53" s="4" customFormat="1" ht="21" customHeight="1">
      <c r="A31" s="860">
        <v>24</v>
      </c>
      <c r="B31" s="860"/>
      <c r="C31" s="861">
        <f>IF($C$6=☆入力!$B$15,☆入力!$B39,☆入力!$C39)</f>
        <v>0</v>
      </c>
      <c r="D31" s="862"/>
      <c r="E31" s="862"/>
      <c r="F31" s="863"/>
      <c r="G31" s="864">
        <f>☆入力!D39</f>
        <v>0</v>
      </c>
      <c r="H31" s="864"/>
      <c r="I31" s="864"/>
      <c r="J31" s="864"/>
      <c r="K31" s="864"/>
      <c r="L31" s="865">
        <f>☆入力!H39</f>
        <v>0</v>
      </c>
      <c r="M31" s="865"/>
      <c r="N31" s="865"/>
      <c r="O31" s="865"/>
      <c r="P31" s="866">
        <f>☆入力!L39</f>
        <v>0</v>
      </c>
      <c r="Q31" s="867"/>
      <c r="R31" s="868">
        <f>☆入力!K39</f>
        <v>0</v>
      </c>
      <c r="S31" s="868"/>
      <c r="T31" s="868"/>
      <c r="U31" s="869">
        <f>☆入力!W39</f>
        <v>0</v>
      </c>
      <c r="V31" s="869"/>
      <c r="W31" s="869"/>
      <c r="X31" s="869"/>
      <c r="Y31" s="870">
        <f>☆入力!Y39</f>
        <v>0</v>
      </c>
      <c r="Z31" s="870"/>
      <c r="AA31" s="870"/>
      <c r="AB31" s="870"/>
      <c r="AD31" s="63"/>
      <c r="AS31" s="56"/>
      <c r="AT31" s="56"/>
      <c r="AU31" s="56"/>
      <c r="AV31" s="56"/>
      <c r="AW31" s="56"/>
      <c r="AX31" s="56"/>
      <c r="AY31" s="56"/>
      <c r="AZ31" s="56"/>
      <c r="BA31" s="56"/>
    </row>
    <row r="32" spans="1:53" s="4" customFormat="1" ht="21" customHeight="1">
      <c r="A32" s="860">
        <v>25</v>
      </c>
      <c r="B32" s="860"/>
      <c r="C32" s="861">
        <f>IF($C$6=☆入力!$B$15,☆入力!$B40,☆入力!$C40)</f>
        <v>0</v>
      </c>
      <c r="D32" s="862"/>
      <c r="E32" s="862"/>
      <c r="F32" s="863"/>
      <c r="G32" s="864">
        <f>☆入力!D40</f>
        <v>0</v>
      </c>
      <c r="H32" s="864"/>
      <c r="I32" s="864"/>
      <c r="J32" s="864"/>
      <c r="K32" s="864"/>
      <c r="L32" s="865">
        <f>☆入力!H40</f>
        <v>0</v>
      </c>
      <c r="M32" s="865"/>
      <c r="N32" s="865"/>
      <c r="O32" s="865"/>
      <c r="P32" s="866">
        <f>☆入力!L40</f>
        <v>0</v>
      </c>
      <c r="Q32" s="867"/>
      <c r="R32" s="868">
        <f>☆入力!K40</f>
        <v>0</v>
      </c>
      <c r="S32" s="868"/>
      <c r="T32" s="868"/>
      <c r="U32" s="869">
        <f>☆入力!W40</f>
        <v>0</v>
      </c>
      <c r="V32" s="869"/>
      <c r="W32" s="869"/>
      <c r="X32" s="869"/>
      <c r="Y32" s="870">
        <f>☆入力!Y40</f>
        <v>0</v>
      </c>
      <c r="Z32" s="870"/>
      <c r="AA32" s="870"/>
      <c r="AB32" s="870"/>
      <c r="AD32" s="63"/>
    </row>
    <row r="33" spans="1:56" s="4" customFormat="1" ht="21" customHeight="1" outlineLevel="1">
      <c r="A33" s="860">
        <v>26</v>
      </c>
      <c r="B33" s="860"/>
      <c r="C33" s="861">
        <f>IF($C$6=☆入力!$B$15,☆入力!$B41,☆入力!$C41)</f>
        <v>0</v>
      </c>
      <c r="D33" s="862"/>
      <c r="E33" s="862"/>
      <c r="F33" s="863"/>
      <c r="G33" s="864">
        <f>☆入力!D41</f>
        <v>0</v>
      </c>
      <c r="H33" s="864"/>
      <c r="I33" s="864"/>
      <c r="J33" s="864"/>
      <c r="K33" s="864"/>
      <c r="L33" s="865">
        <f>☆入力!H41</f>
        <v>0</v>
      </c>
      <c r="M33" s="865"/>
      <c r="N33" s="865"/>
      <c r="O33" s="865"/>
      <c r="P33" s="866">
        <f>☆入力!L41</f>
        <v>0</v>
      </c>
      <c r="Q33" s="867"/>
      <c r="R33" s="868">
        <f>☆入力!K41</f>
        <v>0</v>
      </c>
      <c r="S33" s="868"/>
      <c r="T33" s="868"/>
      <c r="U33" s="869">
        <f>☆入力!W41</f>
        <v>0</v>
      </c>
      <c r="V33" s="869"/>
      <c r="W33" s="869"/>
      <c r="X33" s="869"/>
      <c r="Y33" s="870">
        <f>☆入力!Y41</f>
        <v>0</v>
      </c>
      <c r="Z33" s="870"/>
      <c r="AA33" s="870"/>
      <c r="AB33" s="870"/>
      <c r="AD33" s="63"/>
    </row>
    <row r="34" spans="1:56" s="4" customFormat="1" ht="21" customHeight="1" outlineLevel="1">
      <c r="A34" s="860">
        <v>27</v>
      </c>
      <c r="B34" s="860"/>
      <c r="C34" s="861">
        <f>IF($C$6=☆入力!$B$15,☆入力!$B42,☆入力!$C42)</f>
        <v>0</v>
      </c>
      <c r="D34" s="862"/>
      <c r="E34" s="862"/>
      <c r="F34" s="863"/>
      <c r="G34" s="864">
        <f>☆入力!D42</f>
        <v>0</v>
      </c>
      <c r="H34" s="864"/>
      <c r="I34" s="864"/>
      <c r="J34" s="864"/>
      <c r="K34" s="864"/>
      <c r="L34" s="865">
        <f>☆入力!H42</f>
        <v>0</v>
      </c>
      <c r="M34" s="865"/>
      <c r="N34" s="865"/>
      <c r="O34" s="865"/>
      <c r="P34" s="866">
        <f>☆入力!L42</f>
        <v>0</v>
      </c>
      <c r="Q34" s="867"/>
      <c r="R34" s="868">
        <f>☆入力!K42</f>
        <v>0</v>
      </c>
      <c r="S34" s="868"/>
      <c r="T34" s="868"/>
      <c r="U34" s="869">
        <f>☆入力!W42</f>
        <v>0</v>
      </c>
      <c r="V34" s="869"/>
      <c r="W34" s="869"/>
      <c r="X34" s="869"/>
      <c r="Y34" s="870">
        <f>☆入力!Y42</f>
        <v>0</v>
      </c>
      <c r="Z34" s="870"/>
      <c r="AA34" s="870"/>
      <c r="AB34" s="870"/>
      <c r="AD34" s="63"/>
    </row>
    <row r="35" spans="1:56" s="4" customFormat="1" ht="21" customHeight="1" outlineLevel="1">
      <c r="A35" s="860">
        <v>28</v>
      </c>
      <c r="B35" s="860"/>
      <c r="C35" s="861">
        <f>IF($C$6=☆入力!$B$15,☆入力!$B43,☆入力!$C43)</f>
        <v>0</v>
      </c>
      <c r="D35" s="862"/>
      <c r="E35" s="862"/>
      <c r="F35" s="863"/>
      <c r="G35" s="864">
        <f>☆入力!D43</f>
        <v>0</v>
      </c>
      <c r="H35" s="864"/>
      <c r="I35" s="864"/>
      <c r="J35" s="864"/>
      <c r="K35" s="864"/>
      <c r="L35" s="865">
        <f>☆入力!H43</f>
        <v>0</v>
      </c>
      <c r="M35" s="865"/>
      <c r="N35" s="865"/>
      <c r="O35" s="865"/>
      <c r="P35" s="866">
        <f>☆入力!L43</f>
        <v>0</v>
      </c>
      <c r="Q35" s="867"/>
      <c r="R35" s="868">
        <f>☆入力!K43</f>
        <v>0</v>
      </c>
      <c r="S35" s="868"/>
      <c r="T35" s="868"/>
      <c r="U35" s="869">
        <f>☆入力!W43</f>
        <v>0</v>
      </c>
      <c r="V35" s="869"/>
      <c r="W35" s="869"/>
      <c r="X35" s="869"/>
      <c r="Y35" s="870">
        <f>☆入力!Y43</f>
        <v>0</v>
      </c>
      <c r="Z35" s="870"/>
      <c r="AA35" s="870"/>
      <c r="AB35" s="870"/>
      <c r="AD35" s="63"/>
    </row>
    <row r="36" spans="1:56" s="4" customFormat="1" ht="21" customHeight="1" outlineLevel="1">
      <c r="A36" s="860">
        <v>29</v>
      </c>
      <c r="B36" s="860"/>
      <c r="C36" s="861">
        <f>IF($C$6=☆入力!$B$15,☆入力!$B44,☆入力!$C44)</f>
        <v>0</v>
      </c>
      <c r="D36" s="862"/>
      <c r="E36" s="862"/>
      <c r="F36" s="863"/>
      <c r="G36" s="864">
        <f>☆入力!D44</f>
        <v>0</v>
      </c>
      <c r="H36" s="864"/>
      <c r="I36" s="864"/>
      <c r="J36" s="864"/>
      <c r="K36" s="864"/>
      <c r="L36" s="865">
        <f>☆入力!H44</f>
        <v>0</v>
      </c>
      <c r="M36" s="865"/>
      <c r="N36" s="865"/>
      <c r="O36" s="865"/>
      <c r="P36" s="866">
        <f>☆入力!L44</f>
        <v>0</v>
      </c>
      <c r="Q36" s="867"/>
      <c r="R36" s="868">
        <f>☆入力!K44</f>
        <v>0</v>
      </c>
      <c r="S36" s="868"/>
      <c r="T36" s="868"/>
      <c r="U36" s="869">
        <f>☆入力!W44</f>
        <v>0</v>
      </c>
      <c r="V36" s="869"/>
      <c r="W36" s="869"/>
      <c r="X36" s="869"/>
      <c r="Y36" s="870">
        <f>☆入力!Y44</f>
        <v>0</v>
      </c>
      <c r="Z36" s="870"/>
      <c r="AA36" s="870"/>
      <c r="AB36" s="870"/>
      <c r="AD36" s="63"/>
    </row>
    <row r="37" spans="1:56" s="4" customFormat="1" ht="21" customHeight="1" outlineLevel="1">
      <c r="A37" s="849">
        <v>30</v>
      </c>
      <c r="B37" s="849"/>
      <c r="C37" s="850">
        <f>IF($C$6=☆入力!$B$15,☆入力!$B45,☆入力!$C45)</f>
        <v>0</v>
      </c>
      <c r="D37" s="851"/>
      <c r="E37" s="851"/>
      <c r="F37" s="852"/>
      <c r="G37" s="853">
        <f>☆入力!D45</f>
        <v>0</v>
      </c>
      <c r="H37" s="853"/>
      <c r="I37" s="853"/>
      <c r="J37" s="853"/>
      <c r="K37" s="853"/>
      <c r="L37" s="854">
        <f>☆入力!H45</f>
        <v>0</v>
      </c>
      <c r="M37" s="854"/>
      <c r="N37" s="854"/>
      <c r="O37" s="854"/>
      <c r="P37" s="855">
        <f>☆入力!L45</f>
        <v>0</v>
      </c>
      <c r="Q37" s="856"/>
      <c r="R37" s="857">
        <f>☆入力!K45</f>
        <v>0</v>
      </c>
      <c r="S37" s="857"/>
      <c r="T37" s="857"/>
      <c r="U37" s="858">
        <f>☆入力!W45</f>
        <v>0</v>
      </c>
      <c r="V37" s="858"/>
      <c r="W37" s="858"/>
      <c r="X37" s="858"/>
      <c r="Y37" s="859">
        <f>☆入力!Y45</f>
        <v>0</v>
      </c>
      <c r="Z37" s="859"/>
      <c r="AA37" s="859"/>
      <c r="AB37" s="859"/>
      <c r="AD37" s="63"/>
    </row>
    <row r="38" spans="1:56" s="14" customFormat="1" ht="21" customHeight="1">
      <c r="C38" s="479"/>
      <c r="D38" s="479"/>
      <c r="E38" s="479"/>
      <c r="F38" s="479"/>
      <c r="G38" s="479"/>
      <c r="H38" s="479"/>
      <c r="I38" s="479"/>
      <c r="J38" s="479"/>
      <c r="K38" s="75" t="s">
        <v>323</v>
      </c>
      <c r="L38" s="479"/>
      <c r="M38" s="479"/>
      <c r="N38" s="479"/>
      <c r="O38" s="479"/>
      <c r="P38" s="479"/>
      <c r="Q38" s="479"/>
      <c r="R38" s="479"/>
      <c r="S38" s="479"/>
      <c r="T38" s="479"/>
      <c r="U38" s="479"/>
      <c r="V38" s="479"/>
      <c r="W38" s="479"/>
      <c r="X38" s="479"/>
      <c r="AD38" s="65"/>
    </row>
    <row r="39" spans="1:56" s="14" customFormat="1" ht="21" customHeight="1">
      <c r="C39" s="479"/>
      <c r="D39" s="479"/>
      <c r="E39" s="479"/>
      <c r="F39" s="479"/>
      <c r="G39" s="479"/>
      <c r="H39" s="479"/>
      <c r="I39" s="479"/>
      <c r="J39" s="479"/>
      <c r="K39" s="885" t="s">
        <v>43</v>
      </c>
      <c r="L39" s="885"/>
      <c r="M39" s="885"/>
      <c r="N39" s="885"/>
      <c r="O39" s="885"/>
      <c r="P39" s="887">
        <f>SUM(P8:Q37)</f>
        <v>0</v>
      </c>
      <c r="Q39" s="887"/>
      <c r="R39" s="889" t="s">
        <v>324</v>
      </c>
      <c r="S39" s="889"/>
      <c r="T39" s="889"/>
      <c r="U39" s="891">
        <f>SUM(U8:X37)</f>
        <v>0</v>
      </c>
      <c r="V39" s="891"/>
      <c r="W39" s="891"/>
      <c r="X39" s="891"/>
      <c r="Y39" s="893">
        <f>SUM(Y8:AB37)</f>
        <v>0</v>
      </c>
      <c r="Z39" s="893"/>
      <c r="AA39" s="893"/>
      <c r="AB39" s="893"/>
      <c r="AD39" s="65"/>
      <c r="AF39" s="878" t="s">
        <v>325</v>
      </c>
      <c r="AG39" s="878"/>
      <c r="AH39" s="878"/>
      <c r="AI39" s="878"/>
      <c r="AJ39" s="878"/>
      <c r="AK39" s="878"/>
      <c r="AL39" s="878"/>
      <c r="AM39" s="878"/>
      <c r="AN39" s="878"/>
      <c r="AO39" s="878"/>
      <c r="AP39" s="878"/>
      <c r="AQ39" s="878"/>
      <c r="AR39" s="878"/>
      <c r="AS39" s="878"/>
      <c r="AT39" s="878"/>
      <c r="AU39" s="878"/>
      <c r="AV39" s="878"/>
      <c r="AW39" s="878"/>
      <c r="AX39" s="878"/>
      <c r="AY39" s="878"/>
      <c r="AZ39" s="878"/>
      <c r="BA39" s="878"/>
    </row>
    <row r="40" spans="1:56" s="14" customFormat="1" ht="21" customHeight="1" thickBot="1">
      <c r="C40" s="15"/>
      <c r="D40" s="15"/>
      <c r="E40" s="15"/>
      <c r="F40" s="15"/>
      <c r="G40" s="15"/>
      <c r="H40" s="15"/>
      <c r="I40" s="15"/>
      <c r="J40" s="15"/>
      <c r="K40" s="886"/>
      <c r="L40" s="886"/>
      <c r="M40" s="886"/>
      <c r="N40" s="886"/>
      <c r="O40" s="886"/>
      <c r="P40" s="888"/>
      <c r="Q40" s="888"/>
      <c r="R40" s="890"/>
      <c r="S40" s="890"/>
      <c r="T40" s="890"/>
      <c r="U40" s="892"/>
      <c r="V40" s="892"/>
      <c r="W40" s="892"/>
      <c r="X40" s="892"/>
      <c r="Y40" s="894"/>
      <c r="Z40" s="894"/>
      <c r="AA40" s="894"/>
      <c r="AB40" s="894"/>
      <c r="AD40" s="65"/>
      <c r="AF40" s="878"/>
      <c r="AG40" s="878"/>
      <c r="AH40" s="878"/>
      <c r="AI40" s="878"/>
      <c r="AJ40" s="878"/>
      <c r="AK40" s="878"/>
      <c r="AL40" s="878"/>
      <c r="AM40" s="878"/>
      <c r="AN40" s="878"/>
      <c r="AO40" s="878"/>
      <c r="AP40" s="878"/>
      <c r="AQ40" s="878"/>
      <c r="AR40" s="878"/>
      <c r="AS40" s="878"/>
      <c r="AT40" s="878"/>
      <c r="AU40" s="878"/>
      <c r="AV40" s="878"/>
      <c r="AW40" s="878"/>
      <c r="AX40" s="878"/>
      <c r="AY40" s="878"/>
      <c r="AZ40" s="878"/>
      <c r="BA40" s="878"/>
    </row>
    <row r="41" spans="1:56" s="14" customFormat="1" ht="21" customHeight="1" thickTop="1">
      <c r="C41" s="15"/>
      <c r="D41" s="15"/>
      <c r="E41" s="15"/>
      <c r="F41" s="15"/>
      <c r="G41" s="15"/>
      <c r="H41" s="15"/>
      <c r="I41" s="15"/>
      <c r="J41" s="15"/>
      <c r="L41" s="479"/>
      <c r="M41" s="479"/>
      <c r="N41" s="479"/>
      <c r="O41" s="479"/>
      <c r="P41" s="479"/>
      <c r="Q41" s="479"/>
      <c r="R41" s="479"/>
      <c r="S41" s="479"/>
      <c r="T41" s="479"/>
      <c r="U41" s="479"/>
      <c r="V41" s="479"/>
      <c r="W41" s="479"/>
      <c r="X41" s="479"/>
      <c r="Y41" s="479"/>
      <c r="Z41" s="479"/>
      <c r="AA41" s="479"/>
      <c r="AB41" s="479"/>
      <c r="AC41" s="479"/>
      <c r="AD41" s="65"/>
      <c r="AS41" s="879">
        <f>AS7+AS19+AS24</f>
        <v>0</v>
      </c>
      <c r="AT41" s="880"/>
      <c r="AU41" s="880"/>
      <c r="AV41" s="880"/>
      <c r="AW41" s="880"/>
      <c r="AX41" s="880"/>
      <c r="AY41" s="880"/>
      <c r="AZ41" s="880"/>
      <c r="BA41" s="881"/>
    </row>
    <row r="42" spans="1:56" s="14" customFormat="1" ht="21" customHeight="1" thickBot="1">
      <c r="A42" s="67"/>
      <c r="B42" s="67"/>
      <c r="C42" s="186"/>
      <c r="D42" s="186"/>
      <c r="E42" s="186"/>
      <c r="F42" s="186"/>
      <c r="G42" s="186"/>
      <c r="H42" s="186"/>
      <c r="I42" s="186"/>
      <c r="J42" s="186"/>
      <c r="K42" s="186"/>
      <c r="L42" s="186"/>
      <c r="M42" s="186"/>
      <c r="N42" s="67"/>
      <c r="O42" s="67"/>
      <c r="P42" s="67"/>
      <c r="Q42" s="67"/>
      <c r="R42" s="67"/>
      <c r="S42" s="67"/>
      <c r="T42" s="67"/>
      <c r="U42" s="67"/>
      <c r="V42" s="67"/>
      <c r="W42" s="67"/>
      <c r="X42" s="67"/>
      <c r="Y42" s="67"/>
      <c r="Z42" s="67"/>
      <c r="AA42" s="67"/>
      <c r="AB42" s="67"/>
      <c r="AD42" s="65"/>
      <c r="AS42" s="882"/>
      <c r="AT42" s="883"/>
      <c r="AU42" s="883"/>
      <c r="AV42" s="883"/>
      <c r="AW42" s="883"/>
      <c r="AX42" s="883"/>
      <c r="AY42" s="883"/>
      <c r="AZ42" s="883"/>
      <c r="BA42" s="884"/>
    </row>
    <row r="43" spans="1:56" s="14" customFormat="1" ht="21" customHeight="1" thickTop="1">
      <c r="A43" s="67"/>
      <c r="B43" s="67"/>
      <c r="C43" s="186"/>
      <c r="D43" s="186"/>
      <c r="E43" s="186"/>
      <c r="F43" s="186"/>
      <c r="G43" s="186"/>
      <c r="H43" s="186"/>
      <c r="I43" s="186"/>
      <c r="J43" s="186"/>
      <c r="K43" s="186"/>
      <c r="L43" s="186"/>
      <c r="M43" s="186"/>
      <c r="N43" s="67"/>
      <c r="O43" s="67"/>
      <c r="P43" s="67"/>
      <c r="Q43" s="67"/>
      <c r="R43" s="67"/>
      <c r="S43" s="67"/>
      <c r="T43" s="67"/>
      <c r="U43" s="67"/>
      <c r="V43" s="67"/>
      <c r="W43" s="67"/>
      <c r="X43" s="67"/>
      <c r="Y43" s="67"/>
      <c r="Z43" s="67"/>
      <c r="AA43" s="67"/>
      <c r="AB43" s="67"/>
      <c r="AD43" s="65"/>
    </row>
    <row r="44" spans="1:56" s="14" customFormat="1" ht="21" customHeight="1">
      <c r="A44" s="67"/>
      <c r="B44" s="67"/>
      <c r="C44" s="186"/>
      <c r="D44" s="186"/>
      <c r="E44" s="186"/>
      <c r="F44" s="186"/>
      <c r="G44" s="186"/>
      <c r="H44" s="186"/>
      <c r="I44" s="186"/>
      <c r="J44" s="186"/>
      <c r="K44" s="186"/>
      <c r="L44" s="186"/>
      <c r="M44" s="186"/>
      <c r="N44" s="67"/>
      <c r="O44" s="67"/>
      <c r="P44" s="67"/>
      <c r="Q44" s="67"/>
      <c r="R44" s="67"/>
      <c r="S44" s="67"/>
      <c r="T44" s="67"/>
      <c r="U44" s="67"/>
      <c r="V44" s="67"/>
      <c r="W44" s="67"/>
      <c r="X44" s="67"/>
      <c r="Y44" s="67"/>
      <c r="Z44" s="67"/>
      <c r="AA44" s="67"/>
      <c r="AB44" s="67"/>
      <c r="BD44" s="310">
        <v>5</v>
      </c>
    </row>
  </sheetData>
  <mergeCells count="266">
    <mergeCell ref="AS41:BA42"/>
    <mergeCell ref="K39:O40"/>
    <mergeCell ref="P39:Q40"/>
    <mergeCell ref="R39:T40"/>
    <mergeCell ref="U39:X40"/>
    <mergeCell ref="Y39:AB40"/>
    <mergeCell ref="AF39:BA40"/>
    <mergeCell ref="U36:X36"/>
    <mergeCell ref="Y36:AB36"/>
    <mergeCell ref="A37:B37"/>
    <mergeCell ref="C37:F37"/>
    <mergeCell ref="G37:K37"/>
    <mergeCell ref="L37:O37"/>
    <mergeCell ref="P37:Q37"/>
    <mergeCell ref="R37:T37"/>
    <mergeCell ref="U37:X37"/>
    <mergeCell ref="Y37:AB37"/>
    <mergeCell ref="A36:B36"/>
    <mergeCell ref="C36:F36"/>
    <mergeCell ref="G36:K36"/>
    <mergeCell ref="L36:O36"/>
    <mergeCell ref="P36:Q36"/>
    <mergeCell ref="R36:T36"/>
    <mergeCell ref="U34:X34"/>
    <mergeCell ref="Y34:AB34"/>
    <mergeCell ref="A35:B35"/>
    <mergeCell ref="C35:F35"/>
    <mergeCell ref="G35:K35"/>
    <mergeCell ref="L35:O35"/>
    <mergeCell ref="P35:Q35"/>
    <mergeCell ref="R35:T35"/>
    <mergeCell ref="U35:X35"/>
    <mergeCell ref="Y35:AB35"/>
    <mergeCell ref="A34:B34"/>
    <mergeCell ref="C34:F34"/>
    <mergeCell ref="G34:K34"/>
    <mergeCell ref="L34:O34"/>
    <mergeCell ref="P34:Q34"/>
    <mergeCell ref="R34:T34"/>
    <mergeCell ref="U32:X32"/>
    <mergeCell ref="Y32:AB32"/>
    <mergeCell ref="A33:B33"/>
    <mergeCell ref="C33:F33"/>
    <mergeCell ref="G33:K33"/>
    <mergeCell ref="L33:O33"/>
    <mergeCell ref="P33:Q33"/>
    <mergeCell ref="R33:T33"/>
    <mergeCell ref="U33:X33"/>
    <mergeCell ref="Y33:AB33"/>
    <mergeCell ref="A32:B32"/>
    <mergeCell ref="C32:F32"/>
    <mergeCell ref="G32:K32"/>
    <mergeCell ref="L32:O32"/>
    <mergeCell ref="P32:Q32"/>
    <mergeCell ref="R32:T32"/>
    <mergeCell ref="U30:X30"/>
    <mergeCell ref="Y30:AB30"/>
    <mergeCell ref="A31:B31"/>
    <mergeCell ref="C31:F31"/>
    <mergeCell ref="G31:K31"/>
    <mergeCell ref="L31:O31"/>
    <mergeCell ref="P31:Q31"/>
    <mergeCell ref="R31:T31"/>
    <mergeCell ref="U31:X31"/>
    <mergeCell ref="Y31:AB31"/>
    <mergeCell ref="A30:B30"/>
    <mergeCell ref="C30:F30"/>
    <mergeCell ref="G30:K30"/>
    <mergeCell ref="L30:O30"/>
    <mergeCell ref="P30:Q30"/>
    <mergeCell ref="R30:T30"/>
    <mergeCell ref="U28:X28"/>
    <mergeCell ref="Y28:AB28"/>
    <mergeCell ref="A29:B29"/>
    <mergeCell ref="C29:F29"/>
    <mergeCell ref="G29:K29"/>
    <mergeCell ref="L29:O29"/>
    <mergeCell ref="P29:Q29"/>
    <mergeCell ref="R29:T29"/>
    <mergeCell ref="U29:X29"/>
    <mergeCell ref="Y29:AB29"/>
    <mergeCell ref="A28:B28"/>
    <mergeCell ref="C28:F28"/>
    <mergeCell ref="G28:K28"/>
    <mergeCell ref="L28:O28"/>
    <mergeCell ref="P28:Q28"/>
    <mergeCell ref="R28:T28"/>
    <mergeCell ref="A27:B27"/>
    <mergeCell ref="C27:F27"/>
    <mergeCell ref="G27:K27"/>
    <mergeCell ref="L27:O27"/>
    <mergeCell ref="P27:Q27"/>
    <mergeCell ref="R27:T27"/>
    <mergeCell ref="U27:X27"/>
    <mergeCell ref="Y27:AB27"/>
    <mergeCell ref="Y25:AB25"/>
    <mergeCell ref="A26:B26"/>
    <mergeCell ref="C26:F26"/>
    <mergeCell ref="G26:K26"/>
    <mergeCell ref="L26:O26"/>
    <mergeCell ref="P26:Q26"/>
    <mergeCell ref="R26:T26"/>
    <mergeCell ref="U26:X26"/>
    <mergeCell ref="Y26:AB26"/>
    <mergeCell ref="U24:X24"/>
    <mergeCell ref="Y24:AB24"/>
    <mergeCell ref="A25:B25"/>
    <mergeCell ref="C25:F25"/>
    <mergeCell ref="G25:K25"/>
    <mergeCell ref="L25:O25"/>
    <mergeCell ref="P25:Q25"/>
    <mergeCell ref="R25:T25"/>
    <mergeCell ref="U25:X25"/>
    <mergeCell ref="A24:B24"/>
    <mergeCell ref="C24:F24"/>
    <mergeCell ref="G24:K24"/>
    <mergeCell ref="L24:O24"/>
    <mergeCell ref="P24:Q24"/>
    <mergeCell ref="R24:T24"/>
    <mergeCell ref="A23:B23"/>
    <mergeCell ref="C23:F23"/>
    <mergeCell ref="G23:K23"/>
    <mergeCell ref="L23:O23"/>
    <mergeCell ref="P23:Q23"/>
    <mergeCell ref="R23:T23"/>
    <mergeCell ref="Y23:AB23"/>
    <mergeCell ref="Y21:AB21"/>
    <mergeCell ref="A22:B22"/>
    <mergeCell ref="C22:F22"/>
    <mergeCell ref="G22:K22"/>
    <mergeCell ref="L22:O22"/>
    <mergeCell ref="P22:Q22"/>
    <mergeCell ref="R22:T22"/>
    <mergeCell ref="U22:X22"/>
    <mergeCell ref="Y22:AB22"/>
    <mergeCell ref="U21:X21"/>
    <mergeCell ref="U23:X23"/>
    <mergeCell ref="AN23:AP23"/>
    <mergeCell ref="A17:B17"/>
    <mergeCell ref="C17:F17"/>
    <mergeCell ref="G17:K17"/>
    <mergeCell ref="L17:O17"/>
    <mergeCell ref="P17:Q17"/>
    <mergeCell ref="R17:T17"/>
    <mergeCell ref="U17:X17"/>
    <mergeCell ref="Y17:AB17"/>
    <mergeCell ref="U18:X18"/>
    <mergeCell ref="Y18:AB18"/>
    <mergeCell ref="A19:B19"/>
    <mergeCell ref="C19:F19"/>
    <mergeCell ref="G19:K19"/>
    <mergeCell ref="L19:O19"/>
    <mergeCell ref="P19:Q19"/>
    <mergeCell ref="R19:T19"/>
    <mergeCell ref="U19:X19"/>
    <mergeCell ref="Y19:AB19"/>
    <mergeCell ref="A18:B18"/>
    <mergeCell ref="C18:F18"/>
    <mergeCell ref="G18:K18"/>
    <mergeCell ref="L18:O18"/>
    <mergeCell ref="P18:Q18"/>
    <mergeCell ref="AN22:AP22"/>
    <mergeCell ref="A16:B16"/>
    <mergeCell ref="C16:F16"/>
    <mergeCell ref="G16:K16"/>
    <mergeCell ref="L16:O16"/>
    <mergeCell ref="P16:Q16"/>
    <mergeCell ref="R16:T16"/>
    <mergeCell ref="U16:X16"/>
    <mergeCell ref="A15:B15"/>
    <mergeCell ref="C15:F15"/>
    <mergeCell ref="G15:K15"/>
    <mergeCell ref="L15:O15"/>
    <mergeCell ref="P15:Q15"/>
    <mergeCell ref="R15:T15"/>
    <mergeCell ref="Y16:AB16"/>
    <mergeCell ref="R18:T18"/>
    <mergeCell ref="U20:X20"/>
    <mergeCell ref="Y20:AB20"/>
    <mergeCell ref="A21:B21"/>
    <mergeCell ref="C21:F21"/>
    <mergeCell ref="G21:K21"/>
    <mergeCell ref="L21:O21"/>
    <mergeCell ref="P21:Q21"/>
    <mergeCell ref="R21:T21"/>
    <mergeCell ref="U13:X13"/>
    <mergeCell ref="Y13:AB13"/>
    <mergeCell ref="AS19:BA20"/>
    <mergeCell ref="A14:B14"/>
    <mergeCell ref="C14:F14"/>
    <mergeCell ref="G14:K14"/>
    <mergeCell ref="L14:O14"/>
    <mergeCell ref="P14:Q14"/>
    <mergeCell ref="R14:T14"/>
    <mergeCell ref="U14:X14"/>
    <mergeCell ref="Y14:AB14"/>
    <mergeCell ref="U15:X15"/>
    <mergeCell ref="Y15:AB15"/>
    <mergeCell ref="A20:B20"/>
    <mergeCell ref="C20:F20"/>
    <mergeCell ref="G20:K20"/>
    <mergeCell ref="L20:O20"/>
    <mergeCell ref="P20:Q20"/>
    <mergeCell ref="R20:T20"/>
    <mergeCell ref="U11:X11"/>
    <mergeCell ref="Y11:AB11"/>
    <mergeCell ref="AF16:BA17"/>
    <mergeCell ref="A12:B12"/>
    <mergeCell ref="C12:F12"/>
    <mergeCell ref="G12:K12"/>
    <mergeCell ref="L12:O12"/>
    <mergeCell ref="P12:Q12"/>
    <mergeCell ref="R12:T12"/>
    <mergeCell ref="U12:X12"/>
    <mergeCell ref="A11:B11"/>
    <mergeCell ref="C11:F11"/>
    <mergeCell ref="G11:K11"/>
    <mergeCell ref="L11:O11"/>
    <mergeCell ref="P11:Q11"/>
    <mergeCell ref="R11:T11"/>
    <mergeCell ref="AS13:BA14"/>
    <mergeCell ref="Y12:AB12"/>
    <mergeCell ref="A13:B13"/>
    <mergeCell ref="C13:F13"/>
    <mergeCell ref="G13:K13"/>
    <mergeCell ref="L13:O13"/>
    <mergeCell ref="P13:Q13"/>
    <mergeCell ref="R13:T13"/>
    <mergeCell ref="AO10:AR10"/>
    <mergeCell ref="A9:B9"/>
    <mergeCell ref="C9:F9"/>
    <mergeCell ref="G9:K9"/>
    <mergeCell ref="L9:O9"/>
    <mergeCell ref="P9:Q9"/>
    <mergeCell ref="R9:T9"/>
    <mergeCell ref="U9:X9"/>
    <mergeCell ref="Y9:AB9"/>
    <mergeCell ref="A10:B10"/>
    <mergeCell ref="C10:F10"/>
    <mergeCell ref="G10:K10"/>
    <mergeCell ref="L10:O10"/>
    <mergeCell ref="P10:Q10"/>
    <mergeCell ref="R10:T10"/>
    <mergeCell ref="U10:X10"/>
    <mergeCell ref="Y10:AB10"/>
    <mergeCell ref="AF7:AR8"/>
    <mergeCell ref="AS7:BA8"/>
    <mergeCell ref="A8:B8"/>
    <mergeCell ref="C8:F8"/>
    <mergeCell ref="G8:K8"/>
    <mergeCell ref="L8:O8"/>
    <mergeCell ref="P8:Q8"/>
    <mergeCell ref="R8:T8"/>
    <mergeCell ref="U8:X8"/>
    <mergeCell ref="Y8:AB8"/>
    <mergeCell ref="A1:BD1"/>
    <mergeCell ref="R3:AB4"/>
    <mergeCell ref="AF3:BA4"/>
    <mergeCell ref="A6:B6"/>
    <mergeCell ref="C6:F6"/>
    <mergeCell ref="G6:K6"/>
    <mergeCell ref="L6:O6"/>
    <mergeCell ref="P6:Q6"/>
    <mergeCell ref="R6:T6"/>
    <mergeCell ref="U6:X6"/>
    <mergeCell ref="Y6:AB6"/>
  </mergeCells>
  <phoneticPr fontId="2"/>
  <conditionalFormatting sqref="A42:AB44">
    <cfRule type="cellIs" dxfId="83" priority="1" operator="equal">
      <formula>0</formula>
    </cfRule>
  </conditionalFormatting>
  <conditionalFormatting sqref="C8:G37 L8:L37 P8:Q37 U8:X37">
    <cfRule type="cellIs" dxfId="82" priority="4" operator="equal">
      <formula>0</formula>
    </cfRule>
  </conditionalFormatting>
  <conditionalFormatting sqref="R8:T37">
    <cfRule type="cellIs" dxfId="81" priority="3" operator="equal">
      <formula>0</formula>
    </cfRule>
  </conditionalFormatting>
  <conditionalFormatting sqref="Y8:AB37">
    <cfRule type="cellIs" dxfId="80" priority="2" operator="equal">
      <formula>0</formula>
    </cfRule>
  </conditionalFormatting>
  <printOptions horizontalCentered="1" verticalCentered="1"/>
  <pageMargins left="0" right="0" top="0" bottom="0" header="0" footer="0"/>
  <pageSetup paperSize="9" scale="55" orientation="landscape" r:id="rId1"/>
  <colBreaks count="1" manualBreakCount="1">
    <brk id="57" max="40"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596E0-E9C5-4AE9-AFD8-13AD9D75DF98}">
  <sheetPr>
    <tabColor rgb="FFFFFF00"/>
  </sheetPr>
  <dimension ref="A1:CB46"/>
  <sheetViews>
    <sheetView view="pageBreakPreview" zoomScale="40" zoomScaleNormal="80" zoomScaleSheetLayoutView="40" workbookViewId="0">
      <selection activeCell="BD45" sqref="BD45"/>
    </sheetView>
  </sheetViews>
  <sheetFormatPr defaultColWidth="3.5" defaultRowHeight="21" customHeight="1" outlineLevelRow="1"/>
  <cols>
    <col min="1" max="2" width="3.5" style="2"/>
    <col min="3" max="13" width="3.5" style="3"/>
    <col min="14" max="16384" width="3.5" style="2"/>
  </cols>
  <sheetData>
    <row r="1" spans="1:80" ht="38.25">
      <c r="A1" s="877" t="s">
        <v>326</v>
      </c>
      <c r="B1" s="877"/>
      <c r="C1" s="877"/>
      <c r="D1" s="877"/>
      <c r="E1" s="877"/>
      <c r="F1" s="877"/>
      <c r="G1" s="877"/>
      <c r="H1" s="877"/>
      <c r="I1" s="877"/>
      <c r="J1" s="877"/>
      <c r="K1" s="877"/>
      <c r="L1" s="877"/>
      <c r="M1" s="877"/>
      <c r="N1" s="877"/>
      <c r="O1" s="877"/>
      <c r="P1" s="877"/>
      <c r="Q1" s="877"/>
      <c r="R1" s="877"/>
      <c r="S1" s="877"/>
      <c r="T1" s="877"/>
      <c r="U1" s="877"/>
      <c r="V1" s="877"/>
      <c r="W1" s="877"/>
      <c r="X1" s="877"/>
      <c r="Y1" s="877"/>
      <c r="Z1" s="877"/>
      <c r="AA1" s="877"/>
      <c r="AB1" s="877"/>
      <c r="AC1" s="877"/>
      <c r="AD1" s="877"/>
      <c r="AE1" s="877"/>
      <c r="AF1" s="877"/>
      <c r="AG1" s="877"/>
      <c r="AH1" s="877"/>
      <c r="AI1" s="877"/>
      <c r="AJ1" s="877"/>
      <c r="AK1" s="877"/>
      <c r="AL1" s="877"/>
      <c r="AM1" s="877"/>
      <c r="AN1" s="877"/>
      <c r="AO1" s="877"/>
      <c r="AP1" s="877"/>
      <c r="AQ1" s="877"/>
      <c r="AR1" s="877"/>
      <c r="AS1" s="877"/>
      <c r="AT1" s="877"/>
      <c r="AU1" s="877"/>
      <c r="AV1" s="877"/>
      <c r="AW1" s="877"/>
      <c r="AX1" s="877"/>
      <c r="AY1" s="877"/>
      <c r="AZ1" s="877"/>
      <c r="BA1" s="877"/>
      <c r="BB1" s="877"/>
      <c r="BC1" s="877"/>
      <c r="BD1" s="877"/>
      <c r="BE1" s="55"/>
    </row>
    <row r="2" spans="1:80" ht="21" customHeight="1" thickBot="1">
      <c r="A2" s="467"/>
      <c r="B2" s="467"/>
      <c r="C2" s="467"/>
      <c r="D2" s="467"/>
      <c r="E2" s="467"/>
      <c r="F2" s="467"/>
      <c r="G2" s="467"/>
      <c r="H2" s="467"/>
      <c r="I2" s="467"/>
      <c r="J2" s="467"/>
      <c r="K2" s="467"/>
      <c r="L2" s="467"/>
      <c r="M2" s="467"/>
      <c r="N2" s="467"/>
      <c r="O2" s="467"/>
      <c r="P2" s="467"/>
      <c r="Q2" s="467"/>
      <c r="R2" s="467"/>
      <c r="S2" s="467"/>
      <c r="T2" s="467"/>
      <c r="U2" s="467"/>
      <c r="V2" s="467"/>
      <c r="W2" s="467"/>
      <c r="X2" s="467"/>
      <c r="Y2" s="467"/>
      <c r="Z2" s="467"/>
      <c r="AA2" s="467"/>
      <c r="AB2" s="467"/>
      <c r="AC2" s="467"/>
      <c r="AD2" s="467"/>
      <c r="AE2" s="467"/>
      <c r="AF2" s="467"/>
      <c r="AG2" s="467"/>
      <c r="AH2" s="467"/>
      <c r="AI2" s="467"/>
      <c r="AJ2" s="467"/>
      <c r="AK2" s="467"/>
      <c r="AL2" s="467"/>
      <c r="AM2" s="467"/>
      <c r="AN2" s="467"/>
      <c r="AO2" s="467"/>
      <c r="AP2" s="467"/>
      <c r="AQ2" s="467"/>
      <c r="AR2" s="467"/>
      <c r="AS2" s="467"/>
      <c r="AT2" s="467"/>
      <c r="AU2" s="467"/>
      <c r="AV2" s="467"/>
      <c r="AW2" s="467"/>
      <c r="AX2" s="467"/>
      <c r="AY2" s="467"/>
      <c r="AZ2" s="467"/>
      <c r="BA2" s="467"/>
      <c r="BB2" s="467"/>
      <c r="BC2" s="467"/>
      <c r="BD2" s="467"/>
      <c r="BE2" s="55"/>
    </row>
    <row r="3" spans="1:80" s="4" customFormat="1" ht="23.1" customHeight="1" thickTop="1">
      <c r="A3" s="60"/>
      <c r="B3" s="60"/>
      <c r="C3" s="60"/>
      <c r="D3" s="60"/>
      <c r="E3" s="60"/>
      <c r="F3" s="60"/>
      <c r="G3" s="60"/>
      <c r="H3" s="60"/>
      <c r="I3" s="60"/>
      <c r="J3" s="60"/>
      <c r="K3" s="60"/>
      <c r="L3" s="60"/>
      <c r="M3" s="60"/>
      <c r="N3" s="60"/>
      <c r="O3" s="60"/>
      <c r="P3" s="60"/>
      <c r="Q3" s="60"/>
      <c r="R3" s="945" t="s">
        <v>327</v>
      </c>
      <c r="S3" s="946"/>
      <c r="T3" s="946"/>
      <c r="U3" s="946"/>
      <c r="V3" s="946"/>
      <c r="W3" s="946"/>
      <c r="X3" s="946"/>
      <c r="Y3" s="946"/>
      <c r="Z3" s="946"/>
      <c r="AA3" s="946"/>
      <c r="AB3" s="947"/>
      <c r="AC3" s="60"/>
      <c r="AD3" s="60"/>
      <c r="AE3" s="60"/>
      <c r="AF3" s="951" t="s">
        <v>328</v>
      </c>
      <c r="AG3" s="952"/>
      <c r="AH3" s="952"/>
      <c r="AI3" s="952"/>
      <c r="AJ3" s="952"/>
      <c r="AK3" s="952"/>
      <c r="AL3" s="952"/>
      <c r="AM3" s="952"/>
      <c r="AN3" s="952"/>
      <c r="AO3" s="952"/>
      <c r="AP3" s="952"/>
      <c r="AQ3" s="952"/>
      <c r="AR3" s="952"/>
      <c r="AS3" s="952"/>
      <c r="AT3" s="952"/>
      <c r="AU3" s="952"/>
      <c r="AV3" s="952"/>
      <c r="AW3" s="952"/>
      <c r="AX3" s="952"/>
      <c r="AY3" s="952"/>
      <c r="AZ3" s="952"/>
      <c r="BA3" s="953"/>
      <c r="BB3" s="60"/>
      <c r="BC3" s="60"/>
      <c r="BD3" s="60"/>
    </row>
    <row r="4" spans="1:80" s="13" customFormat="1" ht="21" customHeight="1" thickBot="1">
      <c r="B4" s="12"/>
      <c r="C4" s="12"/>
      <c r="D4" s="12"/>
      <c r="E4" s="12"/>
      <c r="F4" s="12"/>
      <c r="G4" s="12"/>
      <c r="H4" s="12"/>
      <c r="I4" s="12"/>
      <c r="J4" s="12"/>
      <c r="K4" s="12"/>
      <c r="L4" s="12"/>
      <c r="M4" s="12"/>
      <c r="N4" s="12"/>
      <c r="O4" s="12"/>
      <c r="P4" s="12"/>
      <c r="Q4" s="12"/>
      <c r="R4" s="948"/>
      <c r="S4" s="949"/>
      <c r="T4" s="949"/>
      <c r="U4" s="949"/>
      <c r="V4" s="949"/>
      <c r="W4" s="949"/>
      <c r="X4" s="949"/>
      <c r="Y4" s="949"/>
      <c r="Z4" s="949"/>
      <c r="AA4" s="949"/>
      <c r="AB4" s="950"/>
      <c r="AD4" s="66"/>
      <c r="AF4" s="954"/>
      <c r="AG4" s="955"/>
      <c r="AH4" s="955"/>
      <c r="AI4" s="955"/>
      <c r="AJ4" s="955"/>
      <c r="AK4" s="955"/>
      <c r="AL4" s="955"/>
      <c r="AM4" s="955"/>
      <c r="AN4" s="955"/>
      <c r="AO4" s="955"/>
      <c r="AP4" s="955"/>
      <c r="AQ4" s="955"/>
      <c r="AR4" s="955"/>
      <c r="AS4" s="955"/>
      <c r="AT4" s="955"/>
      <c r="AU4" s="955"/>
      <c r="AV4" s="955"/>
      <c r="AW4" s="955"/>
      <c r="AX4" s="955"/>
      <c r="AY4" s="955"/>
      <c r="AZ4" s="955"/>
      <c r="BA4" s="956"/>
    </row>
    <row r="5" spans="1:80" s="4" customFormat="1" ht="21" customHeight="1" thickTop="1">
      <c r="A5" s="52"/>
      <c r="B5" s="53"/>
      <c r="C5" s="54"/>
      <c r="D5" s="54"/>
      <c r="E5" s="54"/>
      <c r="F5" s="54"/>
      <c r="G5" s="54"/>
      <c r="H5" s="54"/>
      <c r="I5" s="54"/>
      <c r="J5" s="54"/>
      <c r="K5" s="54"/>
      <c r="L5" s="54"/>
      <c r="M5" s="54"/>
      <c r="N5" s="53"/>
      <c r="O5" s="53"/>
      <c r="P5" s="53"/>
      <c r="Q5" s="53"/>
      <c r="R5" s="53"/>
      <c r="S5" s="53"/>
      <c r="T5" s="53"/>
      <c r="U5" s="53"/>
      <c r="V5" s="53"/>
      <c r="W5" s="53"/>
      <c r="X5" s="53"/>
      <c r="Y5" s="53"/>
      <c r="Z5" s="53"/>
      <c r="AA5" s="53"/>
      <c r="AB5" s="53"/>
      <c r="AD5" s="63"/>
    </row>
    <row r="6" spans="1:80" ht="21" customHeight="1" thickBot="1">
      <c r="A6" s="903" t="s">
        <v>304</v>
      </c>
      <c r="B6" s="907"/>
      <c r="C6" s="908" t="str">
        <f>LED計算式!M32</f>
        <v>試算エリア</v>
      </c>
      <c r="D6" s="909"/>
      <c r="E6" s="909"/>
      <c r="F6" s="910"/>
      <c r="G6" s="871" t="s">
        <v>305</v>
      </c>
      <c r="H6" s="871"/>
      <c r="I6" s="871"/>
      <c r="J6" s="871"/>
      <c r="K6" s="871"/>
      <c r="L6" s="873" t="s">
        <v>306</v>
      </c>
      <c r="M6" s="873"/>
      <c r="N6" s="873"/>
      <c r="O6" s="873"/>
      <c r="P6" s="902" t="s">
        <v>200</v>
      </c>
      <c r="Q6" s="902"/>
      <c r="R6" s="904" t="s">
        <v>117</v>
      </c>
      <c r="S6" s="904"/>
      <c r="T6" s="904"/>
      <c r="U6" s="905" t="s">
        <v>307</v>
      </c>
      <c r="V6" s="905"/>
      <c r="W6" s="905"/>
      <c r="X6" s="905"/>
      <c r="Y6" s="906" t="s">
        <v>308</v>
      </c>
      <c r="Z6" s="906"/>
      <c r="AA6" s="906"/>
      <c r="AB6" s="906"/>
      <c r="AD6" s="64"/>
    </row>
    <row r="7" spans="1:80" ht="21" customHeight="1" thickTop="1">
      <c r="A7" s="15"/>
      <c r="B7" s="15"/>
      <c r="C7" s="16"/>
      <c r="D7" s="16"/>
      <c r="E7" s="16"/>
      <c r="F7" s="16"/>
      <c r="G7" s="16"/>
      <c r="H7" s="16"/>
      <c r="I7" s="16"/>
      <c r="J7" s="16"/>
      <c r="K7" s="16"/>
      <c r="L7" s="16"/>
      <c r="M7" s="16"/>
      <c r="N7" s="17"/>
      <c r="O7" s="17"/>
      <c r="P7" s="17"/>
      <c r="Q7" s="17"/>
      <c r="R7" s="17"/>
      <c r="S7" s="17"/>
      <c r="T7" s="17"/>
      <c r="U7" s="17"/>
      <c r="V7" s="17"/>
      <c r="W7" s="17"/>
      <c r="X7" s="17"/>
      <c r="Y7" s="17"/>
      <c r="Z7" s="17"/>
      <c r="AA7" s="17"/>
      <c r="AB7" s="17"/>
      <c r="AD7" s="64"/>
      <c r="AF7" s="878" t="s">
        <v>309</v>
      </c>
      <c r="AG7" s="878"/>
      <c r="AH7" s="878"/>
      <c r="AI7" s="878"/>
      <c r="AJ7" s="878"/>
      <c r="AK7" s="878"/>
      <c r="AL7" s="878"/>
      <c r="AM7" s="878"/>
      <c r="AN7" s="878"/>
      <c r="AO7" s="878"/>
      <c r="AP7" s="878"/>
      <c r="AQ7" s="878"/>
      <c r="AR7" s="878"/>
      <c r="AS7" s="931">
        <f>Y39*120</f>
        <v>0</v>
      </c>
      <c r="AT7" s="932"/>
      <c r="AU7" s="932"/>
      <c r="AV7" s="932"/>
      <c r="AW7" s="932"/>
      <c r="AX7" s="932"/>
      <c r="AY7" s="932"/>
      <c r="AZ7" s="932"/>
      <c r="BA7" s="933"/>
    </row>
    <row r="8" spans="1:80" s="4" customFormat="1" ht="21" customHeight="1" thickBot="1">
      <c r="A8" s="911">
        <v>1</v>
      </c>
      <c r="B8" s="911"/>
      <c r="C8" s="872">
        <f>IF($C$6=☆入力!$B$15,☆入力!$B16,☆入力!$C16)</f>
        <v>0</v>
      </c>
      <c r="D8" s="872"/>
      <c r="E8" s="872"/>
      <c r="F8" s="872"/>
      <c r="G8" s="872">
        <f>☆入力!D16</f>
        <v>0</v>
      </c>
      <c r="H8" s="872"/>
      <c r="I8" s="872"/>
      <c r="J8" s="872"/>
      <c r="K8" s="872"/>
      <c r="L8" s="876">
        <f>☆入力!H16</f>
        <v>0</v>
      </c>
      <c r="M8" s="876"/>
      <c r="N8" s="876"/>
      <c r="O8" s="876"/>
      <c r="P8" s="925">
        <f>☆入力!L16</f>
        <v>0</v>
      </c>
      <c r="Q8" s="925"/>
      <c r="R8" s="927">
        <f>☆入力!AA16</f>
        <v>0</v>
      </c>
      <c r="S8" s="927"/>
      <c r="T8" s="927"/>
      <c r="U8" s="928">
        <f>☆入力!AB16</f>
        <v>0</v>
      </c>
      <c r="V8" s="928"/>
      <c r="W8" s="928"/>
      <c r="X8" s="928"/>
      <c r="Y8" s="929">
        <f>☆入力!AC16</f>
        <v>0</v>
      </c>
      <c r="Z8" s="929"/>
      <c r="AA8" s="929"/>
      <c r="AB8" s="929"/>
      <c r="AD8" s="63"/>
      <c r="AF8" s="878"/>
      <c r="AG8" s="878"/>
      <c r="AH8" s="878"/>
      <c r="AI8" s="878"/>
      <c r="AJ8" s="878"/>
      <c r="AK8" s="878"/>
      <c r="AL8" s="878"/>
      <c r="AM8" s="878"/>
      <c r="AN8" s="878"/>
      <c r="AO8" s="878"/>
      <c r="AP8" s="878"/>
      <c r="AQ8" s="878"/>
      <c r="AR8" s="878"/>
      <c r="AS8" s="934"/>
      <c r="AT8" s="935"/>
      <c r="AU8" s="935"/>
      <c r="AV8" s="935"/>
      <c r="AW8" s="935"/>
      <c r="AX8" s="935"/>
      <c r="AY8" s="935"/>
      <c r="AZ8" s="935"/>
      <c r="BA8" s="936"/>
    </row>
    <row r="9" spans="1:80" s="4" customFormat="1" ht="21" customHeight="1" thickTop="1">
      <c r="A9" s="860">
        <v>2</v>
      </c>
      <c r="B9" s="860"/>
      <c r="C9" s="861">
        <f>IF($C$6=☆入力!$B$15,☆入力!$B17,☆入力!$C17)</f>
        <v>0</v>
      </c>
      <c r="D9" s="862"/>
      <c r="E9" s="862"/>
      <c r="F9" s="863"/>
      <c r="G9" s="864">
        <f>☆入力!D17</f>
        <v>0</v>
      </c>
      <c r="H9" s="864"/>
      <c r="I9" s="864"/>
      <c r="J9" s="864"/>
      <c r="K9" s="864"/>
      <c r="L9" s="865">
        <f>☆入力!H17</f>
        <v>0</v>
      </c>
      <c r="M9" s="865"/>
      <c r="N9" s="865"/>
      <c r="O9" s="865"/>
      <c r="P9" s="866">
        <f>☆入力!L17</f>
        <v>0</v>
      </c>
      <c r="Q9" s="866"/>
      <c r="R9" s="868">
        <f>☆入力!AA17</f>
        <v>0</v>
      </c>
      <c r="S9" s="868"/>
      <c r="T9" s="868"/>
      <c r="U9" s="869">
        <f>☆入力!AB17</f>
        <v>0</v>
      </c>
      <c r="V9" s="869"/>
      <c r="W9" s="869"/>
      <c r="X9" s="869"/>
      <c r="Y9" s="870">
        <f>☆入力!AC17</f>
        <v>0</v>
      </c>
      <c r="Z9" s="870"/>
      <c r="AA9" s="870"/>
      <c r="AB9" s="870"/>
      <c r="AD9" s="63"/>
    </row>
    <row r="10" spans="1:80" s="4" customFormat="1" ht="21" customHeight="1">
      <c r="A10" s="860">
        <v>3</v>
      </c>
      <c r="B10" s="860"/>
      <c r="C10" s="861">
        <f>IF($C$6=☆入力!$B$15,☆入力!$B18,☆入力!$C18)</f>
        <v>0</v>
      </c>
      <c r="D10" s="862"/>
      <c r="E10" s="862"/>
      <c r="F10" s="863"/>
      <c r="G10" s="864">
        <f>☆入力!D18</f>
        <v>0</v>
      </c>
      <c r="H10" s="864"/>
      <c r="I10" s="864"/>
      <c r="J10" s="864"/>
      <c r="K10" s="864"/>
      <c r="L10" s="865">
        <f>☆入力!H18</f>
        <v>0</v>
      </c>
      <c r="M10" s="865"/>
      <c r="N10" s="865"/>
      <c r="O10" s="865"/>
      <c r="P10" s="866">
        <f>☆入力!L18</f>
        <v>0</v>
      </c>
      <c r="Q10" s="866"/>
      <c r="R10" s="868">
        <f>☆入力!AA18</f>
        <v>0</v>
      </c>
      <c r="S10" s="868"/>
      <c r="T10" s="868"/>
      <c r="U10" s="869">
        <f>☆入力!AB18</f>
        <v>0</v>
      </c>
      <c r="V10" s="869"/>
      <c r="W10" s="869"/>
      <c r="X10" s="869"/>
      <c r="Y10" s="870">
        <f>☆入力!AC18</f>
        <v>0</v>
      </c>
      <c r="Z10" s="870"/>
      <c r="AA10" s="870"/>
      <c r="AB10" s="870"/>
      <c r="AD10" s="63"/>
      <c r="AG10" s="67" t="s">
        <v>310</v>
      </c>
      <c r="AH10" s="67"/>
      <c r="AI10" s="67"/>
      <c r="AJ10" s="67"/>
      <c r="AK10" s="67"/>
      <c r="AL10" s="67"/>
      <c r="AM10" s="67"/>
      <c r="AO10" s="874">
        <f>Y39</f>
        <v>0</v>
      </c>
      <c r="AP10" s="874"/>
      <c r="AQ10" s="874"/>
      <c r="AR10" s="874"/>
      <c r="AS10" s="67" t="s">
        <v>311</v>
      </c>
      <c r="AT10" s="67"/>
      <c r="AU10" s="67"/>
      <c r="AV10" s="67"/>
      <c r="AW10" s="67"/>
      <c r="AX10" s="67"/>
      <c r="AY10" s="67"/>
      <c r="AZ10" s="67"/>
      <c r="BA10" s="67"/>
      <c r="BF10" s="930"/>
      <c r="BG10" s="930"/>
      <c r="BH10" s="930"/>
      <c r="BI10" s="930"/>
      <c r="BJ10" s="930"/>
      <c r="BK10" s="930"/>
      <c r="BL10" s="930"/>
      <c r="BM10" s="930"/>
      <c r="BN10" s="930"/>
      <c r="BO10" s="930"/>
      <c r="BP10" s="930"/>
      <c r="BQ10" s="930"/>
      <c r="BR10" s="930"/>
      <c r="BS10" s="930"/>
      <c r="BT10" s="930"/>
      <c r="BU10" s="930"/>
      <c r="BV10" s="930"/>
      <c r="BW10" s="930"/>
      <c r="BX10" s="930"/>
      <c r="BY10" s="930"/>
      <c r="BZ10" s="930"/>
      <c r="CA10" s="930"/>
      <c r="CB10" s="930"/>
    </row>
    <row r="11" spans="1:80" s="4" customFormat="1" ht="21" customHeight="1">
      <c r="A11" s="860">
        <v>4</v>
      </c>
      <c r="B11" s="860"/>
      <c r="C11" s="861">
        <f>IF($C$6=☆入力!$B$15,☆入力!$B19,☆入力!$C19)</f>
        <v>0</v>
      </c>
      <c r="D11" s="862"/>
      <c r="E11" s="862"/>
      <c r="F11" s="863"/>
      <c r="G11" s="864">
        <f>☆入力!D19</f>
        <v>0</v>
      </c>
      <c r="H11" s="864"/>
      <c r="I11" s="864"/>
      <c r="J11" s="864"/>
      <c r="K11" s="864"/>
      <c r="L11" s="865">
        <f>☆入力!H19</f>
        <v>0</v>
      </c>
      <c r="M11" s="865"/>
      <c r="N11" s="865"/>
      <c r="O11" s="865"/>
      <c r="P11" s="866">
        <f>☆入力!L19</f>
        <v>0</v>
      </c>
      <c r="Q11" s="866"/>
      <c r="R11" s="868">
        <f>☆入力!AA19</f>
        <v>0</v>
      </c>
      <c r="S11" s="868"/>
      <c r="T11" s="868"/>
      <c r="U11" s="869">
        <f>☆入力!AB19</f>
        <v>0</v>
      </c>
      <c r="V11" s="869"/>
      <c r="W11" s="869"/>
      <c r="X11" s="869"/>
      <c r="Y11" s="870">
        <f>☆入力!AC19</f>
        <v>0</v>
      </c>
      <c r="Z11" s="870"/>
      <c r="AA11" s="870"/>
      <c r="AB11" s="870"/>
      <c r="AD11" s="63"/>
      <c r="BF11" s="930"/>
      <c r="BG11" s="930"/>
      <c r="BH11" s="930"/>
      <c r="BI11" s="930"/>
      <c r="BJ11" s="930"/>
      <c r="BK11" s="930"/>
      <c r="BL11" s="930"/>
      <c r="BM11" s="930"/>
      <c r="BN11" s="930"/>
      <c r="BO11" s="930"/>
      <c r="BP11" s="930"/>
      <c r="BQ11" s="930"/>
      <c r="BR11" s="930"/>
      <c r="BS11" s="930"/>
      <c r="BT11" s="930"/>
      <c r="BU11" s="930"/>
      <c r="BV11" s="930"/>
      <c r="BW11" s="930"/>
      <c r="BX11" s="930"/>
      <c r="BY11" s="930"/>
      <c r="BZ11" s="930"/>
      <c r="CA11" s="930"/>
      <c r="CB11" s="930"/>
    </row>
    <row r="12" spans="1:80" s="4" customFormat="1" ht="21" customHeight="1">
      <c r="A12" s="860">
        <v>5</v>
      </c>
      <c r="B12" s="860"/>
      <c r="C12" s="861">
        <f>IF($C$6=☆入力!$B$15,☆入力!$B20,☆入力!$C20)</f>
        <v>0</v>
      </c>
      <c r="D12" s="862"/>
      <c r="E12" s="862"/>
      <c r="F12" s="863"/>
      <c r="G12" s="864">
        <f>☆入力!D20</f>
        <v>0</v>
      </c>
      <c r="H12" s="864"/>
      <c r="I12" s="864"/>
      <c r="J12" s="864"/>
      <c r="K12" s="864"/>
      <c r="L12" s="865">
        <f>☆入力!H20</f>
        <v>0</v>
      </c>
      <c r="M12" s="865"/>
      <c r="N12" s="865"/>
      <c r="O12" s="865"/>
      <c r="P12" s="866">
        <f>☆入力!L20</f>
        <v>0</v>
      </c>
      <c r="Q12" s="866"/>
      <c r="R12" s="868">
        <f>☆入力!AA20</f>
        <v>0</v>
      </c>
      <c r="S12" s="868"/>
      <c r="T12" s="868"/>
      <c r="U12" s="869">
        <f>☆入力!AB20</f>
        <v>0</v>
      </c>
      <c r="V12" s="869"/>
      <c r="W12" s="869"/>
      <c r="X12" s="869"/>
      <c r="Y12" s="870">
        <f>☆入力!AC20</f>
        <v>0</v>
      </c>
      <c r="Z12" s="870"/>
      <c r="AA12" s="870"/>
      <c r="AB12" s="870"/>
      <c r="AD12" s="63"/>
    </row>
    <row r="13" spans="1:80" s="4" customFormat="1" ht="21" customHeight="1">
      <c r="A13" s="860">
        <v>6</v>
      </c>
      <c r="B13" s="860"/>
      <c r="C13" s="861">
        <f>IF($C$6=☆入力!$B$15,☆入力!$B21,☆入力!$C21)</f>
        <v>0</v>
      </c>
      <c r="D13" s="862"/>
      <c r="E13" s="862"/>
      <c r="F13" s="863"/>
      <c r="G13" s="864">
        <f>☆入力!D21</f>
        <v>0</v>
      </c>
      <c r="H13" s="864"/>
      <c r="I13" s="864"/>
      <c r="J13" s="864"/>
      <c r="K13" s="864"/>
      <c r="L13" s="865">
        <f>☆入力!H21</f>
        <v>0</v>
      </c>
      <c r="M13" s="865"/>
      <c r="N13" s="865"/>
      <c r="O13" s="865"/>
      <c r="P13" s="866">
        <f>☆入力!L21</f>
        <v>0</v>
      </c>
      <c r="Q13" s="866"/>
      <c r="R13" s="868">
        <f>☆入力!AA21</f>
        <v>0</v>
      </c>
      <c r="S13" s="868"/>
      <c r="T13" s="868"/>
      <c r="U13" s="869">
        <f>☆入力!AB21</f>
        <v>0</v>
      </c>
      <c r="V13" s="869"/>
      <c r="W13" s="869"/>
      <c r="X13" s="869"/>
      <c r="Y13" s="870">
        <f>☆入力!AC21</f>
        <v>0</v>
      </c>
      <c r="Z13" s="870"/>
      <c r="AA13" s="870"/>
      <c r="AB13" s="870"/>
      <c r="AD13" s="63"/>
      <c r="AS13" s="937" t="s">
        <v>312</v>
      </c>
      <c r="AT13" s="937"/>
      <c r="AU13" s="937"/>
      <c r="AV13" s="937"/>
      <c r="AW13" s="937"/>
      <c r="AX13" s="937"/>
      <c r="AY13" s="937"/>
      <c r="AZ13" s="937"/>
      <c r="BA13" s="937"/>
    </row>
    <row r="14" spans="1:80" s="4" customFormat="1" ht="21" customHeight="1">
      <c r="A14" s="860">
        <v>7</v>
      </c>
      <c r="B14" s="860"/>
      <c r="C14" s="861">
        <f>IF($C$6=☆入力!$B$15,☆入力!$B22,☆入力!$C22)</f>
        <v>0</v>
      </c>
      <c r="D14" s="862"/>
      <c r="E14" s="862"/>
      <c r="F14" s="863"/>
      <c r="G14" s="864">
        <f>☆入力!D22</f>
        <v>0</v>
      </c>
      <c r="H14" s="864"/>
      <c r="I14" s="864"/>
      <c r="J14" s="864"/>
      <c r="K14" s="864"/>
      <c r="L14" s="865">
        <f>☆入力!H22</f>
        <v>0</v>
      </c>
      <c r="M14" s="865"/>
      <c r="N14" s="865"/>
      <c r="O14" s="865"/>
      <c r="P14" s="866">
        <f>☆入力!L22</f>
        <v>0</v>
      </c>
      <c r="Q14" s="866"/>
      <c r="R14" s="868">
        <f>☆入力!AA22</f>
        <v>0</v>
      </c>
      <c r="S14" s="868"/>
      <c r="T14" s="868"/>
      <c r="U14" s="869">
        <f>☆入力!AB22</f>
        <v>0</v>
      </c>
      <c r="V14" s="869"/>
      <c r="W14" s="869"/>
      <c r="X14" s="869"/>
      <c r="Y14" s="870">
        <f>☆入力!AC22</f>
        <v>0</v>
      </c>
      <c r="Z14" s="870"/>
      <c r="AA14" s="870"/>
      <c r="AB14" s="870"/>
      <c r="AD14" s="63"/>
      <c r="AS14" s="937"/>
      <c r="AT14" s="937"/>
      <c r="AU14" s="937"/>
      <c r="AV14" s="937"/>
      <c r="AW14" s="937"/>
      <c r="AX14" s="937"/>
      <c r="AY14" s="937"/>
      <c r="AZ14" s="937"/>
      <c r="BA14" s="937"/>
    </row>
    <row r="15" spans="1:80" s="4" customFormat="1" ht="21" customHeight="1">
      <c r="A15" s="860">
        <v>8</v>
      </c>
      <c r="B15" s="860"/>
      <c r="C15" s="861">
        <f>IF($C$6=☆入力!$B$15,☆入力!$B23,☆入力!$C23)</f>
        <v>0</v>
      </c>
      <c r="D15" s="862"/>
      <c r="E15" s="862"/>
      <c r="F15" s="863"/>
      <c r="G15" s="864">
        <f>☆入力!D23</f>
        <v>0</v>
      </c>
      <c r="H15" s="864"/>
      <c r="I15" s="864"/>
      <c r="J15" s="864"/>
      <c r="K15" s="864"/>
      <c r="L15" s="865">
        <f>☆入力!H23</f>
        <v>0</v>
      </c>
      <c r="M15" s="865"/>
      <c r="N15" s="865"/>
      <c r="O15" s="865"/>
      <c r="P15" s="866">
        <f>☆入力!L23</f>
        <v>0</v>
      </c>
      <c r="Q15" s="866"/>
      <c r="R15" s="868">
        <f>☆入力!AA23</f>
        <v>0</v>
      </c>
      <c r="S15" s="868"/>
      <c r="T15" s="868"/>
      <c r="U15" s="869">
        <f>☆入力!AB23</f>
        <v>0</v>
      </c>
      <c r="V15" s="869"/>
      <c r="W15" s="869"/>
      <c r="X15" s="869"/>
      <c r="Y15" s="870">
        <f>☆入力!AC23</f>
        <v>0</v>
      </c>
      <c r="Z15" s="870"/>
      <c r="AA15" s="870"/>
      <c r="AB15" s="870"/>
      <c r="AD15" s="63"/>
    </row>
    <row r="16" spans="1:80" s="4" customFormat="1" ht="21" customHeight="1">
      <c r="A16" s="860">
        <v>9</v>
      </c>
      <c r="B16" s="860"/>
      <c r="C16" s="861">
        <f>IF($C$6=☆入力!$B$15,☆入力!$B24,☆入力!$C24)</f>
        <v>0</v>
      </c>
      <c r="D16" s="862"/>
      <c r="E16" s="862"/>
      <c r="F16" s="863"/>
      <c r="G16" s="864">
        <f>☆入力!D24</f>
        <v>0</v>
      </c>
      <c r="H16" s="864"/>
      <c r="I16" s="864"/>
      <c r="J16" s="864"/>
      <c r="K16" s="864"/>
      <c r="L16" s="865">
        <f>☆入力!H24</f>
        <v>0</v>
      </c>
      <c r="M16" s="865"/>
      <c r="N16" s="865"/>
      <c r="O16" s="865"/>
      <c r="P16" s="866">
        <f>☆入力!L24</f>
        <v>0</v>
      </c>
      <c r="Q16" s="866"/>
      <c r="R16" s="868">
        <f>☆入力!AA24</f>
        <v>0</v>
      </c>
      <c r="S16" s="868"/>
      <c r="T16" s="868"/>
      <c r="U16" s="869">
        <f>☆入力!AB24</f>
        <v>0</v>
      </c>
      <c r="V16" s="869"/>
      <c r="W16" s="869"/>
      <c r="X16" s="869"/>
      <c r="Y16" s="870">
        <f>☆入力!AC24</f>
        <v>0</v>
      </c>
      <c r="Z16" s="870"/>
      <c r="AA16" s="870"/>
      <c r="AB16" s="870"/>
      <c r="AD16" s="63"/>
      <c r="AF16" s="878" t="s">
        <v>330</v>
      </c>
      <c r="AG16" s="878"/>
      <c r="AH16" s="878"/>
      <c r="AI16" s="878"/>
      <c r="AJ16" s="878"/>
      <c r="AK16" s="878"/>
      <c r="AL16" s="878"/>
      <c r="AM16" s="878"/>
      <c r="AN16" s="878"/>
      <c r="AO16" s="878"/>
      <c r="AP16" s="878"/>
      <c r="AQ16" s="878"/>
      <c r="AR16" s="878"/>
      <c r="AS16" s="878"/>
      <c r="AT16" s="878"/>
      <c r="AU16" s="878"/>
      <c r="AV16" s="878"/>
      <c r="AW16" s="878"/>
      <c r="AX16" s="878"/>
      <c r="AY16" s="878"/>
      <c r="AZ16" s="878"/>
      <c r="BA16" s="878"/>
    </row>
    <row r="17" spans="1:53" s="4" customFormat="1" ht="21" customHeight="1">
      <c r="A17" s="860">
        <v>10</v>
      </c>
      <c r="B17" s="860"/>
      <c r="C17" s="861">
        <f>IF($C$6=☆入力!$B$15,☆入力!$B25,☆入力!$C25)</f>
        <v>0</v>
      </c>
      <c r="D17" s="862"/>
      <c r="E17" s="862"/>
      <c r="F17" s="863"/>
      <c r="G17" s="864">
        <f>☆入力!D25</f>
        <v>0</v>
      </c>
      <c r="H17" s="864"/>
      <c r="I17" s="864"/>
      <c r="J17" s="864"/>
      <c r="K17" s="864"/>
      <c r="L17" s="865">
        <f>☆入力!H25</f>
        <v>0</v>
      </c>
      <c r="M17" s="865"/>
      <c r="N17" s="865"/>
      <c r="O17" s="865"/>
      <c r="P17" s="866">
        <f>☆入力!L25</f>
        <v>0</v>
      </c>
      <c r="Q17" s="866"/>
      <c r="R17" s="868">
        <f>☆入力!AA25</f>
        <v>0</v>
      </c>
      <c r="S17" s="868"/>
      <c r="T17" s="868"/>
      <c r="U17" s="869">
        <f>☆入力!AB25</f>
        <v>0</v>
      </c>
      <c r="V17" s="869"/>
      <c r="W17" s="869"/>
      <c r="X17" s="869"/>
      <c r="Y17" s="870">
        <f>☆入力!AC25</f>
        <v>0</v>
      </c>
      <c r="Z17" s="870"/>
      <c r="AA17" s="870"/>
      <c r="AB17" s="870"/>
      <c r="AD17" s="63"/>
      <c r="AF17" s="878"/>
      <c r="AG17" s="878"/>
      <c r="AH17" s="878"/>
      <c r="AI17" s="878"/>
      <c r="AJ17" s="878"/>
      <c r="AK17" s="878"/>
      <c r="AL17" s="878"/>
      <c r="AM17" s="878"/>
      <c r="AN17" s="878"/>
      <c r="AO17" s="878"/>
      <c r="AP17" s="878"/>
      <c r="AQ17" s="878"/>
      <c r="AR17" s="878"/>
      <c r="AS17" s="878"/>
      <c r="AT17" s="878"/>
      <c r="AU17" s="878"/>
      <c r="AV17" s="878"/>
      <c r="AW17" s="878"/>
      <c r="AX17" s="878"/>
      <c r="AY17" s="878"/>
      <c r="AZ17" s="878"/>
      <c r="BA17" s="878"/>
    </row>
    <row r="18" spans="1:53" s="4" customFormat="1" ht="21" customHeight="1" thickBot="1">
      <c r="A18" s="860">
        <v>11</v>
      </c>
      <c r="B18" s="860"/>
      <c r="C18" s="861">
        <f>IF($C$6=☆入力!$B$15,☆入力!$B26,☆入力!$C26)</f>
        <v>0</v>
      </c>
      <c r="D18" s="862"/>
      <c r="E18" s="862"/>
      <c r="F18" s="863"/>
      <c r="G18" s="864">
        <f>☆入力!D26</f>
        <v>0</v>
      </c>
      <c r="H18" s="864"/>
      <c r="I18" s="864"/>
      <c r="J18" s="864"/>
      <c r="K18" s="864"/>
      <c r="L18" s="865">
        <f>☆入力!H26</f>
        <v>0</v>
      </c>
      <c r="M18" s="865"/>
      <c r="N18" s="865"/>
      <c r="O18" s="865"/>
      <c r="P18" s="866">
        <f>☆入力!L26</f>
        <v>0</v>
      </c>
      <c r="Q18" s="866"/>
      <c r="R18" s="868">
        <f>☆入力!AA26</f>
        <v>0</v>
      </c>
      <c r="S18" s="868"/>
      <c r="T18" s="868"/>
      <c r="U18" s="869">
        <f>☆入力!AB26</f>
        <v>0</v>
      </c>
      <c r="V18" s="869"/>
      <c r="W18" s="869"/>
      <c r="X18" s="869"/>
      <c r="Y18" s="870">
        <f>☆入力!AC26</f>
        <v>0</v>
      </c>
      <c r="Z18" s="870"/>
      <c r="AA18" s="870"/>
      <c r="AB18" s="870"/>
      <c r="AD18" s="63"/>
    </row>
    <row r="19" spans="1:53" s="4" customFormat="1" ht="21" customHeight="1" thickTop="1">
      <c r="A19" s="860">
        <v>12</v>
      </c>
      <c r="B19" s="860"/>
      <c r="C19" s="861">
        <f>IF($C$6=☆入力!$B$15,☆入力!$B27,☆入力!$C27)</f>
        <v>0</v>
      </c>
      <c r="D19" s="862"/>
      <c r="E19" s="862"/>
      <c r="F19" s="863"/>
      <c r="G19" s="864">
        <f>☆入力!D27</f>
        <v>0</v>
      </c>
      <c r="H19" s="864"/>
      <c r="I19" s="864"/>
      <c r="J19" s="864"/>
      <c r="K19" s="864"/>
      <c r="L19" s="865">
        <f>☆入力!H27</f>
        <v>0</v>
      </c>
      <c r="M19" s="865"/>
      <c r="N19" s="865"/>
      <c r="O19" s="865"/>
      <c r="P19" s="866">
        <f>☆入力!L27</f>
        <v>0</v>
      </c>
      <c r="Q19" s="866"/>
      <c r="R19" s="868">
        <f>☆入力!AA27</f>
        <v>0</v>
      </c>
      <c r="S19" s="868"/>
      <c r="T19" s="868"/>
      <c r="U19" s="869">
        <f>☆入力!AB27</f>
        <v>0</v>
      </c>
      <c r="V19" s="869"/>
      <c r="W19" s="869"/>
      <c r="X19" s="869"/>
      <c r="Y19" s="870">
        <f>☆入力!AC27</f>
        <v>0</v>
      </c>
      <c r="Z19" s="870"/>
      <c r="AA19" s="870"/>
      <c r="AB19" s="870"/>
      <c r="AD19" s="63"/>
      <c r="AS19" s="931">
        <f>AN23*3000*1</f>
        <v>0</v>
      </c>
      <c r="AT19" s="932"/>
      <c r="AU19" s="932"/>
      <c r="AV19" s="932"/>
      <c r="AW19" s="932"/>
      <c r="AX19" s="932"/>
      <c r="AY19" s="932"/>
      <c r="AZ19" s="932"/>
      <c r="BA19" s="933"/>
    </row>
    <row r="20" spans="1:53" s="4" customFormat="1" ht="21" customHeight="1" thickBot="1">
      <c r="A20" s="860">
        <v>13</v>
      </c>
      <c r="B20" s="860"/>
      <c r="C20" s="861">
        <f>IF($C$6=☆入力!$B$15,☆入力!$B28,☆入力!$C28)</f>
        <v>0</v>
      </c>
      <c r="D20" s="862"/>
      <c r="E20" s="862"/>
      <c r="F20" s="863"/>
      <c r="G20" s="864">
        <f>☆入力!D28</f>
        <v>0</v>
      </c>
      <c r="H20" s="864"/>
      <c r="I20" s="864"/>
      <c r="J20" s="864"/>
      <c r="K20" s="864"/>
      <c r="L20" s="865">
        <f>☆入力!H28</f>
        <v>0</v>
      </c>
      <c r="M20" s="865"/>
      <c r="N20" s="865"/>
      <c r="O20" s="865"/>
      <c r="P20" s="866">
        <f>☆入力!L28</f>
        <v>0</v>
      </c>
      <c r="Q20" s="866"/>
      <c r="R20" s="868">
        <f>☆入力!AA28</f>
        <v>0</v>
      </c>
      <c r="S20" s="868"/>
      <c r="T20" s="868"/>
      <c r="U20" s="869">
        <f>☆入力!AB28</f>
        <v>0</v>
      </c>
      <c r="V20" s="869"/>
      <c r="W20" s="869"/>
      <c r="X20" s="869"/>
      <c r="Y20" s="870">
        <f>☆入力!AC28</f>
        <v>0</v>
      </c>
      <c r="Z20" s="870"/>
      <c r="AA20" s="870"/>
      <c r="AB20" s="870"/>
      <c r="AD20" s="63"/>
      <c r="AS20" s="934"/>
      <c r="AT20" s="935"/>
      <c r="AU20" s="935"/>
      <c r="AV20" s="935"/>
      <c r="AW20" s="935"/>
      <c r="AX20" s="935"/>
      <c r="AY20" s="935"/>
      <c r="AZ20" s="935"/>
      <c r="BA20" s="936"/>
    </row>
    <row r="21" spans="1:53" s="4" customFormat="1" ht="21" customHeight="1" thickTop="1">
      <c r="A21" s="860">
        <v>14</v>
      </c>
      <c r="B21" s="860"/>
      <c r="C21" s="861">
        <f>IF($C$6=☆入力!$B$15,☆入力!$B29,☆入力!$C29)</f>
        <v>0</v>
      </c>
      <c r="D21" s="862"/>
      <c r="E21" s="862"/>
      <c r="F21" s="863"/>
      <c r="G21" s="864">
        <f>☆入力!D29</f>
        <v>0</v>
      </c>
      <c r="H21" s="864"/>
      <c r="I21" s="864"/>
      <c r="J21" s="864"/>
      <c r="K21" s="864"/>
      <c r="L21" s="865">
        <f>☆入力!H29</f>
        <v>0</v>
      </c>
      <c r="M21" s="865"/>
      <c r="N21" s="865"/>
      <c r="O21" s="865"/>
      <c r="P21" s="866">
        <f>☆入力!L29</f>
        <v>0</v>
      </c>
      <c r="Q21" s="866"/>
      <c r="R21" s="868">
        <f>☆入力!AA29</f>
        <v>0</v>
      </c>
      <c r="S21" s="868"/>
      <c r="T21" s="868"/>
      <c r="U21" s="869">
        <f>☆入力!AB29</f>
        <v>0</v>
      </c>
      <c r="V21" s="869"/>
      <c r="W21" s="869"/>
      <c r="X21" s="869"/>
      <c r="Y21" s="870">
        <f>☆入力!AC29</f>
        <v>0</v>
      </c>
      <c r="Z21" s="870"/>
      <c r="AA21" s="870"/>
      <c r="AB21" s="870"/>
      <c r="AD21" s="63"/>
      <c r="AG21" s="80"/>
      <c r="AH21" s="80"/>
      <c r="AI21" s="80"/>
      <c r="AJ21" s="80"/>
      <c r="AK21" s="80"/>
      <c r="AL21" s="80"/>
      <c r="AM21" s="80"/>
      <c r="AN21" s="80"/>
      <c r="AO21" s="80"/>
      <c r="AP21" s="80"/>
      <c r="AQ21" s="80"/>
      <c r="AR21" s="80"/>
      <c r="AS21" s="350"/>
      <c r="AT21" s="350"/>
      <c r="AU21" s="350"/>
      <c r="AV21" s="350"/>
      <c r="AW21" s="350"/>
      <c r="AX21" s="350"/>
      <c r="AY21" s="350"/>
      <c r="AZ21" s="350"/>
      <c r="BA21" s="350"/>
    </row>
    <row r="22" spans="1:53" s="4" customFormat="1" ht="21" customHeight="1">
      <c r="A22" s="860">
        <v>15</v>
      </c>
      <c r="B22" s="860"/>
      <c r="C22" s="861">
        <f>IF($C$6=☆入力!$B$15,☆入力!$B30,☆入力!$C30)</f>
        <v>0</v>
      </c>
      <c r="D22" s="862"/>
      <c r="E22" s="862"/>
      <c r="F22" s="863"/>
      <c r="G22" s="864">
        <f>☆入力!D30</f>
        <v>0</v>
      </c>
      <c r="H22" s="864"/>
      <c r="I22" s="864"/>
      <c r="J22" s="864"/>
      <c r="K22" s="864"/>
      <c r="L22" s="865">
        <f>☆入力!H30</f>
        <v>0</v>
      </c>
      <c r="M22" s="865"/>
      <c r="N22" s="865"/>
      <c r="O22" s="865"/>
      <c r="P22" s="866">
        <f>☆入力!L30</f>
        <v>0</v>
      </c>
      <c r="Q22" s="866"/>
      <c r="R22" s="868">
        <f>☆入力!AA30</f>
        <v>0</v>
      </c>
      <c r="S22" s="868"/>
      <c r="T22" s="868"/>
      <c r="U22" s="869">
        <f>☆入力!AB30</f>
        <v>0</v>
      </c>
      <c r="V22" s="869"/>
      <c r="W22" s="869"/>
      <c r="X22" s="869"/>
      <c r="Y22" s="870">
        <f>☆入力!AC30</f>
        <v>0</v>
      </c>
      <c r="Z22" s="870"/>
      <c r="AA22" s="870"/>
      <c r="AB22" s="870"/>
      <c r="AD22" s="63"/>
      <c r="AF22" s="80"/>
      <c r="AG22" s="259" t="s">
        <v>314</v>
      </c>
      <c r="AH22" s="259"/>
      <c r="AI22" s="259"/>
      <c r="AJ22" s="259"/>
      <c r="AK22" s="259"/>
      <c r="AL22" s="259"/>
      <c r="AM22" s="260"/>
      <c r="AN22" s="938">
        <f>LED計算式!N16</f>
        <v>0</v>
      </c>
      <c r="AO22" s="938"/>
      <c r="AP22" s="938"/>
      <c r="AQ22" s="259" t="str">
        <f>"× "&amp;TEXT(☆入力!AR9,"#,#00")&amp;"円（※1）× 0回（※2）"</f>
        <v>× 00円（※1）× 0回（※2）</v>
      </c>
      <c r="AR22" s="260"/>
      <c r="AS22" s="259"/>
      <c r="AT22" s="259"/>
      <c r="AU22" s="259"/>
      <c r="AV22" s="259"/>
      <c r="AW22" s="259"/>
      <c r="AX22" s="259"/>
      <c r="AY22" s="259"/>
      <c r="AZ22" s="259"/>
      <c r="BA22" s="67"/>
    </row>
    <row r="23" spans="1:53" s="4" customFormat="1" ht="21" customHeight="1">
      <c r="A23" s="860">
        <v>16</v>
      </c>
      <c r="B23" s="860"/>
      <c r="C23" s="861">
        <f>IF($C$6=☆入力!$B$15,☆入力!$B31,☆入力!$C31)</f>
        <v>0</v>
      </c>
      <c r="D23" s="862"/>
      <c r="E23" s="862"/>
      <c r="F23" s="863"/>
      <c r="G23" s="864">
        <f>☆入力!D31</f>
        <v>0</v>
      </c>
      <c r="H23" s="864"/>
      <c r="I23" s="864"/>
      <c r="J23" s="864"/>
      <c r="K23" s="864"/>
      <c r="L23" s="865">
        <f>☆入力!H31</f>
        <v>0</v>
      </c>
      <c r="M23" s="865"/>
      <c r="N23" s="865"/>
      <c r="O23" s="865"/>
      <c r="P23" s="866">
        <f>☆入力!L31</f>
        <v>0</v>
      </c>
      <c r="Q23" s="866"/>
      <c r="R23" s="868">
        <f>☆入力!AA31</f>
        <v>0</v>
      </c>
      <c r="S23" s="868"/>
      <c r="T23" s="868"/>
      <c r="U23" s="869">
        <f>☆入力!AB31</f>
        <v>0</v>
      </c>
      <c r="V23" s="869"/>
      <c r="W23" s="869"/>
      <c r="X23" s="869"/>
      <c r="Y23" s="870">
        <f>☆入力!AC31</f>
        <v>0</v>
      </c>
      <c r="Z23" s="870"/>
      <c r="AA23" s="870"/>
      <c r="AB23" s="870"/>
      <c r="AD23" s="63"/>
      <c r="AF23" s="80"/>
      <c r="AG23" s="67" t="s">
        <v>315</v>
      </c>
      <c r="AN23" s="875">
        <f>LED計算式!N17</f>
        <v>0</v>
      </c>
      <c r="AO23" s="875"/>
      <c r="AP23" s="875"/>
      <c r="AQ23" s="67" t="s">
        <v>331</v>
      </c>
      <c r="AS23" s="67"/>
      <c r="AT23" s="67"/>
      <c r="AU23" s="67"/>
      <c r="AV23" s="67"/>
      <c r="AW23" s="67"/>
      <c r="AX23" s="67"/>
      <c r="AY23" s="67"/>
    </row>
    <row r="24" spans="1:53" s="4" customFormat="1" ht="21" customHeight="1">
      <c r="A24" s="860">
        <v>17</v>
      </c>
      <c r="B24" s="860"/>
      <c r="C24" s="861">
        <f>IF($C$6=☆入力!$B$15,☆入力!$B32,☆入力!$C32)</f>
        <v>0</v>
      </c>
      <c r="D24" s="862"/>
      <c r="E24" s="862"/>
      <c r="F24" s="863"/>
      <c r="G24" s="864">
        <f>☆入力!D32</f>
        <v>0</v>
      </c>
      <c r="H24" s="864"/>
      <c r="I24" s="864"/>
      <c r="J24" s="864"/>
      <c r="K24" s="864"/>
      <c r="L24" s="865">
        <f>☆入力!H32</f>
        <v>0</v>
      </c>
      <c r="M24" s="865"/>
      <c r="N24" s="865"/>
      <c r="O24" s="865"/>
      <c r="P24" s="866">
        <f>☆入力!L32</f>
        <v>0</v>
      </c>
      <c r="Q24" s="866"/>
      <c r="R24" s="868">
        <f>☆入力!AA32</f>
        <v>0</v>
      </c>
      <c r="S24" s="868"/>
      <c r="T24" s="868"/>
      <c r="U24" s="869">
        <f>☆入力!AB32</f>
        <v>0</v>
      </c>
      <c r="V24" s="869"/>
      <c r="W24" s="869"/>
      <c r="X24" s="869"/>
      <c r="Y24" s="870">
        <f>☆入力!AC32</f>
        <v>0</v>
      </c>
      <c r="Z24" s="870"/>
      <c r="AA24" s="870"/>
      <c r="AB24" s="870"/>
      <c r="AD24" s="63"/>
      <c r="AS24" s="349"/>
      <c r="AT24" s="349"/>
      <c r="AU24" s="349"/>
      <c r="AV24" s="349"/>
      <c r="AW24" s="349"/>
      <c r="AX24" s="349"/>
      <c r="AY24" s="349"/>
      <c r="AZ24" s="349"/>
      <c r="BA24" s="349"/>
    </row>
    <row r="25" spans="1:53" s="4" customFormat="1" ht="21" customHeight="1">
      <c r="A25" s="860">
        <v>18</v>
      </c>
      <c r="B25" s="860"/>
      <c r="C25" s="861">
        <f>IF($C$6=☆入力!$B$15,☆入力!$B33,☆入力!$C33)</f>
        <v>0</v>
      </c>
      <c r="D25" s="862"/>
      <c r="E25" s="862"/>
      <c r="F25" s="863"/>
      <c r="G25" s="864">
        <f>☆入力!D33</f>
        <v>0</v>
      </c>
      <c r="H25" s="864"/>
      <c r="I25" s="864"/>
      <c r="J25" s="864"/>
      <c r="K25" s="864"/>
      <c r="L25" s="865">
        <f>☆入力!H33</f>
        <v>0</v>
      </c>
      <c r="M25" s="865"/>
      <c r="N25" s="865"/>
      <c r="O25" s="865"/>
      <c r="P25" s="866">
        <f>☆入力!L33</f>
        <v>0</v>
      </c>
      <c r="Q25" s="866"/>
      <c r="R25" s="868">
        <f>☆入力!AA33</f>
        <v>0</v>
      </c>
      <c r="S25" s="868"/>
      <c r="T25" s="868"/>
      <c r="U25" s="869">
        <f>☆入力!AB33</f>
        <v>0</v>
      </c>
      <c r="V25" s="869"/>
      <c r="W25" s="869"/>
      <c r="X25" s="869"/>
      <c r="Y25" s="870">
        <f>☆入力!AC33</f>
        <v>0</v>
      </c>
      <c r="Z25" s="870"/>
      <c r="AA25" s="870"/>
      <c r="AB25" s="870"/>
      <c r="AD25" s="63"/>
      <c r="AF25" s="53"/>
      <c r="AG25" s="2" t="s">
        <v>332</v>
      </c>
    </row>
    <row r="26" spans="1:53" s="4" customFormat="1" ht="21" customHeight="1">
      <c r="A26" s="860">
        <v>19</v>
      </c>
      <c r="B26" s="860"/>
      <c r="C26" s="861">
        <f>IF($C$6=☆入力!$B$15,☆入力!$B34,☆入力!$C34)</f>
        <v>0</v>
      </c>
      <c r="D26" s="862"/>
      <c r="E26" s="862"/>
      <c r="F26" s="863"/>
      <c r="G26" s="864">
        <f>☆入力!D34</f>
        <v>0</v>
      </c>
      <c r="H26" s="864"/>
      <c r="I26" s="864"/>
      <c r="J26" s="864"/>
      <c r="K26" s="864"/>
      <c r="L26" s="865">
        <f>☆入力!H34</f>
        <v>0</v>
      </c>
      <c r="M26" s="865"/>
      <c r="N26" s="865"/>
      <c r="O26" s="865"/>
      <c r="P26" s="866">
        <f>☆入力!L34</f>
        <v>0</v>
      </c>
      <c r="Q26" s="866"/>
      <c r="R26" s="868">
        <f>☆入力!AA34</f>
        <v>0</v>
      </c>
      <c r="S26" s="868"/>
      <c r="T26" s="868"/>
      <c r="U26" s="869">
        <f>☆入力!AB34</f>
        <v>0</v>
      </c>
      <c r="V26" s="869"/>
      <c r="W26" s="869"/>
      <c r="X26" s="869"/>
      <c r="Y26" s="870">
        <f>☆入力!AC34</f>
        <v>0</v>
      </c>
      <c r="Z26" s="870"/>
      <c r="AA26" s="870"/>
      <c r="AB26" s="870"/>
      <c r="AD26" s="63"/>
      <c r="AG26" s="2"/>
    </row>
    <row r="27" spans="1:53" s="4" customFormat="1" ht="21" customHeight="1">
      <c r="A27" s="860">
        <v>20</v>
      </c>
      <c r="B27" s="860"/>
      <c r="C27" s="861">
        <f>IF($C$6=☆入力!$B$15,☆入力!$B35,☆入力!$C35)</f>
        <v>0</v>
      </c>
      <c r="D27" s="862"/>
      <c r="E27" s="862"/>
      <c r="F27" s="863"/>
      <c r="G27" s="864">
        <f>☆入力!D35</f>
        <v>0</v>
      </c>
      <c r="H27" s="864"/>
      <c r="I27" s="864"/>
      <c r="J27" s="864"/>
      <c r="K27" s="864"/>
      <c r="L27" s="865">
        <f>☆入力!H35</f>
        <v>0</v>
      </c>
      <c r="M27" s="865"/>
      <c r="N27" s="865"/>
      <c r="O27" s="865"/>
      <c r="P27" s="866">
        <f>☆入力!L35</f>
        <v>0</v>
      </c>
      <c r="Q27" s="866"/>
      <c r="R27" s="868">
        <f>☆入力!AA35</f>
        <v>0</v>
      </c>
      <c r="S27" s="868"/>
      <c r="T27" s="868"/>
      <c r="U27" s="869">
        <f>☆入力!AB35</f>
        <v>0</v>
      </c>
      <c r="V27" s="869"/>
      <c r="W27" s="869"/>
      <c r="X27" s="869"/>
      <c r="Y27" s="870">
        <f>☆入力!AC35</f>
        <v>0</v>
      </c>
      <c r="Z27" s="870"/>
      <c r="AA27" s="870"/>
      <c r="AB27" s="870"/>
      <c r="AD27" s="63"/>
      <c r="AG27" s="2" t="s">
        <v>333</v>
      </c>
      <c r="AT27" s="217"/>
      <c r="AU27" s="217"/>
      <c r="AV27" s="217"/>
      <c r="AW27" s="217"/>
      <c r="AX27" s="217"/>
      <c r="AY27" s="217"/>
      <c r="AZ27" s="217"/>
      <c r="BA27" s="217"/>
    </row>
    <row r="28" spans="1:53" s="4" customFormat="1" ht="21" customHeight="1">
      <c r="A28" s="860">
        <v>21</v>
      </c>
      <c r="B28" s="860"/>
      <c r="C28" s="861">
        <f>IF($C$6=☆入力!$B$15,☆入力!$B36,☆入力!$C36)</f>
        <v>0</v>
      </c>
      <c r="D28" s="862"/>
      <c r="E28" s="862"/>
      <c r="F28" s="863"/>
      <c r="G28" s="864">
        <f>☆入力!D36</f>
        <v>0</v>
      </c>
      <c r="H28" s="864"/>
      <c r="I28" s="864"/>
      <c r="J28" s="864"/>
      <c r="K28" s="864"/>
      <c r="L28" s="865">
        <f>☆入力!H36</f>
        <v>0</v>
      </c>
      <c r="M28" s="865"/>
      <c r="N28" s="865"/>
      <c r="O28" s="865"/>
      <c r="P28" s="866">
        <f>☆入力!L36</f>
        <v>0</v>
      </c>
      <c r="Q28" s="866"/>
      <c r="R28" s="868">
        <f>☆入力!AA36</f>
        <v>0</v>
      </c>
      <c r="S28" s="868"/>
      <c r="T28" s="868"/>
      <c r="U28" s="869">
        <f>☆入力!AB36</f>
        <v>0</v>
      </c>
      <c r="V28" s="869"/>
      <c r="W28" s="869"/>
      <c r="X28" s="869"/>
      <c r="Y28" s="870">
        <f>☆入力!AC36</f>
        <v>0</v>
      </c>
      <c r="Z28" s="870"/>
      <c r="AA28" s="870"/>
      <c r="AB28" s="870"/>
      <c r="AD28" s="63"/>
      <c r="AS28" s="350"/>
      <c r="AT28" s="350"/>
      <c r="AU28" s="350"/>
      <c r="AV28" s="350"/>
      <c r="AW28" s="350"/>
      <c r="AX28" s="350"/>
      <c r="AY28" s="350"/>
      <c r="AZ28" s="350"/>
      <c r="BA28" s="350"/>
    </row>
    <row r="29" spans="1:53" s="4" customFormat="1" ht="21" customHeight="1">
      <c r="A29" s="860">
        <v>22</v>
      </c>
      <c r="B29" s="860"/>
      <c r="C29" s="861">
        <f>IF($C$6=☆入力!$B$15,☆入力!$B37,☆入力!$C37)</f>
        <v>0</v>
      </c>
      <c r="D29" s="862"/>
      <c r="E29" s="862"/>
      <c r="F29" s="863"/>
      <c r="G29" s="864">
        <f>☆入力!D37</f>
        <v>0</v>
      </c>
      <c r="H29" s="864"/>
      <c r="I29" s="864"/>
      <c r="J29" s="864"/>
      <c r="K29" s="864"/>
      <c r="L29" s="865">
        <f>☆入力!H37</f>
        <v>0</v>
      </c>
      <c r="M29" s="865"/>
      <c r="N29" s="865"/>
      <c r="O29" s="865"/>
      <c r="P29" s="866">
        <f>☆入力!L37</f>
        <v>0</v>
      </c>
      <c r="Q29" s="866"/>
      <c r="R29" s="868">
        <f>☆入力!AA37</f>
        <v>0</v>
      </c>
      <c r="S29" s="868"/>
      <c r="T29" s="868"/>
      <c r="U29" s="869">
        <f>☆入力!AB37</f>
        <v>0</v>
      </c>
      <c r="V29" s="869"/>
      <c r="W29" s="869"/>
      <c r="X29" s="869"/>
      <c r="Y29" s="870">
        <f>☆入力!AC37</f>
        <v>0</v>
      </c>
      <c r="Z29" s="870"/>
      <c r="AA29" s="870"/>
      <c r="AB29" s="870"/>
      <c r="AD29" s="63"/>
      <c r="AG29" s="2"/>
    </row>
    <row r="30" spans="1:53" s="4" customFormat="1" ht="21" customHeight="1">
      <c r="A30" s="860">
        <v>23</v>
      </c>
      <c r="B30" s="860"/>
      <c r="C30" s="861">
        <f>IF($C$6=☆入力!$B$15,☆入力!$B38,☆入力!$C38)</f>
        <v>0</v>
      </c>
      <c r="D30" s="862"/>
      <c r="E30" s="862"/>
      <c r="F30" s="863"/>
      <c r="G30" s="864">
        <f>☆入力!D38</f>
        <v>0</v>
      </c>
      <c r="H30" s="864"/>
      <c r="I30" s="864"/>
      <c r="J30" s="864"/>
      <c r="K30" s="864"/>
      <c r="L30" s="865">
        <f>☆入力!H38</f>
        <v>0</v>
      </c>
      <c r="M30" s="865"/>
      <c r="N30" s="865"/>
      <c r="O30" s="865"/>
      <c r="P30" s="866">
        <f>☆入力!L38</f>
        <v>0</v>
      </c>
      <c r="Q30" s="866"/>
      <c r="R30" s="868">
        <f>☆入力!AA38</f>
        <v>0</v>
      </c>
      <c r="S30" s="868"/>
      <c r="T30" s="868"/>
      <c r="U30" s="869">
        <f>☆入力!AB38</f>
        <v>0</v>
      </c>
      <c r="V30" s="869"/>
      <c r="W30" s="869"/>
      <c r="X30" s="869"/>
      <c r="Y30" s="870">
        <f>☆入力!AC38</f>
        <v>0</v>
      </c>
      <c r="Z30" s="870"/>
      <c r="AA30" s="870"/>
      <c r="AB30" s="870"/>
      <c r="AD30" s="63"/>
      <c r="AS30" s="56"/>
      <c r="AT30" s="56"/>
      <c r="AU30" s="56"/>
      <c r="AV30" s="56"/>
      <c r="AW30" s="56"/>
      <c r="AX30" s="56"/>
      <c r="AY30" s="56"/>
      <c r="AZ30" s="56"/>
      <c r="BA30" s="56"/>
    </row>
    <row r="31" spans="1:53" s="4" customFormat="1" ht="21" customHeight="1">
      <c r="A31" s="860">
        <v>24</v>
      </c>
      <c r="B31" s="860"/>
      <c r="C31" s="861">
        <f>IF($C$6=☆入力!$B$15,☆入力!$B39,☆入力!$C39)</f>
        <v>0</v>
      </c>
      <c r="D31" s="862"/>
      <c r="E31" s="862"/>
      <c r="F31" s="863"/>
      <c r="G31" s="864">
        <f>☆入力!D39</f>
        <v>0</v>
      </c>
      <c r="H31" s="864"/>
      <c r="I31" s="864"/>
      <c r="J31" s="864"/>
      <c r="K31" s="864"/>
      <c r="L31" s="865">
        <f>☆入力!H39</f>
        <v>0</v>
      </c>
      <c r="M31" s="865"/>
      <c r="N31" s="865"/>
      <c r="O31" s="865"/>
      <c r="P31" s="866">
        <f>☆入力!L39</f>
        <v>0</v>
      </c>
      <c r="Q31" s="866"/>
      <c r="R31" s="868">
        <f>☆入力!AA39</f>
        <v>0</v>
      </c>
      <c r="S31" s="868"/>
      <c r="T31" s="868"/>
      <c r="U31" s="869">
        <f>☆入力!AB39</f>
        <v>0</v>
      </c>
      <c r="V31" s="869"/>
      <c r="W31" s="869"/>
      <c r="X31" s="869"/>
      <c r="Y31" s="870">
        <f>☆入力!AC39</f>
        <v>0</v>
      </c>
      <c r="Z31" s="870"/>
      <c r="AA31" s="870"/>
      <c r="AB31" s="870"/>
      <c r="AD31" s="63"/>
      <c r="AS31" s="56"/>
      <c r="AT31" s="56"/>
      <c r="AU31" s="56"/>
      <c r="AV31" s="56"/>
      <c r="AW31" s="56"/>
      <c r="AX31" s="56"/>
      <c r="AY31" s="56"/>
      <c r="AZ31" s="56"/>
      <c r="BA31" s="56"/>
    </row>
    <row r="32" spans="1:53" s="4" customFormat="1" ht="21" customHeight="1">
      <c r="A32" s="860">
        <v>25</v>
      </c>
      <c r="B32" s="860"/>
      <c r="C32" s="861">
        <f>IF($C$6=☆入力!$B$15,☆入力!$B40,☆入力!$C40)</f>
        <v>0</v>
      </c>
      <c r="D32" s="862"/>
      <c r="E32" s="862"/>
      <c r="F32" s="863"/>
      <c r="G32" s="864">
        <f>☆入力!D40</f>
        <v>0</v>
      </c>
      <c r="H32" s="864"/>
      <c r="I32" s="864"/>
      <c r="J32" s="864"/>
      <c r="K32" s="864"/>
      <c r="L32" s="865">
        <f>☆入力!H40</f>
        <v>0</v>
      </c>
      <c r="M32" s="865"/>
      <c r="N32" s="865"/>
      <c r="O32" s="865"/>
      <c r="P32" s="866">
        <f>☆入力!L40</f>
        <v>0</v>
      </c>
      <c r="Q32" s="866"/>
      <c r="R32" s="868">
        <f>☆入力!AA40</f>
        <v>0</v>
      </c>
      <c r="S32" s="868"/>
      <c r="T32" s="868"/>
      <c r="U32" s="869">
        <f>☆入力!AB40</f>
        <v>0</v>
      </c>
      <c r="V32" s="869"/>
      <c r="W32" s="869"/>
      <c r="X32" s="869"/>
      <c r="Y32" s="870">
        <f>☆入力!AC40</f>
        <v>0</v>
      </c>
      <c r="Z32" s="870"/>
      <c r="AA32" s="870"/>
      <c r="AB32" s="870"/>
      <c r="AD32" s="63"/>
    </row>
    <row r="33" spans="1:56" s="4" customFormat="1" ht="21" customHeight="1" outlineLevel="1">
      <c r="A33" s="860">
        <v>26</v>
      </c>
      <c r="B33" s="860"/>
      <c r="C33" s="861">
        <f>IF($C$6=☆入力!$B$15,☆入力!$B41,☆入力!$C41)</f>
        <v>0</v>
      </c>
      <c r="D33" s="862"/>
      <c r="E33" s="862"/>
      <c r="F33" s="863"/>
      <c r="G33" s="864">
        <f>☆入力!D41</f>
        <v>0</v>
      </c>
      <c r="H33" s="864"/>
      <c r="I33" s="864"/>
      <c r="J33" s="864"/>
      <c r="K33" s="864"/>
      <c r="L33" s="865">
        <f>☆入力!H41</f>
        <v>0</v>
      </c>
      <c r="M33" s="865"/>
      <c r="N33" s="865"/>
      <c r="O33" s="865"/>
      <c r="P33" s="866">
        <f>☆入力!L41</f>
        <v>0</v>
      </c>
      <c r="Q33" s="866"/>
      <c r="R33" s="868">
        <f>☆入力!AA41</f>
        <v>0</v>
      </c>
      <c r="S33" s="868"/>
      <c r="T33" s="868"/>
      <c r="U33" s="869">
        <f>☆入力!AB41</f>
        <v>0</v>
      </c>
      <c r="V33" s="869"/>
      <c r="W33" s="869"/>
      <c r="X33" s="869"/>
      <c r="Y33" s="870">
        <f>☆入力!AC41</f>
        <v>0</v>
      </c>
      <c r="Z33" s="870"/>
      <c r="AA33" s="870"/>
      <c r="AB33" s="870"/>
      <c r="AD33" s="63"/>
    </row>
    <row r="34" spans="1:56" s="4" customFormat="1" ht="21" customHeight="1" outlineLevel="1">
      <c r="A34" s="860">
        <v>27</v>
      </c>
      <c r="B34" s="860"/>
      <c r="C34" s="861">
        <f>IF($C$6=☆入力!$B$15,☆入力!$B42,☆入力!$C42)</f>
        <v>0</v>
      </c>
      <c r="D34" s="862"/>
      <c r="E34" s="862"/>
      <c r="F34" s="863"/>
      <c r="G34" s="864">
        <f>☆入力!D42</f>
        <v>0</v>
      </c>
      <c r="H34" s="864"/>
      <c r="I34" s="864"/>
      <c r="J34" s="864"/>
      <c r="K34" s="864"/>
      <c r="L34" s="865">
        <f>☆入力!H42</f>
        <v>0</v>
      </c>
      <c r="M34" s="865"/>
      <c r="N34" s="865"/>
      <c r="O34" s="865"/>
      <c r="P34" s="866">
        <f>☆入力!L42</f>
        <v>0</v>
      </c>
      <c r="Q34" s="866"/>
      <c r="R34" s="868">
        <f>☆入力!AA42</f>
        <v>0</v>
      </c>
      <c r="S34" s="868"/>
      <c r="T34" s="868"/>
      <c r="U34" s="869">
        <f>☆入力!AB42</f>
        <v>0</v>
      </c>
      <c r="V34" s="869"/>
      <c r="W34" s="869"/>
      <c r="X34" s="869"/>
      <c r="Y34" s="870">
        <f>☆入力!AC42</f>
        <v>0</v>
      </c>
      <c r="Z34" s="870"/>
      <c r="AA34" s="870"/>
      <c r="AB34" s="870"/>
      <c r="AD34" s="63"/>
    </row>
    <row r="35" spans="1:56" s="4" customFormat="1" ht="21" customHeight="1" outlineLevel="1">
      <c r="A35" s="860">
        <v>28</v>
      </c>
      <c r="B35" s="860"/>
      <c r="C35" s="861">
        <f>IF($C$6=☆入力!$B$15,☆入力!$B43,☆入力!$C43)</f>
        <v>0</v>
      </c>
      <c r="D35" s="862"/>
      <c r="E35" s="862"/>
      <c r="F35" s="863"/>
      <c r="G35" s="864">
        <f>☆入力!D43</f>
        <v>0</v>
      </c>
      <c r="H35" s="864"/>
      <c r="I35" s="864"/>
      <c r="J35" s="864"/>
      <c r="K35" s="864"/>
      <c r="L35" s="865">
        <f>☆入力!H43</f>
        <v>0</v>
      </c>
      <c r="M35" s="865"/>
      <c r="N35" s="865"/>
      <c r="O35" s="865"/>
      <c r="P35" s="866">
        <f>☆入力!L43</f>
        <v>0</v>
      </c>
      <c r="Q35" s="866"/>
      <c r="R35" s="868">
        <f>☆入力!AA43</f>
        <v>0</v>
      </c>
      <c r="S35" s="868"/>
      <c r="T35" s="868"/>
      <c r="U35" s="869">
        <f>☆入力!AB43</f>
        <v>0</v>
      </c>
      <c r="V35" s="869"/>
      <c r="W35" s="869"/>
      <c r="X35" s="869"/>
      <c r="Y35" s="870">
        <f>☆入力!AC43</f>
        <v>0</v>
      </c>
      <c r="Z35" s="870"/>
      <c r="AA35" s="870"/>
      <c r="AB35" s="870"/>
      <c r="AD35" s="63"/>
    </row>
    <row r="36" spans="1:56" s="4" customFormat="1" ht="21" customHeight="1" outlineLevel="1">
      <c r="A36" s="860">
        <v>29</v>
      </c>
      <c r="B36" s="860"/>
      <c r="C36" s="861">
        <f>IF($C$6=☆入力!$B$15,☆入力!$B44,☆入力!$C44)</f>
        <v>0</v>
      </c>
      <c r="D36" s="862"/>
      <c r="E36" s="862"/>
      <c r="F36" s="863"/>
      <c r="G36" s="864">
        <f>☆入力!D44</f>
        <v>0</v>
      </c>
      <c r="H36" s="864"/>
      <c r="I36" s="864"/>
      <c r="J36" s="864"/>
      <c r="K36" s="864"/>
      <c r="L36" s="865">
        <f>☆入力!H44</f>
        <v>0</v>
      </c>
      <c r="M36" s="865"/>
      <c r="N36" s="865"/>
      <c r="O36" s="865"/>
      <c r="P36" s="866">
        <f>☆入力!L44</f>
        <v>0</v>
      </c>
      <c r="Q36" s="866"/>
      <c r="R36" s="868">
        <f>☆入力!AA44</f>
        <v>0</v>
      </c>
      <c r="S36" s="868"/>
      <c r="T36" s="868"/>
      <c r="U36" s="869">
        <f>☆入力!AB44</f>
        <v>0</v>
      </c>
      <c r="V36" s="869"/>
      <c r="W36" s="869"/>
      <c r="X36" s="869"/>
      <c r="Y36" s="870">
        <f>☆入力!AC44</f>
        <v>0</v>
      </c>
      <c r="Z36" s="870"/>
      <c r="AA36" s="870"/>
      <c r="AB36" s="870"/>
      <c r="AD36" s="63"/>
    </row>
    <row r="37" spans="1:56" s="4" customFormat="1" ht="21" customHeight="1" outlineLevel="1">
      <c r="A37" s="849">
        <v>30</v>
      </c>
      <c r="B37" s="849"/>
      <c r="C37" s="850">
        <f>IF($C$6=☆入力!$B$15,☆入力!$B45,☆入力!$C45)</f>
        <v>0</v>
      </c>
      <c r="D37" s="851"/>
      <c r="E37" s="851"/>
      <c r="F37" s="852"/>
      <c r="G37" s="853">
        <f>☆入力!D45</f>
        <v>0</v>
      </c>
      <c r="H37" s="853"/>
      <c r="I37" s="853"/>
      <c r="J37" s="853"/>
      <c r="K37" s="853"/>
      <c r="L37" s="854">
        <f>☆入力!H45</f>
        <v>0</v>
      </c>
      <c r="M37" s="854"/>
      <c r="N37" s="854"/>
      <c r="O37" s="854"/>
      <c r="P37" s="855">
        <f>☆入力!L45</f>
        <v>0</v>
      </c>
      <c r="Q37" s="855"/>
      <c r="R37" s="857">
        <f>☆入力!AA45</f>
        <v>0</v>
      </c>
      <c r="S37" s="857"/>
      <c r="T37" s="857"/>
      <c r="U37" s="858">
        <f>☆入力!AB45</f>
        <v>0</v>
      </c>
      <c r="V37" s="858"/>
      <c r="W37" s="858"/>
      <c r="X37" s="858"/>
      <c r="Y37" s="859">
        <f>☆入力!AC45</f>
        <v>0</v>
      </c>
      <c r="Z37" s="859"/>
      <c r="AA37" s="859"/>
      <c r="AB37" s="859"/>
      <c r="AD37" s="63"/>
    </row>
    <row r="38" spans="1:56" s="14" customFormat="1" ht="21" customHeight="1">
      <c r="C38" s="479"/>
      <c r="D38" s="479"/>
      <c r="E38" s="479"/>
      <c r="F38" s="479"/>
      <c r="G38" s="479"/>
      <c r="H38" s="479"/>
      <c r="I38" s="479"/>
      <c r="J38" s="479"/>
      <c r="K38" s="75" t="s">
        <v>323</v>
      </c>
      <c r="L38" s="479"/>
      <c r="M38" s="479"/>
      <c r="N38" s="479"/>
      <c r="O38" s="479"/>
      <c r="P38" s="479"/>
      <c r="Q38" s="479"/>
      <c r="R38" s="479"/>
      <c r="S38" s="479"/>
      <c r="T38" s="479"/>
      <c r="U38" s="479"/>
      <c r="V38" s="479"/>
      <c r="W38" s="479"/>
      <c r="X38" s="479"/>
      <c r="AD38" s="65"/>
    </row>
    <row r="39" spans="1:56" s="14" customFormat="1" ht="21" customHeight="1">
      <c r="C39" s="479"/>
      <c r="D39" s="479"/>
      <c r="E39" s="479"/>
      <c r="F39" s="479"/>
      <c r="G39" s="479"/>
      <c r="H39" s="479"/>
      <c r="I39" s="479"/>
      <c r="J39" s="479"/>
      <c r="K39" s="885" t="s">
        <v>43</v>
      </c>
      <c r="L39" s="885"/>
      <c r="M39" s="885"/>
      <c r="N39" s="885"/>
      <c r="O39" s="885"/>
      <c r="P39" s="887">
        <f>SUM(P8:Q37)</f>
        <v>0</v>
      </c>
      <c r="Q39" s="887"/>
      <c r="R39" s="889" t="s">
        <v>324</v>
      </c>
      <c r="S39" s="889"/>
      <c r="T39" s="889"/>
      <c r="U39" s="891">
        <f>SUM(U8:X37)</f>
        <v>0</v>
      </c>
      <c r="V39" s="891"/>
      <c r="W39" s="891"/>
      <c r="X39" s="891"/>
      <c r="Y39" s="893">
        <f>SUM(Y8:AB37)</f>
        <v>0</v>
      </c>
      <c r="Z39" s="893"/>
      <c r="AA39" s="893"/>
      <c r="AB39" s="893"/>
      <c r="AD39" s="65"/>
      <c r="AF39" s="878" t="s">
        <v>325</v>
      </c>
      <c r="AG39" s="878"/>
      <c r="AH39" s="878"/>
      <c r="AI39" s="878"/>
      <c r="AJ39" s="878"/>
      <c r="AK39" s="878"/>
      <c r="AL39" s="878"/>
      <c r="AM39" s="878"/>
      <c r="AN39" s="878"/>
      <c r="AO39" s="878"/>
      <c r="AP39" s="878"/>
      <c r="AQ39" s="878"/>
      <c r="AR39" s="878"/>
      <c r="AS39" s="878"/>
      <c r="AT39" s="878"/>
      <c r="AU39" s="878"/>
      <c r="AV39" s="878"/>
      <c r="AW39" s="878"/>
      <c r="AX39" s="878"/>
      <c r="AY39" s="878"/>
      <c r="AZ39" s="878"/>
      <c r="BA39" s="878"/>
    </row>
    <row r="40" spans="1:56" s="14" customFormat="1" ht="21" customHeight="1" thickBot="1">
      <c r="C40" s="15"/>
      <c r="D40" s="15"/>
      <c r="E40" s="15"/>
      <c r="F40" s="15"/>
      <c r="G40" s="15"/>
      <c r="H40" s="15"/>
      <c r="I40" s="15"/>
      <c r="J40" s="15"/>
      <c r="K40" s="886"/>
      <c r="L40" s="886"/>
      <c r="M40" s="886"/>
      <c r="N40" s="886"/>
      <c r="O40" s="886"/>
      <c r="P40" s="888"/>
      <c r="Q40" s="888"/>
      <c r="R40" s="890"/>
      <c r="S40" s="890"/>
      <c r="T40" s="890"/>
      <c r="U40" s="892"/>
      <c r="V40" s="892"/>
      <c r="W40" s="892"/>
      <c r="X40" s="892"/>
      <c r="Y40" s="894"/>
      <c r="Z40" s="894"/>
      <c r="AA40" s="894"/>
      <c r="AB40" s="894"/>
      <c r="AD40" s="65"/>
      <c r="AF40" s="878"/>
      <c r="AG40" s="878"/>
      <c r="AH40" s="878"/>
      <c r="AI40" s="878"/>
      <c r="AJ40" s="878"/>
      <c r="AK40" s="878"/>
      <c r="AL40" s="878"/>
      <c r="AM40" s="878"/>
      <c r="AN40" s="878"/>
      <c r="AO40" s="878"/>
      <c r="AP40" s="878"/>
      <c r="AQ40" s="878"/>
      <c r="AR40" s="878"/>
      <c r="AS40" s="878"/>
      <c r="AT40" s="878"/>
      <c r="AU40" s="878"/>
      <c r="AV40" s="878"/>
      <c r="AW40" s="878"/>
      <c r="AX40" s="878"/>
      <c r="AY40" s="878"/>
      <c r="AZ40" s="878"/>
      <c r="BA40" s="878"/>
    </row>
    <row r="41" spans="1:56" s="14" customFormat="1" ht="21" customHeight="1" thickTop="1">
      <c r="C41" s="15"/>
      <c r="D41" s="15"/>
      <c r="E41" s="15"/>
      <c r="F41" s="15"/>
      <c r="G41" s="15"/>
      <c r="H41" s="15"/>
      <c r="I41" s="15"/>
      <c r="J41" s="15"/>
      <c r="L41" s="15"/>
      <c r="M41" s="15"/>
      <c r="AD41" s="65"/>
      <c r="AS41" s="939">
        <f>AS7+AS19+AS24</f>
        <v>0</v>
      </c>
      <c r="AT41" s="940"/>
      <c r="AU41" s="940"/>
      <c r="AV41" s="940"/>
      <c r="AW41" s="940"/>
      <c r="AX41" s="940"/>
      <c r="AY41" s="940"/>
      <c r="AZ41" s="940"/>
      <c r="BA41" s="941"/>
    </row>
    <row r="42" spans="1:56" s="14" customFormat="1" ht="21" customHeight="1" thickBot="1">
      <c r="C42" s="15"/>
      <c r="D42" s="15"/>
      <c r="E42" s="15"/>
      <c r="F42" s="15"/>
      <c r="G42" s="15"/>
      <c r="H42" s="15"/>
      <c r="I42" s="15"/>
      <c r="J42" s="15"/>
      <c r="K42" s="15"/>
      <c r="L42" s="15"/>
      <c r="M42" s="15"/>
      <c r="AD42" s="65"/>
      <c r="AS42" s="942"/>
      <c r="AT42" s="943"/>
      <c r="AU42" s="943"/>
      <c r="AV42" s="943"/>
      <c r="AW42" s="943"/>
      <c r="AX42" s="943"/>
      <c r="AY42" s="943"/>
      <c r="AZ42" s="943"/>
      <c r="BA42" s="944"/>
    </row>
    <row r="43" spans="1:56" s="14" customFormat="1" ht="21" customHeight="1" thickTop="1">
      <c r="C43" s="15"/>
      <c r="D43" s="15"/>
      <c r="E43" s="15"/>
      <c r="F43" s="15"/>
      <c r="G43" s="15"/>
      <c r="H43" s="15"/>
      <c r="I43" s="15"/>
      <c r="J43" s="15"/>
      <c r="K43" s="15"/>
      <c r="L43" s="15"/>
      <c r="M43" s="15"/>
      <c r="AD43" s="65"/>
    </row>
    <row r="44" spans="1:56" s="14" customFormat="1" ht="21" customHeight="1">
      <c r="A44" s="58"/>
      <c r="C44" s="15"/>
      <c r="D44" s="15"/>
      <c r="E44" s="15"/>
      <c r="F44" s="15"/>
      <c r="G44" s="15"/>
      <c r="H44" s="15"/>
      <c r="I44" s="15"/>
      <c r="J44" s="15"/>
      <c r="K44" s="15"/>
      <c r="L44" s="15"/>
      <c r="M44" s="15"/>
      <c r="BD44" s="310">
        <v>6</v>
      </c>
    </row>
    <row r="45" spans="1:56" s="14" customFormat="1" ht="21" customHeight="1">
      <c r="C45" s="15"/>
      <c r="D45" s="15"/>
      <c r="E45" s="15"/>
      <c r="F45" s="15"/>
      <c r="G45" s="15"/>
      <c r="H45" s="15"/>
      <c r="I45" s="15"/>
      <c r="J45" s="15"/>
      <c r="K45" s="15"/>
      <c r="L45" s="15"/>
      <c r="M45" s="15"/>
    </row>
    <row r="46" spans="1:56" s="14" customFormat="1" ht="21" customHeight="1">
      <c r="C46" s="15"/>
      <c r="D46" s="15"/>
      <c r="E46" s="15"/>
      <c r="F46" s="15"/>
      <c r="G46" s="15"/>
      <c r="H46" s="15"/>
      <c r="I46" s="15"/>
      <c r="J46" s="15"/>
      <c r="K46" s="15"/>
      <c r="L46" s="15"/>
      <c r="M46" s="15"/>
    </row>
  </sheetData>
  <mergeCells count="267">
    <mergeCell ref="AS41:BA42"/>
    <mergeCell ref="K39:O40"/>
    <mergeCell ref="P39:Q40"/>
    <mergeCell ref="R39:T40"/>
    <mergeCell ref="U39:X40"/>
    <mergeCell ref="Y39:AB40"/>
    <mergeCell ref="AF39:BA40"/>
    <mergeCell ref="U36:X36"/>
    <mergeCell ref="Y36:AB36"/>
    <mergeCell ref="A37:B37"/>
    <mergeCell ref="C37:F37"/>
    <mergeCell ref="G37:K37"/>
    <mergeCell ref="L37:O37"/>
    <mergeCell ref="P37:Q37"/>
    <mergeCell ref="R37:T37"/>
    <mergeCell ref="U37:X37"/>
    <mergeCell ref="Y37:AB37"/>
    <mergeCell ref="A36:B36"/>
    <mergeCell ref="C36:F36"/>
    <mergeCell ref="G36:K36"/>
    <mergeCell ref="L36:O36"/>
    <mergeCell ref="P36:Q36"/>
    <mergeCell ref="R36:T36"/>
    <mergeCell ref="U34:X34"/>
    <mergeCell ref="Y34:AB34"/>
    <mergeCell ref="A35:B35"/>
    <mergeCell ref="C35:F35"/>
    <mergeCell ref="G35:K35"/>
    <mergeCell ref="L35:O35"/>
    <mergeCell ref="P35:Q35"/>
    <mergeCell ref="R35:T35"/>
    <mergeCell ref="U35:X35"/>
    <mergeCell ref="Y35:AB35"/>
    <mergeCell ref="A34:B34"/>
    <mergeCell ref="C34:F34"/>
    <mergeCell ref="G34:K34"/>
    <mergeCell ref="L34:O34"/>
    <mergeCell ref="P34:Q34"/>
    <mergeCell ref="R34:T34"/>
    <mergeCell ref="U32:X32"/>
    <mergeCell ref="Y32:AB32"/>
    <mergeCell ref="A33:B33"/>
    <mergeCell ref="C33:F33"/>
    <mergeCell ref="G33:K33"/>
    <mergeCell ref="L33:O33"/>
    <mergeCell ref="P33:Q33"/>
    <mergeCell ref="R33:T33"/>
    <mergeCell ref="U33:X33"/>
    <mergeCell ref="Y33:AB33"/>
    <mergeCell ref="A32:B32"/>
    <mergeCell ref="C32:F32"/>
    <mergeCell ref="G32:K32"/>
    <mergeCell ref="L32:O32"/>
    <mergeCell ref="P32:Q32"/>
    <mergeCell ref="R32:T32"/>
    <mergeCell ref="U30:X30"/>
    <mergeCell ref="Y30:AB30"/>
    <mergeCell ref="A31:B31"/>
    <mergeCell ref="C31:F31"/>
    <mergeCell ref="G31:K31"/>
    <mergeCell ref="L31:O31"/>
    <mergeCell ref="P31:Q31"/>
    <mergeCell ref="R31:T31"/>
    <mergeCell ref="U31:X31"/>
    <mergeCell ref="Y31:AB31"/>
    <mergeCell ref="A30:B30"/>
    <mergeCell ref="C30:F30"/>
    <mergeCell ref="G30:K30"/>
    <mergeCell ref="L30:O30"/>
    <mergeCell ref="P30:Q30"/>
    <mergeCell ref="R30:T30"/>
    <mergeCell ref="U28:X28"/>
    <mergeCell ref="Y28:AB28"/>
    <mergeCell ref="A29:B29"/>
    <mergeCell ref="C29:F29"/>
    <mergeCell ref="G29:K29"/>
    <mergeCell ref="L29:O29"/>
    <mergeCell ref="P29:Q29"/>
    <mergeCell ref="R29:T29"/>
    <mergeCell ref="U29:X29"/>
    <mergeCell ref="Y29:AB29"/>
    <mergeCell ref="A28:B28"/>
    <mergeCell ref="C28:F28"/>
    <mergeCell ref="G28:K28"/>
    <mergeCell ref="L28:O28"/>
    <mergeCell ref="P28:Q28"/>
    <mergeCell ref="R28:T28"/>
    <mergeCell ref="A27:B27"/>
    <mergeCell ref="C27:F27"/>
    <mergeCell ref="G27:K27"/>
    <mergeCell ref="L27:O27"/>
    <mergeCell ref="P27:Q27"/>
    <mergeCell ref="R27:T27"/>
    <mergeCell ref="U27:X27"/>
    <mergeCell ref="Y27:AB27"/>
    <mergeCell ref="Y25:AB25"/>
    <mergeCell ref="A26:B26"/>
    <mergeCell ref="C26:F26"/>
    <mergeCell ref="G26:K26"/>
    <mergeCell ref="L26:O26"/>
    <mergeCell ref="P26:Q26"/>
    <mergeCell ref="R26:T26"/>
    <mergeCell ref="U26:X26"/>
    <mergeCell ref="Y26:AB26"/>
    <mergeCell ref="U24:X24"/>
    <mergeCell ref="Y24:AB24"/>
    <mergeCell ref="A25:B25"/>
    <mergeCell ref="C25:F25"/>
    <mergeCell ref="G25:K25"/>
    <mergeCell ref="L25:O25"/>
    <mergeCell ref="P25:Q25"/>
    <mergeCell ref="R25:T25"/>
    <mergeCell ref="U25:X25"/>
    <mergeCell ref="A24:B24"/>
    <mergeCell ref="C24:F24"/>
    <mergeCell ref="G24:K24"/>
    <mergeCell ref="L24:O24"/>
    <mergeCell ref="P24:Q24"/>
    <mergeCell ref="R24:T24"/>
    <mergeCell ref="A23:B23"/>
    <mergeCell ref="C23:F23"/>
    <mergeCell ref="G23:K23"/>
    <mergeCell ref="L23:O23"/>
    <mergeCell ref="P23:Q23"/>
    <mergeCell ref="R23:T23"/>
    <mergeCell ref="Y23:AB23"/>
    <mergeCell ref="Y21:AB21"/>
    <mergeCell ref="A22:B22"/>
    <mergeCell ref="C22:F22"/>
    <mergeCell ref="G22:K22"/>
    <mergeCell ref="L22:O22"/>
    <mergeCell ref="P22:Q22"/>
    <mergeCell ref="R22:T22"/>
    <mergeCell ref="U22:X22"/>
    <mergeCell ref="Y22:AB22"/>
    <mergeCell ref="U21:X21"/>
    <mergeCell ref="U23:X23"/>
    <mergeCell ref="AN23:AP23"/>
    <mergeCell ref="A17:B17"/>
    <mergeCell ref="C17:F17"/>
    <mergeCell ref="G17:K17"/>
    <mergeCell ref="L17:O17"/>
    <mergeCell ref="P17:Q17"/>
    <mergeCell ref="R17:T17"/>
    <mergeCell ref="U17:X17"/>
    <mergeCell ref="Y17:AB17"/>
    <mergeCell ref="U18:X18"/>
    <mergeCell ref="Y18:AB18"/>
    <mergeCell ref="A19:B19"/>
    <mergeCell ref="C19:F19"/>
    <mergeCell ref="G19:K19"/>
    <mergeCell ref="L19:O19"/>
    <mergeCell ref="P19:Q19"/>
    <mergeCell ref="R19:T19"/>
    <mergeCell ref="U19:X19"/>
    <mergeCell ref="Y19:AB19"/>
    <mergeCell ref="A18:B18"/>
    <mergeCell ref="C18:F18"/>
    <mergeCell ref="G18:K18"/>
    <mergeCell ref="L18:O18"/>
    <mergeCell ref="P18:Q18"/>
    <mergeCell ref="AN22:AP22"/>
    <mergeCell ref="A16:B16"/>
    <mergeCell ref="C16:F16"/>
    <mergeCell ref="G16:K16"/>
    <mergeCell ref="L16:O16"/>
    <mergeCell ref="P16:Q16"/>
    <mergeCell ref="R16:T16"/>
    <mergeCell ref="U16:X16"/>
    <mergeCell ref="A15:B15"/>
    <mergeCell ref="C15:F15"/>
    <mergeCell ref="G15:K15"/>
    <mergeCell ref="L15:O15"/>
    <mergeCell ref="P15:Q15"/>
    <mergeCell ref="R15:T15"/>
    <mergeCell ref="Y16:AB16"/>
    <mergeCell ref="R18:T18"/>
    <mergeCell ref="U20:X20"/>
    <mergeCell ref="Y20:AB20"/>
    <mergeCell ref="A21:B21"/>
    <mergeCell ref="C21:F21"/>
    <mergeCell ref="G21:K21"/>
    <mergeCell ref="L21:O21"/>
    <mergeCell ref="P21:Q21"/>
    <mergeCell ref="R21:T21"/>
    <mergeCell ref="AS19:BA20"/>
    <mergeCell ref="A14:B14"/>
    <mergeCell ref="C14:F14"/>
    <mergeCell ref="G14:K14"/>
    <mergeCell ref="L14:O14"/>
    <mergeCell ref="P14:Q14"/>
    <mergeCell ref="R14:T14"/>
    <mergeCell ref="U14:X14"/>
    <mergeCell ref="Y14:AB14"/>
    <mergeCell ref="AF16:BA17"/>
    <mergeCell ref="AS13:BA14"/>
    <mergeCell ref="U15:X15"/>
    <mergeCell ref="Y15:AB15"/>
    <mergeCell ref="A20:B20"/>
    <mergeCell ref="C20:F20"/>
    <mergeCell ref="G20:K20"/>
    <mergeCell ref="L20:O20"/>
    <mergeCell ref="P20:Q20"/>
    <mergeCell ref="R20:T20"/>
    <mergeCell ref="U12:X12"/>
    <mergeCell ref="Y12:AB12"/>
    <mergeCell ref="A13:B13"/>
    <mergeCell ref="C13:F13"/>
    <mergeCell ref="G13:K13"/>
    <mergeCell ref="L13:O13"/>
    <mergeCell ref="P13:Q13"/>
    <mergeCell ref="R13:T13"/>
    <mergeCell ref="U13:X13"/>
    <mergeCell ref="Y13:AB13"/>
    <mergeCell ref="A12:B12"/>
    <mergeCell ref="C12:F12"/>
    <mergeCell ref="G12:K12"/>
    <mergeCell ref="L12:O12"/>
    <mergeCell ref="P12:Q12"/>
    <mergeCell ref="R12:T12"/>
    <mergeCell ref="BF10:CB11"/>
    <mergeCell ref="A11:B11"/>
    <mergeCell ref="C11:F11"/>
    <mergeCell ref="G11:K11"/>
    <mergeCell ref="L11:O11"/>
    <mergeCell ref="P11:Q11"/>
    <mergeCell ref="R11:T11"/>
    <mergeCell ref="U11:X11"/>
    <mergeCell ref="Y11:AB11"/>
    <mergeCell ref="A10:B10"/>
    <mergeCell ref="C10:F10"/>
    <mergeCell ref="G10:K10"/>
    <mergeCell ref="L10:O10"/>
    <mergeCell ref="P10:Q10"/>
    <mergeCell ref="R10:T10"/>
    <mergeCell ref="U10:X10"/>
    <mergeCell ref="Y10:AB10"/>
    <mergeCell ref="AO10:AR10"/>
    <mergeCell ref="A9:B9"/>
    <mergeCell ref="C9:F9"/>
    <mergeCell ref="G9:K9"/>
    <mergeCell ref="L9:O9"/>
    <mergeCell ref="P9:Q9"/>
    <mergeCell ref="R9:T9"/>
    <mergeCell ref="U9:X9"/>
    <mergeCell ref="Y9:AB9"/>
    <mergeCell ref="AF7:AR8"/>
    <mergeCell ref="AS7:BA8"/>
    <mergeCell ref="A8:B8"/>
    <mergeCell ref="C8:F8"/>
    <mergeCell ref="G8:K8"/>
    <mergeCell ref="L8:O8"/>
    <mergeCell ref="P8:Q8"/>
    <mergeCell ref="R8:T8"/>
    <mergeCell ref="U8:X8"/>
    <mergeCell ref="Y8:AB8"/>
    <mergeCell ref="A1:BD1"/>
    <mergeCell ref="R3:AB4"/>
    <mergeCell ref="AF3:BA4"/>
    <mergeCell ref="A6:B6"/>
    <mergeCell ref="C6:F6"/>
    <mergeCell ref="G6:K6"/>
    <mergeCell ref="L6:O6"/>
    <mergeCell ref="P6:Q6"/>
    <mergeCell ref="R6:T6"/>
    <mergeCell ref="U6:X6"/>
    <mergeCell ref="Y6:AB6"/>
  </mergeCells>
  <phoneticPr fontId="2"/>
  <conditionalFormatting sqref="C8:G37">
    <cfRule type="cellIs" dxfId="79" priority="1" operator="equal">
      <formula>0</formula>
    </cfRule>
  </conditionalFormatting>
  <conditionalFormatting sqref="L8:L37 P8:Q37 U8:X37">
    <cfRule type="cellIs" dxfId="78" priority="4" operator="equal">
      <formula>0</formula>
    </cfRule>
  </conditionalFormatting>
  <conditionalFormatting sqref="R8:T37">
    <cfRule type="cellIs" dxfId="77" priority="3" operator="equal">
      <formula>0</formula>
    </cfRule>
  </conditionalFormatting>
  <conditionalFormatting sqref="Y8:AB37">
    <cfRule type="cellIs" dxfId="76" priority="2" operator="equal">
      <formula>0</formula>
    </cfRule>
  </conditionalFormatting>
  <printOptions horizontalCentered="1" verticalCentered="1"/>
  <pageMargins left="0" right="0" top="0" bottom="0" header="0" footer="0"/>
  <pageSetup paperSize="9" scale="5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4C704-A97E-4985-9D2A-198799EA990F}">
  <sheetPr>
    <tabColor rgb="FFFFFF00"/>
  </sheetPr>
  <dimension ref="A1:BI44"/>
  <sheetViews>
    <sheetView view="pageBreakPreview" zoomScale="40" zoomScaleNormal="80" zoomScaleSheetLayoutView="40" workbookViewId="0">
      <selection activeCell="BD45" sqref="BD45"/>
    </sheetView>
  </sheetViews>
  <sheetFormatPr defaultColWidth="3.5" defaultRowHeight="21" customHeight="1"/>
  <cols>
    <col min="1" max="2" width="3.5" style="2"/>
    <col min="3" max="10" width="3.5" style="3"/>
    <col min="11" max="37" width="3.5" style="2"/>
    <col min="38" max="38" width="3.5" style="2" customWidth="1"/>
    <col min="39" max="60" width="3.5" style="2"/>
    <col min="61" max="61" width="4.125" style="2" customWidth="1"/>
    <col min="62" max="16384" width="3.5" style="2"/>
  </cols>
  <sheetData>
    <row r="1" spans="1:61" ht="38.25">
      <c r="A1" s="877" t="s">
        <v>336</v>
      </c>
      <c r="B1" s="877"/>
      <c r="C1" s="877"/>
      <c r="D1" s="877"/>
      <c r="E1" s="877"/>
      <c r="F1" s="877"/>
      <c r="G1" s="877"/>
      <c r="H1" s="877"/>
      <c r="I1" s="877"/>
      <c r="J1" s="877"/>
      <c r="K1" s="877"/>
      <c r="L1" s="877"/>
      <c r="M1" s="877"/>
      <c r="N1" s="877"/>
      <c r="O1" s="877"/>
      <c r="P1" s="877"/>
      <c r="Q1" s="877"/>
      <c r="R1" s="877"/>
      <c r="S1" s="877"/>
      <c r="T1" s="877"/>
      <c r="U1" s="877"/>
      <c r="V1" s="877"/>
      <c r="W1" s="877"/>
      <c r="X1" s="877"/>
      <c r="Y1" s="877"/>
      <c r="Z1" s="877"/>
      <c r="AA1" s="877"/>
      <c r="AB1" s="877"/>
      <c r="AC1" s="877"/>
      <c r="AD1" s="877"/>
      <c r="AE1" s="877"/>
      <c r="AF1" s="877"/>
      <c r="AG1" s="877"/>
      <c r="AH1" s="877"/>
      <c r="AI1" s="877"/>
      <c r="AJ1" s="877"/>
      <c r="AK1" s="877"/>
      <c r="AL1" s="877"/>
      <c r="AM1" s="877"/>
      <c r="AN1" s="877"/>
      <c r="AO1" s="877"/>
      <c r="AP1" s="877"/>
      <c r="AQ1" s="877"/>
      <c r="AR1" s="877"/>
      <c r="AS1" s="877"/>
      <c r="AT1" s="877"/>
      <c r="AU1" s="877"/>
      <c r="AV1" s="877"/>
      <c r="AW1" s="877"/>
      <c r="AX1" s="877"/>
      <c r="AY1" s="877"/>
      <c r="AZ1" s="877"/>
      <c r="BA1" s="877"/>
      <c r="BB1" s="877"/>
      <c r="BC1" s="877"/>
      <c r="BD1" s="877"/>
      <c r="BE1" s="877"/>
      <c r="BF1" s="877"/>
      <c r="BG1" s="877"/>
      <c r="BH1" s="877"/>
      <c r="BI1" s="877"/>
    </row>
    <row r="2" spans="1:61" s="4" customFormat="1" ht="20.25" thickBot="1">
      <c r="A2" s="60"/>
      <c r="B2" s="60"/>
      <c r="C2" s="60"/>
      <c r="D2" s="60"/>
      <c r="E2" s="60"/>
      <c r="F2" s="60"/>
      <c r="G2" s="60"/>
      <c r="H2" s="60"/>
      <c r="I2" s="60"/>
      <c r="J2" s="60"/>
      <c r="K2" s="60"/>
      <c r="L2" s="60"/>
      <c r="M2" s="60"/>
      <c r="N2" s="60"/>
      <c r="Q2" s="60"/>
      <c r="R2" s="60"/>
      <c r="S2" s="60"/>
      <c r="T2" s="60"/>
      <c r="U2" s="60"/>
      <c r="V2" s="60"/>
      <c r="W2" s="60"/>
      <c r="X2" s="60"/>
      <c r="Y2" s="60"/>
      <c r="Z2" s="60"/>
    </row>
    <row r="3" spans="1:61" s="13" customFormat="1" ht="21" customHeight="1" thickTop="1" thickBot="1">
      <c r="B3" s="12"/>
      <c r="C3" s="12"/>
      <c r="D3" s="12"/>
      <c r="E3" s="12"/>
      <c r="F3" s="12"/>
      <c r="G3" s="12"/>
      <c r="H3" s="12"/>
      <c r="I3" s="12"/>
      <c r="J3" s="12"/>
      <c r="K3" s="977" t="s">
        <v>337</v>
      </c>
      <c r="L3" s="978"/>
      <c r="M3" s="978"/>
      <c r="N3" s="979"/>
      <c r="O3" s="61"/>
      <c r="P3" s="61"/>
      <c r="Q3" s="1018" t="s">
        <v>338</v>
      </c>
      <c r="R3" s="1019"/>
      <c r="S3" s="1019"/>
      <c r="T3" s="1019"/>
      <c r="U3" s="1019"/>
      <c r="V3" s="1019"/>
      <c r="W3" s="1020"/>
      <c r="X3" s="39"/>
      <c r="Y3" s="62"/>
      <c r="Z3" s="39"/>
      <c r="AA3" s="988" t="s">
        <v>302</v>
      </c>
      <c r="AB3" s="988"/>
      <c r="AC3" s="988"/>
      <c r="AD3" s="988"/>
      <c r="AE3" s="988"/>
      <c r="AF3" s="988"/>
      <c r="AG3" s="988"/>
      <c r="AH3" s="988"/>
      <c r="AI3" s="988"/>
      <c r="AJ3" s="61"/>
      <c r="AK3" s="61"/>
      <c r="AL3" s="61"/>
      <c r="AM3" s="61"/>
      <c r="AN3" s="946" t="s">
        <v>327</v>
      </c>
      <c r="AO3" s="946"/>
      <c r="AP3" s="946"/>
      <c r="AQ3" s="946"/>
      <c r="AR3" s="946"/>
      <c r="AS3" s="946"/>
      <c r="AT3" s="946"/>
      <c r="AU3" s="946"/>
      <c r="AV3" s="946"/>
      <c r="AW3" s="61"/>
      <c r="AX3" s="61"/>
      <c r="AY3" s="61"/>
      <c r="AZ3" s="61"/>
      <c r="BA3" s="1016" t="s">
        <v>339</v>
      </c>
      <c r="BB3" s="1016"/>
      <c r="BC3" s="1016"/>
      <c r="BD3" s="1016"/>
      <c r="BE3" s="1016"/>
      <c r="BF3" s="1016"/>
      <c r="BG3" s="1016"/>
      <c r="BH3" s="1016"/>
      <c r="BI3" s="1016"/>
    </row>
    <row r="4" spans="1:61" s="4" customFormat="1" ht="21" customHeight="1" thickTop="1">
      <c r="A4" s="52"/>
      <c r="B4" s="53"/>
      <c r="C4" s="54"/>
      <c r="D4" s="54"/>
      <c r="E4" s="54"/>
      <c r="F4" s="54"/>
      <c r="G4" s="54"/>
      <c r="H4" s="54"/>
      <c r="I4" s="54"/>
      <c r="J4" s="54"/>
      <c r="K4" s="53"/>
      <c r="L4" s="53"/>
      <c r="M4" s="53"/>
      <c r="N4" s="53"/>
      <c r="Y4" s="63"/>
      <c r="AA4" s="989"/>
      <c r="AB4" s="989"/>
      <c r="AC4" s="989"/>
      <c r="AD4" s="989"/>
      <c r="AE4" s="989"/>
      <c r="AF4" s="989"/>
      <c r="AG4" s="989"/>
      <c r="AH4" s="989"/>
      <c r="AI4" s="989"/>
      <c r="AJ4" s="59"/>
      <c r="AK4" s="59"/>
      <c r="AL4" s="59"/>
      <c r="AM4" s="59"/>
      <c r="AN4" s="1015"/>
      <c r="AO4" s="1015"/>
      <c r="AP4" s="1015"/>
      <c r="AQ4" s="1015"/>
      <c r="AR4" s="1015"/>
      <c r="AS4" s="1015"/>
      <c r="AT4" s="1015"/>
      <c r="AU4" s="1015"/>
      <c r="AV4" s="1015"/>
      <c r="BA4" s="1017"/>
      <c r="BB4" s="1017"/>
      <c r="BC4" s="1017"/>
      <c r="BD4" s="1017"/>
      <c r="BE4" s="1017"/>
      <c r="BF4" s="1017"/>
      <c r="BG4" s="1017"/>
      <c r="BH4" s="1017"/>
      <c r="BI4" s="1017"/>
    </row>
    <row r="5" spans="1:61" ht="21" customHeight="1">
      <c r="A5" s="903" t="s">
        <v>304</v>
      </c>
      <c r="B5" s="907"/>
      <c r="C5" s="908" t="str">
        <f>LED計算式!M32</f>
        <v>試算エリア</v>
      </c>
      <c r="D5" s="909"/>
      <c r="E5" s="909"/>
      <c r="F5" s="910"/>
      <c r="G5" s="908" t="s">
        <v>305</v>
      </c>
      <c r="H5" s="909"/>
      <c r="I5" s="909"/>
      <c r="J5" s="910"/>
      <c r="K5" s="906" t="s">
        <v>308</v>
      </c>
      <c r="L5" s="906"/>
      <c r="M5" s="906"/>
      <c r="N5" s="906"/>
      <c r="O5" s="57"/>
      <c r="P5" s="57"/>
      <c r="Q5" s="906" t="s">
        <v>308</v>
      </c>
      <c r="R5" s="906"/>
      <c r="S5" s="906"/>
      <c r="T5" s="906"/>
      <c r="U5" s="1027" t="s">
        <v>340</v>
      </c>
      <c r="V5" s="1027"/>
      <c r="W5" s="1027"/>
      <c r="Y5" s="64"/>
    </row>
    <row r="6" spans="1:61" ht="21" customHeight="1">
      <c r="A6" s="15"/>
      <c r="B6" s="15"/>
      <c r="C6" s="16"/>
      <c r="D6" s="16"/>
      <c r="E6" s="16"/>
      <c r="F6" s="16"/>
      <c r="G6" s="16"/>
      <c r="H6" s="16"/>
      <c r="I6" s="16"/>
      <c r="J6" s="16"/>
      <c r="K6" s="17"/>
      <c r="L6" s="17"/>
      <c r="M6" s="17"/>
      <c r="N6" s="17"/>
      <c r="O6" s="17"/>
      <c r="P6" s="17"/>
      <c r="Q6" s="17"/>
      <c r="R6" s="17"/>
      <c r="Y6" s="64"/>
      <c r="AA6" s="878" t="s">
        <v>341</v>
      </c>
      <c r="AB6" s="878"/>
      <c r="AC6" s="878"/>
      <c r="AD6" s="878"/>
      <c r="AE6" s="878"/>
      <c r="AF6" s="878"/>
      <c r="AG6" s="878"/>
      <c r="AH6" s="878"/>
      <c r="AI6" s="878"/>
      <c r="AJ6" s="878"/>
      <c r="AK6" s="878"/>
      <c r="AL6" s="878"/>
      <c r="AM6" s="878"/>
      <c r="AN6" s="878"/>
      <c r="AO6" s="878"/>
      <c r="AP6" s="878"/>
      <c r="AQ6" s="878"/>
      <c r="AR6" s="878"/>
      <c r="AS6" s="878"/>
      <c r="AT6" s="878"/>
      <c r="AU6" s="878"/>
      <c r="AV6" s="878"/>
    </row>
    <row r="7" spans="1:61" s="4" customFormat="1" ht="21" customHeight="1">
      <c r="A7" s="911">
        <v>1</v>
      </c>
      <c r="B7" s="911"/>
      <c r="C7" s="872">
        <f>IF($C$5=☆入力!$B$15,☆入力!$B16,☆入力!$C16)</f>
        <v>0</v>
      </c>
      <c r="D7" s="872"/>
      <c r="E7" s="872"/>
      <c r="F7" s="872"/>
      <c r="G7" s="872">
        <f>☆入力!D16</f>
        <v>0</v>
      </c>
      <c r="H7" s="872"/>
      <c r="I7" s="872"/>
      <c r="J7" s="872"/>
      <c r="K7" s="929">
        <f>☆入力!Y16</f>
        <v>0</v>
      </c>
      <c r="L7" s="929"/>
      <c r="M7" s="929"/>
      <c r="N7" s="929"/>
      <c r="O7" s="967" t="s">
        <v>342</v>
      </c>
      <c r="P7" s="968"/>
      <c r="Q7" s="929">
        <f>☆入力!AC16</f>
        <v>0</v>
      </c>
      <c r="R7" s="929"/>
      <c r="S7" s="929"/>
      <c r="T7" s="929"/>
      <c r="U7" s="1000" t="str">
        <f t="shared" ref="U7:U31" si="0">IFERROR(100%-(Q7/K7),"")</f>
        <v/>
      </c>
      <c r="V7" s="1000"/>
      <c r="W7" s="1000"/>
      <c r="Y7" s="63"/>
      <c r="AA7" s="878"/>
      <c r="AB7" s="878"/>
      <c r="AC7" s="878"/>
      <c r="AD7" s="878"/>
      <c r="AE7" s="878"/>
      <c r="AF7" s="878"/>
      <c r="AG7" s="878"/>
      <c r="AH7" s="878"/>
      <c r="AI7" s="878"/>
      <c r="AJ7" s="878"/>
      <c r="AK7" s="878"/>
      <c r="AL7" s="878"/>
      <c r="AM7" s="878"/>
      <c r="AN7" s="878"/>
      <c r="AO7" s="878"/>
      <c r="AP7" s="878"/>
      <c r="AQ7" s="878"/>
      <c r="AR7" s="878"/>
      <c r="AS7" s="878"/>
      <c r="AT7" s="878"/>
      <c r="AU7" s="878"/>
      <c r="AV7" s="878"/>
    </row>
    <row r="8" spans="1:61" s="4" customFormat="1" ht="21" customHeight="1" thickBot="1">
      <c r="A8" s="860">
        <v>2</v>
      </c>
      <c r="B8" s="860"/>
      <c r="C8" s="861">
        <f>IF($C$5=☆入力!$B$15,☆入力!$B17,☆入力!$C17)</f>
        <v>0</v>
      </c>
      <c r="D8" s="862"/>
      <c r="E8" s="862"/>
      <c r="F8" s="863"/>
      <c r="G8" s="864">
        <f>☆入力!D17</f>
        <v>0</v>
      </c>
      <c r="H8" s="864"/>
      <c r="I8" s="864"/>
      <c r="J8" s="864"/>
      <c r="K8" s="870">
        <f>☆入力!Y17</f>
        <v>0</v>
      </c>
      <c r="L8" s="870"/>
      <c r="M8" s="870"/>
      <c r="N8" s="870"/>
      <c r="O8" s="967" t="s">
        <v>342</v>
      </c>
      <c r="P8" s="968"/>
      <c r="Q8" s="870">
        <f>☆入力!AC17</f>
        <v>0</v>
      </c>
      <c r="R8" s="870"/>
      <c r="S8" s="870"/>
      <c r="T8" s="870"/>
      <c r="U8" s="970" t="str">
        <f t="shared" si="0"/>
        <v/>
      </c>
      <c r="V8" s="970"/>
      <c r="W8" s="970"/>
      <c r="Y8" s="63"/>
    </row>
    <row r="9" spans="1:61" s="4" customFormat="1" ht="21" customHeight="1" thickTop="1">
      <c r="A9" s="860">
        <v>3</v>
      </c>
      <c r="B9" s="860"/>
      <c r="C9" s="861">
        <f>IF($C$5=☆入力!$B$15,☆入力!$B18,☆入力!$C18)</f>
        <v>0</v>
      </c>
      <c r="D9" s="862"/>
      <c r="E9" s="862"/>
      <c r="F9" s="863"/>
      <c r="G9" s="864">
        <f>☆入力!D18</f>
        <v>0</v>
      </c>
      <c r="H9" s="864"/>
      <c r="I9" s="864"/>
      <c r="J9" s="864"/>
      <c r="K9" s="870">
        <f>☆入力!Y18</f>
        <v>0</v>
      </c>
      <c r="L9" s="870"/>
      <c r="M9" s="870"/>
      <c r="N9" s="870"/>
      <c r="O9" s="967" t="s">
        <v>342</v>
      </c>
      <c r="P9" s="968"/>
      <c r="Q9" s="870">
        <f>☆入力!AC18</f>
        <v>0</v>
      </c>
      <c r="R9" s="870"/>
      <c r="S9" s="870"/>
      <c r="T9" s="870"/>
      <c r="U9" s="970" t="str">
        <f t="shared" si="0"/>
        <v/>
      </c>
      <c r="V9" s="970"/>
      <c r="W9" s="970"/>
      <c r="Y9" s="63"/>
      <c r="AA9" s="994">
        <f>②前a!$AS$6</f>
        <v>0</v>
      </c>
      <c r="AB9" s="995"/>
      <c r="AC9" s="995"/>
      <c r="AD9" s="995"/>
      <c r="AE9" s="995"/>
      <c r="AF9" s="995"/>
      <c r="AG9" s="995"/>
      <c r="AH9" s="995"/>
      <c r="AI9" s="996"/>
      <c r="AJ9" s="1013" t="s">
        <v>343</v>
      </c>
      <c r="AK9" s="1009"/>
      <c r="AL9" s="1009"/>
      <c r="AM9" s="1014"/>
      <c r="AN9" s="1021">
        <f>③後a!AS6</f>
        <v>0</v>
      </c>
      <c r="AO9" s="1022"/>
      <c r="AP9" s="1022"/>
      <c r="AQ9" s="1022"/>
      <c r="AR9" s="1022"/>
      <c r="AS9" s="1022"/>
      <c r="AT9" s="1022"/>
      <c r="AU9" s="1022"/>
      <c r="AV9" s="1023"/>
      <c r="AW9" s="1008" t="s">
        <v>344</v>
      </c>
      <c r="AX9" s="1009"/>
      <c r="AY9" s="1009"/>
      <c r="AZ9" s="1010"/>
      <c r="BA9" s="1028">
        <f>AA9-AN9</f>
        <v>0</v>
      </c>
      <c r="BB9" s="1029"/>
      <c r="BC9" s="1029"/>
      <c r="BD9" s="1029"/>
      <c r="BE9" s="1029"/>
      <c r="BF9" s="1029"/>
      <c r="BG9" s="1029"/>
      <c r="BH9" s="1029"/>
      <c r="BI9" s="1030"/>
    </row>
    <row r="10" spans="1:61" s="4" customFormat="1" ht="21" customHeight="1" thickBot="1">
      <c r="A10" s="860">
        <v>4</v>
      </c>
      <c r="B10" s="860"/>
      <c r="C10" s="861">
        <f>IF($C$5=☆入力!$B$15,☆入力!$B19,☆入力!$C19)</f>
        <v>0</v>
      </c>
      <c r="D10" s="862"/>
      <c r="E10" s="862"/>
      <c r="F10" s="863"/>
      <c r="G10" s="864">
        <f>☆入力!D19</f>
        <v>0</v>
      </c>
      <c r="H10" s="864"/>
      <c r="I10" s="864"/>
      <c r="J10" s="864"/>
      <c r="K10" s="870">
        <f>☆入力!Y19</f>
        <v>0</v>
      </c>
      <c r="L10" s="870"/>
      <c r="M10" s="870"/>
      <c r="N10" s="870"/>
      <c r="O10" s="967" t="s">
        <v>342</v>
      </c>
      <c r="P10" s="968"/>
      <c r="Q10" s="870">
        <f>☆入力!AC19</f>
        <v>0</v>
      </c>
      <c r="R10" s="870"/>
      <c r="S10" s="870"/>
      <c r="T10" s="870"/>
      <c r="U10" s="970" t="str">
        <f t="shared" si="0"/>
        <v/>
      </c>
      <c r="V10" s="970"/>
      <c r="W10" s="970"/>
      <c r="Y10" s="63"/>
      <c r="AA10" s="997"/>
      <c r="AB10" s="998"/>
      <c r="AC10" s="998"/>
      <c r="AD10" s="998"/>
      <c r="AE10" s="998"/>
      <c r="AF10" s="998"/>
      <c r="AG10" s="998"/>
      <c r="AH10" s="998"/>
      <c r="AI10" s="999"/>
      <c r="AJ10" s="1013"/>
      <c r="AK10" s="1009"/>
      <c r="AL10" s="1009"/>
      <c r="AM10" s="1014"/>
      <c r="AN10" s="1024"/>
      <c r="AO10" s="1025"/>
      <c r="AP10" s="1025"/>
      <c r="AQ10" s="1025"/>
      <c r="AR10" s="1025"/>
      <c r="AS10" s="1025"/>
      <c r="AT10" s="1025"/>
      <c r="AU10" s="1025"/>
      <c r="AV10" s="1026"/>
      <c r="AW10" s="1008"/>
      <c r="AX10" s="1009"/>
      <c r="AY10" s="1009"/>
      <c r="AZ10" s="1010"/>
      <c r="BA10" s="1031"/>
      <c r="BB10" s="1032"/>
      <c r="BC10" s="1032"/>
      <c r="BD10" s="1032"/>
      <c r="BE10" s="1032"/>
      <c r="BF10" s="1032"/>
      <c r="BG10" s="1032"/>
      <c r="BH10" s="1032"/>
      <c r="BI10" s="1033"/>
    </row>
    <row r="11" spans="1:61" s="4" customFormat="1" ht="21" customHeight="1" thickTop="1">
      <c r="A11" s="860">
        <v>5</v>
      </c>
      <c r="B11" s="860"/>
      <c r="C11" s="861">
        <f>IF($C$5=☆入力!$B$15,☆入力!$B20,☆入力!$C20)</f>
        <v>0</v>
      </c>
      <c r="D11" s="862"/>
      <c r="E11" s="862"/>
      <c r="F11" s="863"/>
      <c r="G11" s="864">
        <f>☆入力!D20</f>
        <v>0</v>
      </c>
      <c r="H11" s="864"/>
      <c r="I11" s="864"/>
      <c r="J11" s="864"/>
      <c r="K11" s="870">
        <f>☆入力!Y20</f>
        <v>0</v>
      </c>
      <c r="L11" s="870"/>
      <c r="M11" s="870"/>
      <c r="N11" s="870"/>
      <c r="O11" s="967" t="s">
        <v>342</v>
      </c>
      <c r="P11" s="968"/>
      <c r="Q11" s="870">
        <f>☆入力!AC20</f>
        <v>0</v>
      </c>
      <c r="R11" s="870"/>
      <c r="S11" s="870"/>
      <c r="T11" s="870"/>
      <c r="U11" s="970" t="str">
        <f t="shared" si="0"/>
        <v/>
      </c>
      <c r="V11" s="970"/>
      <c r="W11" s="970"/>
      <c r="Y11" s="63"/>
    </row>
    <row r="12" spans="1:61" s="4" customFormat="1" ht="21" customHeight="1">
      <c r="A12" s="860">
        <v>6</v>
      </c>
      <c r="B12" s="860"/>
      <c r="C12" s="861">
        <f>IF($C$5=☆入力!$B$15,☆入力!$B21,☆入力!$C21)</f>
        <v>0</v>
      </c>
      <c r="D12" s="862"/>
      <c r="E12" s="862"/>
      <c r="F12" s="863"/>
      <c r="G12" s="864">
        <f>☆入力!D21</f>
        <v>0</v>
      </c>
      <c r="H12" s="864"/>
      <c r="I12" s="864"/>
      <c r="J12" s="864"/>
      <c r="K12" s="870">
        <f>☆入力!Y21</f>
        <v>0</v>
      </c>
      <c r="L12" s="870"/>
      <c r="M12" s="870"/>
      <c r="N12" s="870"/>
      <c r="O12" s="967" t="s">
        <v>342</v>
      </c>
      <c r="P12" s="968"/>
      <c r="Q12" s="870">
        <f>☆入力!AC21</f>
        <v>0</v>
      </c>
      <c r="R12" s="870"/>
      <c r="S12" s="870"/>
      <c r="T12" s="870"/>
      <c r="U12" s="970" t="str">
        <f t="shared" si="0"/>
        <v/>
      </c>
      <c r="V12" s="970"/>
      <c r="W12" s="970"/>
      <c r="Y12" s="63"/>
      <c r="AA12" s="924" t="s">
        <v>312</v>
      </c>
      <c r="AB12" s="924"/>
      <c r="AC12" s="924"/>
      <c r="AD12" s="924"/>
      <c r="AE12" s="924"/>
      <c r="AF12" s="924"/>
      <c r="AG12" s="924"/>
      <c r="AH12" s="924"/>
      <c r="AI12" s="924"/>
      <c r="AN12" s="957" t="s">
        <v>312</v>
      </c>
      <c r="AO12" s="957"/>
      <c r="AP12" s="957"/>
      <c r="AQ12" s="957"/>
      <c r="AR12" s="957"/>
      <c r="AS12" s="957"/>
      <c r="AT12" s="957"/>
      <c r="AU12" s="957"/>
      <c r="AV12" s="957"/>
      <c r="BA12" s="1034" t="s">
        <v>312</v>
      </c>
      <c r="BB12" s="1034"/>
      <c r="BC12" s="1034"/>
      <c r="BD12" s="1034"/>
      <c r="BE12" s="1034"/>
      <c r="BF12" s="1034"/>
      <c r="BG12" s="1034"/>
      <c r="BH12" s="1034"/>
      <c r="BI12" s="1034"/>
    </row>
    <row r="13" spans="1:61" s="4" customFormat="1" ht="21" customHeight="1">
      <c r="A13" s="860">
        <v>7</v>
      </c>
      <c r="B13" s="860"/>
      <c r="C13" s="861">
        <f>IF($C$5=☆入力!$B$15,☆入力!$B22,☆入力!$C22)</f>
        <v>0</v>
      </c>
      <c r="D13" s="862"/>
      <c r="E13" s="862"/>
      <c r="F13" s="863"/>
      <c r="G13" s="864">
        <f>☆入力!D22</f>
        <v>0</v>
      </c>
      <c r="H13" s="864"/>
      <c r="I13" s="864"/>
      <c r="J13" s="864"/>
      <c r="K13" s="870">
        <f>☆入力!Y22</f>
        <v>0</v>
      </c>
      <c r="L13" s="870"/>
      <c r="M13" s="870"/>
      <c r="N13" s="870"/>
      <c r="O13" s="967" t="s">
        <v>342</v>
      </c>
      <c r="P13" s="968"/>
      <c r="Q13" s="870">
        <f>☆入力!AC22</f>
        <v>0</v>
      </c>
      <c r="R13" s="870"/>
      <c r="S13" s="870"/>
      <c r="T13" s="870"/>
      <c r="U13" s="970" t="str">
        <f t="shared" si="0"/>
        <v/>
      </c>
      <c r="V13" s="970"/>
      <c r="W13" s="970"/>
      <c r="Y13" s="63"/>
      <c r="AA13" s="924"/>
      <c r="AB13" s="924"/>
      <c r="AC13" s="924"/>
      <c r="AD13" s="924"/>
      <c r="AE13" s="924"/>
      <c r="AF13" s="924"/>
      <c r="AG13" s="924"/>
      <c r="AH13" s="924"/>
      <c r="AI13" s="924"/>
      <c r="AN13" s="957"/>
      <c r="AO13" s="957"/>
      <c r="AP13" s="957"/>
      <c r="AQ13" s="957"/>
      <c r="AR13" s="957"/>
      <c r="AS13" s="957"/>
      <c r="AT13" s="957"/>
      <c r="AU13" s="957"/>
      <c r="AV13" s="957"/>
      <c r="BA13" s="1034"/>
      <c r="BB13" s="1034"/>
      <c r="BC13" s="1034"/>
      <c r="BD13" s="1034"/>
      <c r="BE13" s="1034"/>
      <c r="BF13" s="1034"/>
      <c r="BG13" s="1034"/>
      <c r="BH13" s="1034"/>
      <c r="BI13" s="1034"/>
    </row>
    <row r="14" spans="1:61" s="4" customFormat="1" ht="21" customHeight="1">
      <c r="A14" s="860">
        <v>8</v>
      </c>
      <c r="B14" s="860"/>
      <c r="C14" s="861">
        <f>IF($C$5=☆入力!$B$15,☆入力!$B23,☆入力!$C23)</f>
        <v>0</v>
      </c>
      <c r="D14" s="862"/>
      <c r="E14" s="862"/>
      <c r="F14" s="863"/>
      <c r="G14" s="864">
        <f>☆入力!D23</f>
        <v>0</v>
      </c>
      <c r="H14" s="864"/>
      <c r="I14" s="864"/>
      <c r="J14" s="864"/>
      <c r="K14" s="870">
        <f>☆入力!Y23</f>
        <v>0</v>
      </c>
      <c r="L14" s="870"/>
      <c r="M14" s="870"/>
      <c r="N14" s="870"/>
      <c r="O14" s="967" t="s">
        <v>342</v>
      </c>
      <c r="P14" s="968"/>
      <c r="Q14" s="870">
        <f>☆入力!AC23</f>
        <v>0</v>
      </c>
      <c r="R14" s="870"/>
      <c r="S14" s="870"/>
      <c r="T14" s="870"/>
      <c r="U14" s="970" t="str">
        <f t="shared" si="0"/>
        <v/>
      </c>
      <c r="V14" s="970"/>
      <c r="W14" s="970"/>
      <c r="Y14" s="63"/>
    </row>
    <row r="15" spans="1:61" s="4" customFormat="1" ht="21" customHeight="1">
      <c r="A15" s="860">
        <v>9</v>
      </c>
      <c r="B15" s="860"/>
      <c r="C15" s="861">
        <f>IF($C$5=☆入力!$B$15,☆入力!$B24,☆入力!$C24)</f>
        <v>0</v>
      </c>
      <c r="D15" s="862"/>
      <c r="E15" s="862"/>
      <c r="F15" s="863"/>
      <c r="G15" s="864">
        <f>☆入力!D24</f>
        <v>0</v>
      </c>
      <c r="H15" s="864"/>
      <c r="I15" s="864"/>
      <c r="J15" s="864"/>
      <c r="K15" s="870">
        <f>☆入力!Y24</f>
        <v>0</v>
      </c>
      <c r="L15" s="870"/>
      <c r="M15" s="870"/>
      <c r="N15" s="870"/>
      <c r="O15" s="967" t="s">
        <v>342</v>
      </c>
      <c r="P15" s="968"/>
      <c r="Q15" s="870">
        <f>☆入力!AC24</f>
        <v>0</v>
      </c>
      <c r="R15" s="870"/>
      <c r="S15" s="870"/>
      <c r="T15" s="870"/>
      <c r="U15" s="970" t="str">
        <f t="shared" si="0"/>
        <v/>
      </c>
      <c r="V15" s="970"/>
      <c r="W15" s="970"/>
      <c r="Y15" s="63"/>
      <c r="AA15" s="878" t="s">
        <v>345</v>
      </c>
      <c r="AB15" s="878"/>
      <c r="AC15" s="878"/>
      <c r="AD15" s="878"/>
      <c r="AE15" s="878"/>
      <c r="AF15" s="878"/>
      <c r="AG15" s="878"/>
      <c r="AH15" s="878"/>
      <c r="AI15" s="878"/>
      <c r="AJ15" s="878"/>
      <c r="AK15" s="878"/>
      <c r="AL15" s="878"/>
      <c r="AM15" s="878"/>
      <c r="AN15" s="878"/>
      <c r="AO15" s="878"/>
      <c r="AP15" s="878"/>
      <c r="AQ15" s="878"/>
      <c r="AR15" s="878"/>
      <c r="AS15" s="878"/>
      <c r="AT15" s="878"/>
      <c r="AU15" s="878"/>
      <c r="AV15" s="878"/>
      <c r="BA15" s="355"/>
      <c r="BB15" s="355"/>
      <c r="BC15" s="355"/>
      <c r="BD15" s="355"/>
      <c r="BE15" s="355"/>
      <c r="BF15" s="355"/>
      <c r="BG15" s="355"/>
      <c r="BH15" s="355"/>
      <c r="BI15" s="355"/>
    </row>
    <row r="16" spans="1:61" s="4" customFormat="1" ht="21" customHeight="1">
      <c r="A16" s="860">
        <v>10</v>
      </c>
      <c r="B16" s="860"/>
      <c r="C16" s="861">
        <f>IF($C$5=☆入力!$B$15,☆入力!$B25,☆入力!$C25)</f>
        <v>0</v>
      </c>
      <c r="D16" s="862"/>
      <c r="E16" s="862"/>
      <c r="F16" s="863"/>
      <c r="G16" s="864">
        <f>☆入力!D25</f>
        <v>0</v>
      </c>
      <c r="H16" s="864"/>
      <c r="I16" s="864"/>
      <c r="J16" s="864"/>
      <c r="K16" s="870">
        <f>☆入力!Y25</f>
        <v>0</v>
      </c>
      <c r="L16" s="870"/>
      <c r="M16" s="870"/>
      <c r="N16" s="870"/>
      <c r="O16" s="967" t="s">
        <v>342</v>
      </c>
      <c r="P16" s="968"/>
      <c r="Q16" s="870">
        <f>☆入力!AC25</f>
        <v>0</v>
      </c>
      <c r="R16" s="870"/>
      <c r="S16" s="870"/>
      <c r="T16" s="870"/>
      <c r="U16" s="970" t="str">
        <f t="shared" si="0"/>
        <v/>
      </c>
      <c r="V16" s="970"/>
      <c r="W16" s="970"/>
      <c r="Y16" s="63"/>
      <c r="AA16" s="878"/>
      <c r="AB16" s="878"/>
      <c r="AC16" s="878"/>
      <c r="AD16" s="878"/>
      <c r="AE16" s="878"/>
      <c r="AF16" s="878"/>
      <c r="AG16" s="878"/>
      <c r="AH16" s="878"/>
      <c r="AI16" s="878"/>
      <c r="AJ16" s="878"/>
      <c r="AK16" s="878"/>
      <c r="AL16" s="878"/>
      <c r="AM16" s="878"/>
      <c r="AN16" s="878"/>
      <c r="AO16" s="878"/>
      <c r="AP16" s="878"/>
      <c r="AQ16" s="878"/>
      <c r="AR16" s="878"/>
      <c r="AS16" s="878"/>
      <c r="AT16" s="878"/>
      <c r="AU16" s="878"/>
      <c r="AV16" s="878"/>
      <c r="BA16" s="355"/>
      <c r="BB16" s="355"/>
      <c r="BC16" s="355"/>
      <c r="BD16" s="355"/>
      <c r="BE16" s="355"/>
      <c r="BF16" s="355"/>
      <c r="BG16" s="355"/>
      <c r="BH16" s="355"/>
      <c r="BI16" s="355"/>
    </row>
    <row r="17" spans="1:61" s="4" customFormat="1" ht="21" customHeight="1" thickBot="1">
      <c r="A17" s="860">
        <v>11</v>
      </c>
      <c r="B17" s="860"/>
      <c r="C17" s="861">
        <f>IF($C$5=☆入力!$B$15,☆入力!$B26,☆入力!$C26)</f>
        <v>0</v>
      </c>
      <c r="D17" s="862"/>
      <c r="E17" s="862"/>
      <c r="F17" s="863"/>
      <c r="G17" s="864">
        <f>☆入力!D26</f>
        <v>0</v>
      </c>
      <c r="H17" s="864"/>
      <c r="I17" s="864"/>
      <c r="J17" s="864"/>
      <c r="K17" s="870">
        <f>☆入力!Y26</f>
        <v>0</v>
      </c>
      <c r="L17" s="870"/>
      <c r="M17" s="870"/>
      <c r="N17" s="870"/>
      <c r="O17" s="967" t="s">
        <v>342</v>
      </c>
      <c r="P17" s="968"/>
      <c r="Q17" s="870">
        <f>☆入力!AC26</f>
        <v>0</v>
      </c>
      <c r="R17" s="870"/>
      <c r="S17" s="870"/>
      <c r="T17" s="870"/>
      <c r="U17" s="970" t="str">
        <f t="shared" si="0"/>
        <v/>
      </c>
      <c r="V17" s="970"/>
      <c r="W17" s="970"/>
      <c r="Y17" s="63"/>
    </row>
    <row r="18" spans="1:61" s="4" customFormat="1" ht="21" customHeight="1" thickTop="1">
      <c r="A18" s="860">
        <v>12</v>
      </c>
      <c r="B18" s="860"/>
      <c r="C18" s="861">
        <f>IF($C$5=☆入力!$B$15,☆入力!$B27,☆入力!$C27)</f>
        <v>0</v>
      </c>
      <c r="D18" s="862"/>
      <c r="E18" s="862"/>
      <c r="F18" s="863"/>
      <c r="G18" s="864">
        <f>☆入力!D27</f>
        <v>0</v>
      </c>
      <c r="H18" s="864"/>
      <c r="I18" s="864"/>
      <c r="J18" s="864"/>
      <c r="K18" s="870">
        <f>☆入力!Y27</f>
        <v>0</v>
      </c>
      <c r="L18" s="870"/>
      <c r="M18" s="870"/>
      <c r="N18" s="870"/>
      <c r="O18" s="967" t="s">
        <v>342</v>
      </c>
      <c r="P18" s="968"/>
      <c r="Q18" s="870">
        <f>☆入力!AC27</f>
        <v>0</v>
      </c>
      <c r="R18" s="870"/>
      <c r="S18" s="870"/>
      <c r="T18" s="870"/>
      <c r="U18" s="970" t="str">
        <f t="shared" si="0"/>
        <v/>
      </c>
      <c r="V18" s="970"/>
      <c r="W18" s="970"/>
      <c r="Y18" s="63"/>
      <c r="AA18" s="994">
        <f>②前a!$AS$13</f>
        <v>0</v>
      </c>
      <c r="AB18" s="995"/>
      <c r="AC18" s="995"/>
      <c r="AD18" s="995"/>
      <c r="AE18" s="995"/>
      <c r="AF18" s="995"/>
      <c r="AG18" s="995"/>
      <c r="AH18" s="995"/>
      <c r="AI18" s="996"/>
      <c r="AJ18" s="1013" t="s">
        <v>343</v>
      </c>
      <c r="AK18" s="1009"/>
      <c r="AL18" s="1009"/>
      <c r="AM18" s="1014"/>
      <c r="AN18" s="1021">
        <f>③後a!AS13</f>
        <v>0</v>
      </c>
      <c r="AO18" s="1022"/>
      <c r="AP18" s="1022"/>
      <c r="AQ18" s="1022"/>
      <c r="AR18" s="1022"/>
      <c r="AS18" s="1022"/>
      <c r="AT18" s="1022"/>
      <c r="AU18" s="1022"/>
      <c r="AV18" s="1023"/>
      <c r="AW18" s="1008" t="s">
        <v>344</v>
      </c>
      <c r="AX18" s="1009"/>
      <c r="AY18" s="1009"/>
      <c r="AZ18" s="1010"/>
      <c r="BA18" s="1035">
        <f>AA18-AN18</f>
        <v>0</v>
      </c>
      <c r="BB18" s="1036"/>
      <c r="BC18" s="1036"/>
      <c r="BD18" s="1036"/>
      <c r="BE18" s="1036"/>
      <c r="BF18" s="1036"/>
      <c r="BG18" s="1036"/>
      <c r="BH18" s="1036"/>
      <c r="BI18" s="1037"/>
    </row>
    <row r="19" spans="1:61" s="4" customFormat="1" ht="21" customHeight="1" thickBot="1">
      <c r="A19" s="860">
        <v>13</v>
      </c>
      <c r="B19" s="860"/>
      <c r="C19" s="861">
        <f>IF($C$5=☆入力!$B$15,☆入力!$B28,☆入力!$C28)</f>
        <v>0</v>
      </c>
      <c r="D19" s="862"/>
      <c r="E19" s="862"/>
      <c r="F19" s="863"/>
      <c r="G19" s="864">
        <f>☆入力!D28</f>
        <v>0</v>
      </c>
      <c r="H19" s="864"/>
      <c r="I19" s="864"/>
      <c r="J19" s="864"/>
      <c r="K19" s="870">
        <f>☆入力!Y28</f>
        <v>0</v>
      </c>
      <c r="L19" s="870"/>
      <c r="M19" s="870"/>
      <c r="N19" s="870"/>
      <c r="O19" s="967" t="s">
        <v>342</v>
      </c>
      <c r="P19" s="968"/>
      <c r="Q19" s="870">
        <f>☆入力!AC28</f>
        <v>0</v>
      </c>
      <c r="R19" s="870"/>
      <c r="S19" s="870"/>
      <c r="T19" s="870"/>
      <c r="U19" s="970" t="str">
        <f t="shared" si="0"/>
        <v/>
      </c>
      <c r="V19" s="970"/>
      <c r="W19" s="970"/>
      <c r="Y19" s="63"/>
      <c r="AA19" s="997"/>
      <c r="AB19" s="998"/>
      <c r="AC19" s="998"/>
      <c r="AD19" s="998"/>
      <c r="AE19" s="998"/>
      <c r="AF19" s="998"/>
      <c r="AG19" s="998"/>
      <c r="AH19" s="998"/>
      <c r="AI19" s="999"/>
      <c r="AJ19" s="1013"/>
      <c r="AK19" s="1009"/>
      <c r="AL19" s="1009"/>
      <c r="AM19" s="1014"/>
      <c r="AN19" s="1024"/>
      <c r="AO19" s="1025"/>
      <c r="AP19" s="1025"/>
      <c r="AQ19" s="1025"/>
      <c r="AR19" s="1025"/>
      <c r="AS19" s="1025"/>
      <c r="AT19" s="1025"/>
      <c r="AU19" s="1025"/>
      <c r="AV19" s="1026"/>
      <c r="AW19" s="1008"/>
      <c r="AX19" s="1009"/>
      <c r="AY19" s="1009"/>
      <c r="AZ19" s="1010"/>
      <c r="BA19" s="1038"/>
      <c r="BB19" s="1039"/>
      <c r="BC19" s="1039"/>
      <c r="BD19" s="1039"/>
      <c r="BE19" s="1039"/>
      <c r="BF19" s="1039"/>
      <c r="BG19" s="1039"/>
      <c r="BH19" s="1039"/>
      <c r="BI19" s="1040"/>
    </row>
    <row r="20" spans="1:61" s="4" customFormat="1" ht="21" customHeight="1" thickTop="1">
      <c r="A20" s="860">
        <v>14</v>
      </c>
      <c r="B20" s="860"/>
      <c r="C20" s="861">
        <f>IF($C$5=☆入力!$B$15,☆入力!$B29,☆入力!$C29)</f>
        <v>0</v>
      </c>
      <c r="D20" s="862"/>
      <c r="E20" s="862"/>
      <c r="F20" s="863"/>
      <c r="G20" s="864">
        <f>☆入力!D29</f>
        <v>0</v>
      </c>
      <c r="H20" s="864"/>
      <c r="I20" s="864"/>
      <c r="J20" s="864"/>
      <c r="K20" s="870">
        <f>☆入力!Y29</f>
        <v>0</v>
      </c>
      <c r="L20" s="870"/>
      <c r="M20" s="870"/>
      <c r="N20" s="870"/>
      <c r="O20" s="967" t="s">
        <v>342</v>
      </c>
      <c r="P20" s="968"/>
      <c r="Q20" s="870">
        <f>☆入力!AC29</f>
        <v>0</v>
      </c>
      <c r="R20" s="870"/>
      <c r="S20" s="870"/>
      <c r="T20" s="870"/>
      <c r="U20" s="970" t="str">
        <f t="shared" si="0"/>
        <v/>
      </c>
      <c r="V20" s="970"/>
      <c r="W20" s="970"/>
      <c r="Y20" s="63"/>
      <c r="AA20" s="351"/>
      <c r="AB20" s="351"/>
      <c r="AC20" s="351"/>
      <c r="AD20" s="351"/>
      <c r="AE20" s="351"/>
      <c r="AF20" s="351"/>
      <c r="AG20" s="351"/>
      <c r="AH20" s="351"/>
      <c r="AI20" s="351"/>
      <c r="AJ20" s="352"/>
      <c r="AK20" s="352"/>
      <c r="AL20" s="352"/>
      <c r="AM20" s="352"/>
      <c r="AN20" s="353"/>
      <c r="AO20" s="353"/>
      <c r="AP20" s="353"/>
      <c r="AQ20" s="353"/>
      <c r="AR20" s="353"/>
      <c r="AS20" s="353"/>
      <c r="AT20" s="353"/>
      <c r="AU20" s="353"/>
      <c r="AV20" s="353"/>
      <c r="AW20" s="352"/>
      <c r="AX20" s="352"/>
      <c r="AY20" s="352"/>
      <c r="AZ20" s="352"/>
      <c r="BA20" s="354"/>
      <c r="BB20" s="354"/>
      <c r="BC20" s="354"/>
      <c r="BD20" s="354"/>
      <c r="BE20" s="354"/>
      <c r="BF20" s="354"/>
      <c r="BG20" s="354"/>
      <c r="BH20" s="354"/>
      <c r="BI20" s="354"/>
    </row>
    <row r="21" spans="1:61" s="4" customFormat="1" ht="21" customHeight="1">
      <c r="A21" s="860">
        <v>15</v>
      </c>
      <c r="B21" s="860"/>
      <c r="C21" s="861">
        <f>IF($C$5=☆入力!$B$15,☆入力!$B30,☆入力!$C30)</f>
        <v>0</v>
      </c>
      <c r="D21" s="862"/>
      <c r="E21" s="862"/>
      <c r="F21" s="863"/>
      <c r="G21" s="864">
        <f>☆入力!D30</f>
        <v>0</v>
      </c>
      <c r="H21" s="864"/>
      <c r="I21" s="864"/>
      <c r="J21" s="864"/>
      <c r="K21" s="870">
        <f>☆入力!Y30</f>
        <v>0</v>
      </c>
      <c r="L21" s="870"/>
      <c r="M21" s="870"/>
      <c r="N21" s="870"/>
      <c r="O21" s="967" t="s">
        <v>342</v>
      </c>
      <c r="P21" s="968"/>
      <c r="Q21" s="870">
        <f>☆入力!AC30</f>
        <v>0</v>
      </c>
      <c r="R21" s="870"/>
      <c r="S21" s="870"/>
      <c r="T21" s="870"/>
      <c r="U21" s="970" t="str">
        <f t="shared" si="0"/>
        <v/>
      </c>
      <c r="V21" s="970"/>
      <c r="W21" s="970"/>
      <c r="Y21" s="63"/>
    </row>
    <row r="22" spans="1:61" s="4" customFormat="1" ht="21" customHeight="1">
      <c r="A22" s="860">
        <v>16</v>
      </c>
      <c r="B22" s="860"/>
      <c r="C22" s="861">
        <f>IF($C$5=☆入力!$B$15,☆入力!$B31,☆入力!$C31)</f>
        <v>0</v>
      </c>
      <c r="D22" s="862"/>
      <c r="E22" s="862"/>
      <c r="F22" s="863"/>
      <c r="G22" s="864">
        <f>☆入力!D31</f>
        <v>0</v>
      </c>
      <c r="H22" s="864"/>
      <c r="I22" s="864"/>
      <c r="J22" s="864"/>
      <c r="K22" s="870">
        <f>☆入力!Y31</f>
        <v>0</v>
      </c>
      <c r="L22" s="870"/>
      <c r="M22" s="870"/>
      <c r="N22" s="870"/>
      <c r="O22" s="967" t="s">
        <v>342</v>
      </c>
      <c r="P22" s="968"/>
      <c r="Q22" s="870">
        <f>☆入力!AC31</f>
        <v>0</v>
      </c>
      <c r="R22" s="870"/>
      <c r="S22" s="870"/>
      <c r="T22" s="870"/>
      <c r="U22" s="970" t="str">
        <f t="shared" si="0"/>
        <v/>
      </c>
      <c r="V22" s="970"/>
      <c r="W22" s="970"/>
      <c r="Y22" s="63"/>
    </row>
    <row r="23" spans="1:61" s="4" customFormat="1" ht="21" customHeight="1">
      <c r="A23" s="860">
        <v>17</v>
      </c>
      <c r="B23" s="860"/>
      <c r="C23" s="861">
        <f>IF($C$5=☆入力!$B$15,☆入力!$B32,☆入力!$C32)</f>
        <v>0</v>
      </c>
      <c r="D23" s="862"/>
      <c r="E23" s="862"/>
      <c r="F23" s="863"/>
      <c r="G23" s="864">
        <f>☆入力!D32</f>
        <v>0</v>
      </c>
      <c r="H23" s="864"/>
      <c r="I23" s="864"/>
      <c r="J23" s="864"/>
      <c r="K23" s="870">
        <f>☆入力!Y32</f>
        <v>0</v>
      </c>
      <c r="L23" s="870"/>
      <c r="M23" s="870"/>
      <c r="N23" s="870"/>
      <c r="O23" s="967" t="s">
        <v>342</v>
      </c>
      <c r="P23" s="968"/>
      <c r="Q23" s="870">
        <f>☆入力!AC32</f>
        <v>0</v>
      </c>
      <c r="R23" s="870"/>
      <c r="S23" s="870"/>
      <c r="T23" s="870"/>
      <c r="U23" s="970" t="str">
        <f t="shared" si="0"/>
        <v/>
      </c>
      <c r="V23" s="970"/>
      <c r="W23" s="970"/>
      <c r="Y23" s="63"/>
    </row>
    <row r="24" spans="1:61" s="4" customFormat="1" ht="21" customHeight="1">
      <c r="A24" s="860">
        <v>18</v>
      </c>
      <c r="B24" s="860"/>
      <c r="C24" s="861">
        <f>IF($C$5=☆入力!$B$15,☆入力!$B33,☆入力!$C33)</f>
        <v>0</v>
      </c>
      <c r="D24" s="862"/>
      <c r="E24" s="862"/>
      <c r="F24" s="863"/>
      <c r="G24" s="864">
        <f>☆入力!D33</f>
        <v>0</v>
      </c>
      <c r="H24" s="864"/>
      <c r="I24" s="864"/>
      <c r="J24" s="864"/>
      <c r="K24" s="870">
        <f>☆入力!Y33</f>
        <v>0</v>
      </c>
      <c r="L24" s="870"/>
      <c r="M24" s="870"/>
      <c r="N24" s="870"/>
      <c r="O24" s="967" t="s">
        <v>342</v>
      </c>
      <c r="P24" s="968"/>
      <c r="Q24" s="870">
        <f>☆入力!AC33</f>
        <v>0</v>
      </c>
      <c r="R24" s="870"/>
      <c r="S24" s="870"/>
      <c r="T24" s="870"/>
      <c r="U24" s="970" t="str">
        <f t="shared" si="0"/>
        <v/>
      </c>
      <c r="V24" s="970"/>
      <c r="W24" s="970"/>
      <c r="Y24" s="63"/>
    </row>
    <row r="25" spans="1:61" s="4" customFormat="1" ht="21" customHeight="1">
      <c r="A25" s="860">
        <v>19</v>
      </c>
      <c r="B25" s="860"/>
      <c r="C25" s="861">
        <f>IF($C$5=☆入力!$B$15,☆入力!$B34,☆入力!$C34)</f>
        <v>0</v>
      </c>
      <c r="D25" s="862"/>
      <c r="E25" s="862"/>
      <c r="F25" s="863"/>
      <c r="G25" s="864">
        <f>☆入力!D34</f>
        <v>0</v>
      </c>
      <c r="H25" s="864"/>
      <c r="I25" s="864"/>
      <c r="J25" s="864"/>
      <c r="K25" s="870">
        <f>☆入力!Y34</f>
        <v>0</v>
      </c>
      <c r="L25" s="870"/>
      <c r="M25" s="870"/>
      <c r="N25" s="870"/>
      <c r="O25" s="967" t="s">
        <v>342</v>
      </c>
      <c r="P25" s="968"/>
      <c r="Q25" s="870">
        <f>☆入力!AC34</f>
        <v>0</v>
      </c>
      <c r="R25" s="870"/>
      <c r="S25" s="870"/>
      <c r="T25" s="870"/>
      <c r="U25" s="970" t="str">
        <f t="shared" si="0"/>
        <v/>
      </c>
      <c r="V25" s="970"/>
      <c r="W25" s="970"/>
      <c r="Y25" s="63"/>
    </row>
    <row r="26" spans="1:61" s="4" customFormat="1" ht="21" customHeight="1">
      <c r="A26" s="860">
        <v>20</v>
      </c>
      <c r="B26" s="860"/>
      <c r="C26" s="861">
        <f>IF($C$5=☆入力!$B$15,☆入力!$B35,☆入力!$C35)</f>
        <v>0</v>
      </c>
      <c r="D26" s="862"/>
      <c r="E26" s="862"/>
      <c r="F26" s="863"/>
      <c r="G26" s="864">
        <f>☆入力!D35</f>
        <v>0</v>
      </c>
      <c r="H26" s="864"/>
      <c r="I26" s="864"/>
      <c r="J26" s="864"/>
      <c r="K26" s="870">
        <f>☆入力!Y35</f>
        <v>0</v>
      </c>
      <c r="L26" s="870"/>
      <c r="M26" s="870"/>
      <c r="N26" s="870"/>
      <c r="O26" s="967" t="s">
        <v>342</v>
      </c>
      <c r="P26" s="968"/>
      <c r="Q26" s="870">
        <f>☆入力!AC35</f>
        <v>0</v>
      </c>
      <c r="R26" s="870"/>
      <c r="S26" s="870"/>
      <c r="T26" s="870"/>
      <c r="U26" s="970" t="str">
        <f t="shared" si="0"/>
        <v/>
      </c>
      <c r="V26" s="970"/>
      <c r="W26" s="970"/>
      <c r="Y26" s="63"/>
    </row>
    <row r="27" spans="1:61" s="4" customFormat="1" ht="21" customHeight="1">
      <c r="A27" s="860">
        <v>21</v>
      </c>
      <c r="B27" s="860"/>
      <c r="C27" s="861">
        <f>IF($C$5=☆入力!$B$15,☆入力!$B36,☆入力!$C36)</f>
        <v>0</v>
      </c>
      <c r="D27" s="862"/>
      <c r="E27" s="862"/>
      <c r="F27" s="863"/>
      <c r="G27" s="864">
        <f>☆入力!D36</f>
        <v>0</v>
      </c>
      <c r="H27" s="864"/>
      <c r="I27" s="864"/>
      <c r="J27" s="864"/>
      <c r="K27" s="870">
        <f>☆入力!Y36</f>
        <v>0</v>
      </c>
      <c r="L27" s="870"/>
      <c r="M27" s="870"/>
      <c r="N27" s="870"/>
      <c r="O27" s="967" t="s">
        <v>342</v>
      </c>
      <c r="P27" s="968"/>
      <c r="Q27" s="870">
        <f>☆入力!AC36</f>
        <v>0</v>
      </c>
      <c r="R27" s="870"/>
      <c r="S27" s="870"/>
      <c r="T27" s="870"/>
      <c r="U27" s="970" t="str">
        <f t="shared" si="0"/>
        <v/>
      </c>
      <c r="V27" s="970"/>
      <c r="W27" s="970"/>
      <c r="Y27" s="63"/>
      <c r="AA27" s="1009" t="s">
        <v>347</v>
      </c>
      <c r="AB27" s="1009"/>
      <c r="AC27" s="1009"/>
      <c r="AD27" s="1009"/>
      <c r="AE27" s="1009"/>
      <c r="AF27" s="1009"/>
      <c r="AG27" s="1009"/>
      <c r="AH27" s="1009"/>
      <c r="AI27" s="1009"/>
      <c r="AJ27" s="1009"/>
      <c r="AK27" s="1009"/>
      <c r="AL27" s="1009"/>
      <c r="AM27" s="1009"/>
      <c r="AN27" s="1009"/>
      <c r="AO27" s="1009"/>
      <c r="AP27" s="1009"/>
      <c r="AQ27" s="1009"/>
      <c r="AR27" s="1009"/>
      <c r="AS27" s="1009"/>
      <c r="AT27" s="1009"/>
      <c r="AU27" s="1009"/>
      <c r="AV27" s="1009"/>
      <c r="AW27" s="1009"/>
      <c r="AX27" s="1009"/>
      <c r="AY27" s="1009"/>
      <c r="AZ27" s="1009"/>
      <c r="BA27" s="1009"/>
      <c r="BB27" s="1009"/>
      <c r="BC27" s="1009"/>
      <c r="BD27" s="1009"/>
      <c r="BE27" s="1009"/>
      <c r="BF27" s="1009"/>
      <c r="BG27" s="1009"/>
      <c r="BH27" s="1009"/>
      <c r="BI27" s="1009"/>
    </row>
    <row r="28" spans="1:61" s="4" customFormat="1" ht="21" customHeight="1" thickBot="1">
      <c r="A28" s="860">
        <v>22</v>
      </c>
      <c r="B28" s="860"/>
      <c r="C28" s="861">
        <f>IF($C$5=☆入力!$B$15,☆入力!$B37,☆入力!$C37)</f>
        <v>0</v>
      </c>
      <c r="D28" s="862"/>
      <c r="E28" s="862"/>
      <c r="F28" s="863"/>
      <c r="G28" s="864">
        <f>☆入力!D37</f>
        <v>0</v>
      </c>
      <c r="H28" s="864"/>
      <c r="I28" s="864"/>
      <c r="J28" s="864"/>
      <c r="K28" s="870">
        <f>☆入力!Y37</f>
        <v>0</v>
      </c>
      <c r="L28" s="870"/>
      <c r="M28" s="870"/>
      <c r="N28" s="870"/>
      <c r="O28" s="967" t="s">
        <v>342</v>
      </c>
      <c r="P28" s="968"/>
      <c r="Q28" s="870">
        <f>☆入力!AC37</f>
        <v>0</v>
      </c>
      <c r="R28" s="870"/>
      <c r="S28" s="870"/>
      <c r="T28" s="870"/>
      <c r="U28" s="970" t="str">
        <f t="shared" si="0"/>
        <v/>
      </c>
      <c r="V28" s="970"/>
      <c r="W28" s="970"/>
      <c r="Y28" s="63"/>
      <c r="AA28" s="1009"/>
      <c r="AB28" s="1009"/>
      <c r="AC28" s="1009"/>
      <c r="AD28" s="1009"/>
      <c r="AE28" s="1009"/>
      <c r="AF28" s="1009"/>
      <c r="AG28" s="1009"/>
      <c r="AH28" s="1009"/>
      <c r="AI28" s="1009"/>
      <c r="AJ28" s="1009"/>
      <c r="AK28" s="1009"/>
      <c r="AL28" s="1009"/>
      <c r="AM28" s="1009"/>
      <c r="AN28" s="1009"/>
      <c r="AO28" s="1009"/>
      <c r="AP28" s="1009"/>
      <c r="AQ28" s="1009"/>
      <c r="AR28" s="1009"/>
      <c r="AS28" s="1009"/>
      <c r="AT28" s="1009"/>
      <c r="AU28" s="1009"/>
      <c r="AV28" s="1009"/>
      <c r="AW28" s="1009"/>
      <c r="AX28" s="1009"/>
      <c r="AY28" s="1009"/>
      <c r="AZ28" s="1009"/>
      <c r="BA28" s="1009"/>
      <c r="BB28" s="1009"/>
      <c r="BC28" s="1009"/>
      <c r="BD28" s="1009"/>
      <c r="BE28" s="1009"/>
      <c r="BF28" s="1009"/>
      <c r="BG28" s="1009"/>
      <c r="BH28" s="1009"/>
      <c r="BI28" s="1009"/>
    </row>
    <row r="29" spans="1:61" s="4" customFormat="1" ht="21" customHeight="1" thickTop="1">
      <c r="A29" s="860">
        <v>23</v>
      </c>
      <c r="B29" s="860"/>
      <c r="C29" s="861">
        <f>IF($C$5=☆入力!$B$15,☆入力!$B38,☆入力!$C38)</f>
        <v>0</v>
      </c>
      <c r="D29" s="862"/>
      <c r="E29" s="862"/>
      <c r="F29" s="863"/>
      <c r="G29" s="864">
        <f>☆入力!D38</f>
        <v>0</v>
      </c>
      <c r="H29" s="864"/>
      <c r="I29" s="864"/>
      <c r="J29" s="864"/>
      <c r="K29" s="870">
        <f>☆入力!Y38</f>
        <v>0</v>
      </c>
      <c r="L29" s="870"/>
      <c r="M29" s="870"/>
      <c r="N29" s="870"/>
      <c r="O29" s="967" t="s">
        <v>342</v>
      </c>
      <c r="P29" s="968"/>
      <c r="Q29" s="870">
        <f>☆入力!AC38</f>
        <v>0</v>
      </c>
      <c r="R29" s="870"/>
      <c r="S29" s="870"/>
      <c r="T29" s="870"/>
      <c r="U29" s="970" t="str">
        <f t="shared" si="0"/>
        <v/>
      </c>
      <c r="V29" s="970"/>
      <c r="W29" s="970"/>
      <c r="Y29" s="63"/>
      <c r="AA29" s="895">
        <f>AA9+AA18</f>
        <v>0</v>
      </c>
      <c r="AB29" s="896"/>
      <c r="AC29" s="896"/>
      <c r="AD29" s="896"/>
      <c r="AE29" s="896"/>
      <c r="AF29" s="896"/>
      <c r="AG29" s="896"/>
      <c r="AH29" s="896"/>
      <c r="AI29" s="897"/>
      <c r="AJ29" s="1013" t="s">
        <v>343</v>
      </c>
      <c r="AK29" s="1009"/>
      <c r="AL29" s="1009"/>
      <c r="AM29" s="1014"/>
      <c r="AN29" s="931">
        <f>AN9+AN18</f>
        <v>0</v>
      </c>
      <c r="AO29" s="932"/>
      <c r="AP29" s="932"/>
      <c r="AQ29" s="932"/>
      <c r="AR29" s="932"/>
      <c r="AS29" s="932"/>
      <c r="AT29" s="932"/>
      <c r="AU29" s="932"/>
      <c r="AV29" s="933"/>
      <c r="AW29" s="1008" t="s">
        <v>344</v>
      </c>
      <c r="AX29" s="1009"/>
      <c r="AY29" s="1009"/>
      <c r="AZ29" s="1010"/>
      <c r="BA29" s="1002">
        <f>AA29-AN29</f>
        <v>0</v>
      </c>
      <c r="BB29" s="1003"/>
      <c r="BC29" s="1003"/>
      <c r="BD29" s="1003"/>
      <c r="BE29" s="1003"/>
      <c r="BF29" s="1003"/>
      <c r="BG29" s="1003"/>
      <c r="BH29" s="1003"/>
      <c r="BI29" s="1004"/>
    </row>
    <row r="30" spans="1:61" s="4" customFormat="1" ht="21" customHeight="1" thickBot="1">
      <c r="A30" s="982">
        <v>24</v>
      </c>
      <c r="B30" s="982"/>
      <c r="C30" s="983">
        <f>IF($C$5=☆入力!$B$15,☆入力!$B39,☆入力!$C39)</f>
        <v>0</v>
      </c>
      <c r="D30" s="984"/>
      <c r="E30" s="984"/>
      <c r="F30" s="985"/>
      <c r="G30" s="986">
        <f>☆入力!D39</f>
        <v>0</v>
      </c>
      <c r="H30" s="986"/>
      <c r="I30" s="986"/>
      <c r="J30" s="986"/>
      <c r="K30" s="987">
        <f>☆入力!Y39</f>
        <v>0</v>
      </c>
      <c r="L30" s="987"/>
      <c r="M30" s="987"/>
      <c r="N30" s="987"/>
      <c r="O30" s="967" t="s">
        <v>342</v>
      </c>
      <c r="P30" s="968"/>
      <c r="Q30" s="987">
        <f>☆入力!AC39</f>
        <v>0</v>
      </c>
      <c r="R30" s="987"/>
      <c r="S30" s="987"/>
      <c r="T30" s="987"/>
      <c r="U30" s="1001" t="str">
        <f t="shared" si="0"/>
        <v/>
      </c>
      <c r="V30" s="1001"/>
      <c r="W30" s="1001"/>
      <c r="Y30" s="63"/>
      <c r="AA30" s="898"/>
      <c r="AB30" s="899"/>
      <c r="AC30" s="899"/>
      <c r="AD30" s="899"/>
      <c r="AE30" s="899"/>
      <c r="AF30" s="899"/>
      <c r="AG30" s="899"/>
      <c r="AH30" s="899"/>
      <c r="AI30" s="900"/>
      <c r="AJ30" s="1013"/>
      <c r="AK30" s="1009"/>
      <c r="AL30" s="1009"/>
      <c r="AM30" s="1014"/>
      <c r="AN30" s="934"/>
      <c r="AO30" s="935"/>
      <c r="AP30" s="935"/>
      <c r="AQ30" s="935"/>
      <c r="AR30" s="935"/>
      <c r="AS30" s="935"/>
      <c r="AT30" s="935"/>
      <c r="AU30" s="935"/>
      <c r="AV30" s="936"/>
      <c r="AW30" s="1008"/>
      <c r="AX30" s="1009"/>
      <c r="AY30" s="1009"/>
      <c r="AZ30" s="1010"/>
      <c r="BA30" s="1005"/>
      <c r="BB30" s="1006"/>
      <c r="BC30" s="1006"/>
      <c r="BD30" s="1006"/>
      <c r="BE30" s="1006"/>
      <c r="BF30" s="1006"/>
      <c r="BG30" s="1006"/>
      <c r="BH30" s="1006"/>
      <c r="BI30" s="1007"/>
    </row>
    <row r="31" spans="1:61" s="4" customFormat="1" ht="21" customHeight="1" thickTop="1">
      <c r="A31" s="860">
        <v>25</v>
      </c>
      <c r="B31" s="860"/>
      <c r="C31" s="861">
        <f>IF($C$5=☆入力!$B$15,☆入力!$B40,☆入力!$C40)</f>
        <v>0</v>
      </c>
      <c r="D31" s="862"/>
      <c r="E31" s="862"/>
      <c r="F31" s="863"/>
      <c r="G31" s="864">
        <f>☆入力!D40</f>
        <v>0</v>
      </c>
      <c r="H31" s="864"/>
      <c r="I31" s="864"/>
      <c r="J31" s="864"/>
      <c r="K31" s="870">
        <f>☆入力!Y40</f>
        <v>0</v>
      </c>
      <c r="L31" s="870"/>
      <c r="M31" s="870"/>
      <c r="N31" s="870"/>
      <c r="O31" s="967" t="s">
        <v>342</v>
      </c>
      <c r="P31" s="968"/>
      <c r="Q31" s="870">
        <f>☆入力!AC40</f>
        <v>0</v>
      </c>
      <c r="R31" s="870"/>
      <c r="S31" s="870"/>
      <c r="T31" s="870"/>
      <c r="U31" s="970" t="str">
        <f t="shared" si="0"/>
        <v/>
      </c>
      <c r="V31" s="970"/>
      <c r="W31" s="970"/>
      <c r="Y31" s="63"/>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row>
    <row r="32" spans="1:61" s="4" customFormat="1" ht="21" customHeight="1">
      <c r="A32" s="860">
        <v>26</v>
      </c>
      <c r="B32" s="860"/>
      <c r="C32" s="861">
        <f>IF($C$5=☆入力!$B$15,☆入力!$B41,☆入力!$C41)</f>
        <v>0</v>
      </c>
      <c r="D32" s="862"/>
      <c r="E32" s="862"/>
      <c r="F32" s="863"/>
      <c r="G32" s="864">
        <f>☆入力!D41</f>
        <v>0</v>
      </c>
      <c r="H32" s="864"/>
      <c r="I32" s="864"/>
      <c r="J32" s="864"/>
      <c r="K32" s="870">
        <f>☆入力!Y41</f>
        <v>0</v>
      </c>
      <c r="L32" s="870"/>
      <c r="M32" s="870"/>
      <c r="N32" s="870"/>
      <c r="O32" s="967" t="s">
        <v>342</v>
      </c>
      <c r="P32" s="968"/>
      <c r="Q32" s="870">
        <f>☆入力!AC41</f>
        <v>0</v>
      </c>
      <c r="R32" s="870"/>
      <c r="S32" s="870"/>
      <c r="T32" s="870"/>
      <c r="U32" s="970" t="str">
        <f>IFERROR(100%-(Q32/K32),"")</f>
        <v/>
      </c>
      <c r="V32" s="970"/>
      <c r="W32" s="970"/>
      <c r="Y32" s="63"/>
      <c r="Z32" s="14" t="s">
        <v>348</v>
      </c>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row>
    <row r="33" spans="1:61" s="4" customFormat="1" ht="21" customHeight="1">
      <c r="A33" s="860">
        <v>27</v>
      </c>
      <c r="B33" s="860"/>
      <c r="C33" s="861">
        <f>IF($C$5=☆入力!$B$15,☆入力!$B42,☆入力!$C42)</f>
        <v>0</v>
      </c>
      <c r="D33" s="862"/>
      <c r="E33" s="862"/>
      <c r="F33" s="863"/>
      <c r="G33" s="864">
        <f>☆入力!D42</f>
        <v>0</v>
      </c>
      <c r="H33" s="864"/>
      <c r="I33" s="864"/>
      <c r="J33" s="864"/>
      <c r="K33" s="870">
        <f>☆入力!Y42</f>
        <v>0</v>
      </c>
      <c r="L33" s="870"/>
      <c r="M33" s="870"/>
      <c r="N33" s="870"/>
      <c r="O33" s="967" t="s">
        <v>342</v>
      </c>
      <c r="P33" s="968"/>
      <c r="Q33" s="870">
        <f>☆入力!AC42</f>
        <v>0</v>
      </c>
      <c r="R33" s="870"/>
      <c r="S33" s="870"/>
      <c r="T33" s="870"/>
      <c r="U33" s="970" t="str">
        <f>IFERROR(100%-(Q33/K33),"")</f>
        <v/>
      </c>
      <c r="V33" s="970"/>
      <c r="W33" s="970"/>
      <c r="Y33" s="63"/>
      <c r="Z33" s="964">
        <f>☆入力!X2</f>
        <v>0</v>
      </c>
      <c r="AA33" s="965"/>
      <c r="AB33" s="965"/>
      <c r="AC33" s="965"/>
      <c r="AD33" s="965"/>
      <c r="AE33" s="965"/>
      <c r="AF33" s="965"/>
      <c r="AG33" s="965"/>
      <c r="AH33" s="965"/>
      <c r="AI33" s="965"/>
      <c r="AJ33" s="965"/>
      <c r="AK33" s="965"/>
      <c r="AL33" s="965"/>
      <c r="AM33" s="965"/>
      <c r="AN33" s="965"/>
      <c r="AO33" s="965"/>
      <c r="AP33" s="965"/>
      <c r="AQ33" s="965"/>
      <c r="AR33" s="965"/>
      <c r="AS33" s="965"/>
      <c r="AT33" s="965"/>
      <c r="AU33" s="965"/>
      <c r="AV33" s="965"/>
      <c r="AW33" s="965"/>
      <c r="AX33" s="965"/>
      <c r="AY33" s="965"/>
      <c r="AZ33" s="965"/>
      <c r="BA33" s="965"/>
      <c r="BB33" s="965"/>
      <c r="BC33" s="965"/>
      <c r="BD33" s="965"/>
      <c r="BE33" s="965"/>
      <c r="BF33" s="965"/>
      <c r="BG33" s="965"/>
      <c r="BH33" s="965"/>
      <c r="BI33" s="966"/>
    </row>
    <row r="34" spans="1:61" s="4" customFormat="1" ht="21" customHeight="1">
      <c r="A34" s="860">
        <v>28</v>
      </c>
      <c r="B34" s="860"/>
      <c r="C34" s="861">
        <f>IF($C$5=☆入力!$B$15,☆入力!$B43,☆入力!$C43)</f>
        <v>0</v>
      </c>
      <c r="D34" s="862"/>
      <c r="E34" s="862"/>
      <c r="F34" s="863"/>
      <c r="G34" s="864">
        <f>☆入力!D43</f>
        <v>0</v>
      </c>
      <c r="H34" s="864"/>
      <c r="I34" s="864"/>
      <c r="J34" s="864"/>
      <c r="K34" s="870">
        <f>☆入力!Y43</f>
        <v>0</v>
      </c>
      <c r="L34" s="870"/>
      <c r="M34" s="870"/>
      <c r="N34" s="870"/>
      <c r="O34" s="967" t="s">
        <v>342</v>
      </c>
      <c r="P34" s="968"/>
      <c r="Q34" s="870">
        <f>☆入力!AC43</f>
        <v>0</v>
      </c>
      <c r="R34" s="870"/>
      <c r="S34" s="870"/>
      <c r="T34" s="870"/>
      <c r="U34" s="970" t="str">
        <f>IFERROR(100%-(Q34/K34),"")</f>
        <v/>
      </c>
      <c r="V34" s="970"/>
      <c r="W34" s="970"/>
      <c r="Y34" s="63"/>
      <c r="Z34" s="958">
        <f>☆入力!X3</f>
        <v>0</v>
      </c>
      <c r="AA34" s="959"/>
      <c r="AB34" s="959"/>
      <c r="AC34" s="959"/>
      <c r="AD34" s="959"/>
      <c r="AE34" s="959"/>
      <c r="AF34" s="959"/>
      <c r="AG34" s="959"/>
      <c r="AH34" s="959"/>
      <c r="AI34" s="959"/>
      <c r="AJ34" s="959"/>
      <c r="AK34" s="959"/>
      <c r="AL34" s="959"/>
      <c r="AM34" s="959"/>
      <c r="AN34" s="959"/>
      <c r="AO34" s="959"/>
      <c r="AP34" s="959"/>
      <c r="AQ34" s="959"/>
      <c r="AR34" s="959"/>
      <c r="AS34" s="959"/>
      <c r="AT34" s="959"/>
      <c r="AU34" s="959"/>
      <c r="AV34" s="959"/>
      <c r="AW34" s="959"/>
      <c r="AX34" s="959"/>
      <c r="AY34" s="959"/>
      <c r="AZ34" s="959"/>
      <c r="BA34" s="959"/>
      <c r="BB34" s="959"/>
      <c r="BC34" s="959"/>
      <c r="BD34" s="959"/>
      <c r="BE34" s="959"/>
      <c r="BF34" s="959"/>
      <c r="BG34" s="959"/>
      <c r="BH34" s="959"/>
      <c r="BI34" s="960"/>
    </row>
    <row r="35" spans="1:61" s="4" customFormat="1" ht="21" customHeight="1">
      <c r="A35" s="860">
        <v>29</v>
      </c>
      <c r="B35" s="860"/>
      <c r="C35" s="861">
        <f>IF($C$5=☆入力!$B$15,☆入力!$B44,☆入力!$C44)</f>
        <v>0</v>
      </c>
      <c r="D35" s="862"/>
      <c r="E35" s="862"/>
      <c r="F35" s="863"/>
      <c r="G35" s="864">
        <f>☆入力!D44</f>
        <v>0</v>
      </c>
      <c r="H35" s="864"/>
      <c r="I35" s="864"/>
      <c r="J35" s="864"/>
      <c r="K35" s="870">
        <f>☆入力!Y44</f>
        <v>0</v>
      </c>
      <c r="L35" s="870"/>
      <c r="M35" s="870"/>
      <c r="N35" s="870"/>
      <c r="O35" s="967" t="s">
        <v>342</v>
      </c>
      <c r="P35" s="968"/>
      <c r="Q35" s="870">
        <f>☆入力!AC44</f>
        <v>0</v>
      </c>
      <c r="R35" s="870"/>
      <c r="S35" s="870"/>
      <c r="T35" s="870"/>
      <c r="U35" s="970" t="str">
        <f>IFERROR(100%-(Q35/K35),"")</f>
        <v/>
      </c>
      <c r="V35" s="970"/>
      <c r="W35" s="970"/>
      <c r="Y35" s="63"/>
      <c r="Z35" s="958">
        <f>☆入力!X4</f>
        <v>0</v>
      </c>
      <c r="AA35" s="959"/>
      <c r="AB35" s="959"/>
      <c r="AC35" s="959"/>
      <c r="AD35" s="959"/>
      <c r="AE35" s="959"/>
      <c r="AF35" s="959"/>
      <c r="AG35" s="959"/>
      <c r="AH35" s="959"/>
      <c r="AI35" s="959"/>
      <c r="AJ35" s="959"/>
      <c r="AK35" s="959"/>
      <c r="AL35" s="959"/>
      <c r="AM35" s="959"/>
      <c r="AN35" s="959"/>
      <c r="AO35" s="959"/>
      <c r="AP35" s="959"/>
      <c r="AQ35" s="959"/>
      <c r="AR35" s="959"/>
      <c r="AS35" s="959"/>
      <c r="AT35" s="959"/>
      <c r="AU35" s="959"/>
      <c r="AV35" s="959"/>
      <c r="AW35" s="959"/>
      <c r="AX35" s="959"/>
      <c r="AY35" s="959"/>
      <c r="AZ35" s="959"/>
      <c r="BA35" s="959"/>
      <c r="BB35" s="959"/>
      <c r="BC35" s="959"/>
      <c r="BD35" s="959"/>
      <c r="BE35" s="959"/>
      <c r="BF35" s="959"/>
      <c r="BG35" s="959"/>
      <c r="BH35" s="959"/>
      <c r="BI35" s="960"/>
    </row>
    <row r="36" spans="1:61" s="4" customFormat="1" ht="21" customHeight="1">
      <c r="A36" s="849">
        <v>30</v>
      </c>
      <c r="B36" s="849"/>
      <c r="C36" s="850">
        <f>IF($C$5=☆入力!$B$15,☆入力!$B45,☆入力!$C45)</f>
        <v>0</v>
      </c>
      <c r="D36" s="851"/>
      <c r="E36" s="851"/>
      <c r="F36" s="852"/>
      <c r="G36" s="853">
        <f>☆入力!D45</f>
        <v>0</v>
      </c>
      <c r="H36" s="853"/>
      <c r="I36" s="853"/>
      <c r="J36" s="853"/>
      <c r="K36" s="859">
        <f>☆入力!Y45</f>
        <v>0</v>
      </c>
      <c r="L36" s="859"/>
      <c r="M36" s="859"/>
      <c r="N36" s="859"/>
      <c r="O36" s="967" t="s">
        <v>342</v>
      </c>
      <c r="P36" s="968"/>
      <c r="Q36" s="859">
        <f>☆入力!AC45</f>
        <v>0</v>
      </c>
      <c r="R36" s="859"/>
      <c r="S36" s="859"/>
      <c r="T36" s="859"/>
      <c r="U36" s="969" t="str">
        <f>IFERROR(100%-(Q36/K36),"")</f>
        <v/>
      </c>
      <c r="V36" s="969"/>
      <c r="W36" s="969"/>
      <c r="Y36" s="63"/>
      <c r="Z36" s="958">
        <f>☆入力!X5</f>
        <v>0</v>
      </c>
      <c r="AA36" s="959"/>
      <c r="AB36" s="959"/>
      <c r="AC36" s="959"/>
      <c r="AD36" s="959"/>
      <c r="AE36" s="959"/>
      <c r="AF36" s="959"/>
      <c r="AG36" s="959"/>
      <c r="AH36" s="959"/>
      <c r="AI36" s="959"/>
      <c r="AJ36" s="959"/>
      <c r="AK36" s="959"/>
      <c r="AL36" s="959"/>
      <c r="AM36" s="959"/>
      <c r="AN36" s="959"/>
      <c r="AO36" s="959"/>
      <c r="AP36" s="959"/>
      <c r="AQ36" s="959"/>
      <c r="AR36" s="959"/>
      <c r="AS36" s="959"/>
      <c r="AT36" s="959"/>
      <c r="AU36" s="959"/>
      <c r="AV36" s="959"/>
      <c r="AW36" s="959"/>
      <c r="AX36" s="959"/>
      <c r="AY36" s="959"/>
      <c r="AZ36" s="959"/>
      <c r="BA36" s="959"/>
      <c r="BB36" s="959"/>
      <c r="BC36" s="959"/>
      <c r="BD36" s="959"/>
      <c r="BE36" s="959"/>
      <c r="BF36" s="959"/>
      <c r="BG36" s="959"/>
      <c r="BH36" s="959"/>
      <c r="BI36" s="960"/>
    </row>
    <row r="37" spans="1:61" s="14" customFormat="1" ht="21" customHeight="1">
      <c r="C37" s="479"/>
      <c r="D37" s="479"/>
      <c r="E37" s="479"/>
      <c r="F37" s="479"/>
      <c r="G37" s="479"/>
      <c r="H37" s="479"/>
      <c r="I37" s="479"/>
      <c r="J37" s="479"/>
      <c r="Y37" s="63"/>
      <c r="Z37" s="958">
        <f>☆入力!X6</f>
        <v>0</v>
      </c>
      <c r="AA37" s="959"/>
      <c r="AB37" s="959"/>
      <c r="AC37" s="959"/>
      <c r="AD37" s="959"/>
      <c r="AE37" s="959"/>
      <c r="AF37" s="959"/>
      <c r="AG37" s="959"/>
      <c r="AH37" s="959"/>
      <c r="AI37" s="959"/>
      <c r="AJ37" s="959"/>
      <c r="AK37" s="959"/>
      <c r="AL37" s="959"/>
      <c r="AM37" s="959"/>
      <c r="AN37" s="959"/>
      <c r="AO37" s="959"/>
      <c r="AP37" s="959"/>
      <c r="AQ37" s="959"/>
      <c r="AR37" s="959"/>
      <c r="AS37" s="959"/>
      <c r="AT37" s="959"/>
      <c r="AU37" s="959"/>
      <c r="AV37" s="959"/>
      <c r="AW37" s="959"/>
      <c r="AX37" s="959"/>
      <c r="AY37" s="959"/>
      <c r="AZ37" s="959"/>
      <c r="BA37" s="959"/>
      <c r="BB37" s="959"/>
      <c r="BC37" s="959"/>
      <c r="BD37" s="959"/>
      <c r="BE37" s="959"/>
      <c r="BF37" s="959"/>
      <c r="BG37" s="959"/>
      <c r="BH37" s="959"/>
      <c r="BI37" s="960"/>
    </row>
    <row r="38" spans="1:61" s="14" customFormat="1" ht="21" customHeight="1">
      <c r="C38" s="479"/>
      <c r="D38" s="479"/>
      <c r="E38" s="479"/>
      <c r="F38" s="479"/>
      <c r="G38" s="479"/>
      <c r="H38" s="479"/>
      <c r="I38" s="479"/>
      <c r="J38" s="479"/>
      <c r="K38" s="990">
        <f>SUM(K7:N36)</f>
        <v>0</v>
      </c>
      <c r="L38" s="990"/>
      <c r="M38" s="990"/>
      <c r="N38" s="990"/>
      <c r="O38" s="992" t="s">
        <v>342</v>
      </c>
      <c r="P38" s="993"/>
      <c r="Q38" s="990">
        <f>SUM(Q7:T36)</f>
        <v>0</v>
      </c>
      <c r="R38" s="990"/>
      <c r="S38" s="990"/>
      <c r="T38" s="990"/>
      <c r="U38" s="1011" t="str">
        <f>IFERROR(100%-(Q38/K38),"")</f>
        <v/>
      </c>
      <c r="V38" s="1011"/>
      <c r="W38" s="1011"/>
      <c r="Y38" s="63"/>
      <c r="Z38" s="958">
        <f>☆入力!X7</f>
        <v>0</v>
      </c>
      <c r="AA38" s="959"/>
      <c r="AB38" s="959"/>
      <c r="AC38" s="959"/>
      <c r="AD38" s="959"/>
      <c r="AE38" s="959"/>
      <c r="AF38" s="959"/>
      <c r="AG38" s="959"/>
      <c r="AH38" s="959"/>
      <c r="AI38" s="959"/>
      <c r="AJ38" s="959"/>
      <c r="AK38" s="959"/>
      <c r="AL38" s="959"/>
      <c r="AM38" s="959"/>
      <c r="AN38" s="959"/>
      <c r="AO38" s="959"/>
      <c r="AP38" s="959"/>
      <c r="AQ38" s="959"/>
      <c r="AR38" s="959"/>
      <c r="AS38" s="959"/>
      <c r="AT38" s="959"/>
      <c r="AU38" s="959"/>
      <c r="AV38" s="959"/>
      <c r="AW38" s="959"/>
      <c r="AX38" s="959"/>
      <c r="AY38" s="959"/>
      <c r="AZ38" s="959"/>
      <c r="BA38" s="959"/>
      <c r="BB38" s="959"/>
      <c r="BC38" s="959"/>
      <c r="BD38" s="959"/>
      <c r="BE38" s="959"/>
      <c r="BF38" s="959"/>
      <c r="BG38" s="959"/>
      <c r="BH38" s="959"/>
      <c r="BI38" s="960"/>
    </row>
    <row r="39" spans="1:61" s="14" customFormat="1" ht="21" customHeight="1">
      <c r="C39" s="15"/>
      <c r="D39" s="15"/>
      <c r="E39" s="15"/>
      <c r="F39" s="15"/>
      <c r="G39" s="15"/>
      <c r="H39" s="15"/>
      <c r="I39" s="15"/>
      <c r="J39" s="15"/>
      <c r="K39" s="991"/>
      <c r="L39" s="991"/>
      <c r="M39" s="991"/>
      <c r="N39" s="991"/>
      <c r="O39" s="992"/>
      <c r="P39" s="993"/>
      <c r="Q39" s="991"/>
      <c r="R39" s="991"/>
      <c r="S39" s="991"/>
      <c r="T39" s="991"/>
      <c r="U39" s="1012"/>
      <c r="V39" s="1012"/>
      <c r="W39" s="1012"/>
      <c r="Y39" s="63"/>
      <c r="Z39" s="958">
        <f>☆入力!X8</f>
        <v>0</v>
      </c>
      <c r="AA39" s="959"/>
      <c r="AB39" s="959"/>
      <c r="AC39" s="959"/>
      <c r="AD39" s="959"/>
      <c r="AE39" s="959"/>
      <c r="AF39" s="959"/>
      <c r="AG39" s="959"/>
      <c r="AH39" s="959"/>
      <c r="AI39" s="959"/>
      <c r="AJ39" s="959"/>
      <c r="AK39" s="959"/>
      <c r="AL39" s="959"/>
      <c r="AM39" s="959"/>
      <c r="AN39" s="959"/>
      <c r="AO39" s="959"/>
      <c r="AP39" s="959"/>
      <c r="AQ39" s="959"/>
      <c r="AR39" s="959"/>
      <c r="AS39" s="959"/>
      <c r="AT39" s="959"/>
      <c r="AU39" s="959"/>
      <c r="AV39" s="959"/>
      <c r="AW39" s="959"/>
      <c r="AX39" s="959"/>
      <c r="AY39" s="959"/>
      <c r="AZ39" s="959"/>
      <c r="BA39" s="959"/>
      <c r="BB39" s="959"/>
      <c r="BC39" s="959"/>
      <c r="BD39" s="959"/>
      <c r="BE39" s="959"/>
      <c r="BF39" s="959"/>
      <c r="BG39" s="959"/>
      <c r="BH39" s="959"/>
      <c r="BI39" s="960"/>
    </row>
    <row r="40" spans="1:61" s="14" customFormat="1" ht="21" customHeight="1" thickBot="1">
      <c r="A40" s="75"/>
      <c r="C40" s="15"/>
      <c r="D40" s="15"/>
      <c r="E40" s="15"/>
      <c r="F40" s="15"/>
      <c r="G40" s="75"/>
      <c r="H40" s="15"/>
      <c r="I40" s="15"/>
      <c r="J40" s="15"/>
      <c r="K40" s="75"/>
      <c r="Q40" s="15"/>
      <c r="R40" s="15"/>
      <c r="Y40" s="63"/>
      <c r="Z40" s="958">
        <f>☆入力!X9</f>
        <v>0</v>
      </c>
      <c r="AA40" s="959"/>
      <c r="AB40" s="959"/>
      <c r="AC40" s="959"/>
      <c r="AD40" s="959"/>
      <c r="AE40" s="959"/>
      <c r="AF40" s="959"/>
      <c r="AG40" s="959"/>
      <c r="AH40" s="959"/>
      <c r="AI40" s="959"/>
      <c r="AJ40" s="959"/>
      <c r="AK40" s="959"/>
      <c r="AL40" s="959"/>
      <c r="AM40" s="959"/>
      <c r="AN40" s="959"/>
      <c r="AO40" s="959"/>
      <c r="AP40" s="959"/>
      <c r="AQ40" s="959"/>
      <c r="AR40" s="959"/>
      <c r="AS40" s="959"/>
      <c r="AT40" s="959"/>
      <c r="AU40" s="959"/>
      <c r="AV40" s="959"/>
      <c r="AW40" s="959"/>
      <c r="AX40" s="959"/>
      <c r="AY40" s="959"/>
      <c r="AZ40" s="959"/>
      <c r="BA40" s="959"/>
      <c r="BB40" s="959"/>
      <c r="BC40" s="959"/>
      <c r="BD40" s="959"/>
      <c r="BE40" s="959"/>
      <c r="BF40" s="959"/>
      <c r="BG40" s="959"/>
      <c r="BH40" s="959"/>
      <c r="BI40" s="960"/>
    </row>
    <row r="41" spans="1:61" ht="21" customHeight="1" thickTop="1">
      <c r="A41" s="980" t="s">
        <v>349</v>
      </c>
      <c r="B41" s="980"/>
      <c r="C41" s="980"/>
      <c r="D41" s="980"/>
      <c r="E41" s="980"/>
      <c r="F41" s="980"/>
      <c r="G41" s="980"/>
      <c r="H41" s="980"/>
      <c r="I41" s="980"/>
      <c r="J41" s="980"/>
      <c r="K41" s="980"/>
      <c r="L41" s="980"/>
      <c r="M41" s="980"/>
      <c r="N41" s="980"/>
      <c r="O41" s="980"/>
      <c r="P41" s="981"/>
      <c r="Q41" s="971">
        <f>K38-Q38</f>
        <v>0</v>
      </c>
      <c r="R41" s="972"/>
      <c r="S41" s="972"/>
      <c r="T41" s="972"/>
      <c r="U41" s="972"/>
      <c r="V41" s="972"/>
      <c r="W41" s="973"/>
      <c r="Y41" s="63"/>
      <c r="Z41" s="958">
        <f>☆入力!X10</f>
        <v>0</v>
      </c>
      <c r="AA41" s="959"/>
      <c r="AB41" s="959"/>
      <c r="AC41" s="959"/>
      <c r="AD41" s="959"/>
      <c r="AE41" s="959"/>
      <c r="AF41" s="959"/>
      <c r="AG41" s="959"/>
      <c r="AH41" s="959"/>
      <c r="AI41" s="959"/>
      <c r="AJ41" s="959"/>
      <c r="AK41" s="959"/>
      <c r="AL41" s="959"/>
      <c r="AM41" s="959"/>
      <c r="AN41" s="959"/>
      <c r="AO41" s="959"/>
      <c r="AP41" s="959"/>
      <c r="AQ41" s="959"/>
      <c r="AR41" s="959"/>
      <c r="AS41" s="959"/>
      <c r="AT41" s="959"/>
      <c r="AU41" s="959"/>
      <c r="AV41" s="959"/>
      <c r="AW41" s="959"/>
      <c r="AX41" s="959"/>
      <c r="AY41" s="959"/>
      <c r="AZ41" s="959"/>
      <c r="BA41" s="959"/>
      <c r="BB41" s="959"/>
      <c r="BC41" s="959"/>
      <c r="BD41" s="959"/>
      <c r="BE41" s="959"/>
      <c r="BF41" s="959"/>
      <c r="BG41" s="959"/>
      <c r="BH41" s="959"/>
      <c r="BI41" s="960"/>
    </row>
    <row r="42" spans="1:61" ht="21" customHeight="1" thickBot="1">
      <c r="A42" s="980"/>
      <c r="B42" s="980"/>
      <c r="C42" s="980"/>
      <c r="D42" s="980"/>
      <c r="E42" s="980"/>
      <c r="F42" s="980"/>
      <c r="G42" s="980"/>
      <c r="H42" s="980"/>
      <c r="I42" s="980"/>
      <c r="J42" s="980"/>
      <c r="K42" s="980"/>
      <c r="L42" s="980"/>
      <c r="M42" s="980"/>
      <c r="N42" s="980"/>
      <c r="O42" s="980"/>
      <c r="P42" s="981"/>
      <c r="Q42" s="974"/>
      <c r="R42" s="975"/>
      <c r="S42" s="975"/>
      <c r="T42" s="975"/>
      <c r="U42" s="975"/>
      <c r="V42" s="975"/>
      <c r="W42" s="976"/>
      <c r="Y42" s="63"/>
      <c r="Z42" s="961">
        <f>☆入力!X11</f>
        <v>0</v>
      </c>
      <c r="AA42" s="962"/>
      <c r="AB42" s="962"/>
      <c r="AC42" s="962"/>
      <c r="AD42" s="962"/>
      <c r="AE42" s="962"/>
      <c r="AF42" s="962"/>
      <c r="AG42" s="962"/>
      <c r="AH42" s="962"/>
      <c r="AI42" s="962"/>
      <c r="AJ42" s="962"/>
      <c r="AK42" s="962"/>
      <c r="AL42" s="962"/>
      <c r="AM42" s="962"/>
      <c r="AN42" s="962"/>
      <c r="AO42" s="962"/>
      <c r="AP42" s="962"/>
      <c r="AQ42" s="962"/>
      <c r="AR42" s="962"/>
      <c r="AS42" s="962"/>
      <c r="AT42" s="962"/>
      <c r="AU42" s="962"/>
      <c r="AV42" s="962"/>
      <c r="AW42" s="962"/>
      <c r="AX42" s="962"/>
      <c r="AY42" s="962"/>
      <c r="AZ42" s="962"/>
      <c r="BA42" s="962"/>
      <c r="BB42" s="962"/>
      <c r="BC42" s="962"/>
      <c r="BD42" s="962"/>
      <c r="BE42" s="962"/>
      <c r="BF42" s="962"/>
      <c r="BG42" s="962"/>
      <c r="BH42" s="962"/>
      <c r="BI42" s="963"/>
    </row>
    <row r="43" spans="1:61" ht="21" customHeight="1" thickTop="1">
      <c r="Y43" s="4"/>
    </row>
    <row r="44" spans="1:61" ht="21" customHeight="1">
      <c r="A44" s="58" t="s">
        <v>350</v>
      </c>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310">
        <v>7</v>
      </c>
    </row>
  </sheetData>
  <mergeCells count="259">
    <mergeCell ref="Z40:BI40"/>
    <mergeCell ref="A41:P42"/>
    <mergeCell ref="Q41:W42"/>
    <mergeCell ref="Z41:BI41"/>
    <mergeCell ref="Z42:BI42"/>
    <mergeCell ref="Z37:BI37"/>
    <mergeCell ref="K38:N39"/>
    <mergeCell ref="O38:P39"/>
    <mergeCell ref="Q38:T39"/>
    <mergeCell ref="U38:W39"/>
    <mergeCell ref="Z38:BI38"/>
    <mergeCell ref="Z39:BI39"/>
    <mergeCell ref="U35:W35"/>
    <mergeCell ref="Z35:BI35"/>
    <mergeCell ref="A36:B36"/>
    <mergeCell ref="C36:F36"/>
    <mergeCell ref="G36:J36"/>
    <mergeCell ref="K36:N36"/>
    <mergeCell ref="O36:P36"/>
    <mergeCell ref="Q36:T36"/>
    <mergeCell ref="U36:W36"/>
    <mergeCell ref="Z36:BI36"/>
    <mergeCell ref="A35:B35"/>
    <mergeCell ref="C35:F35"/>
    <mergeCell ref="G35:J35"/>
    <mergeCell ref="K35:N35"/>
    <mergeCell ref="O35:P35"/>
    <mergeCell ref="Q35:T35"/>
    <mergeCell ref="U33:W33"/>
    <mergeCell ref="Z33:BI33"/>
    <mergeCell ref="A34:B34"/>
    <mergeCell ref="C34:F34"/>
    <mergeCell ref="G34:J34"/>
    <mergeCell ref="K34:N34"/>
    <mergeCell ref="O34:P34"/>
    <mergeCell ref="Q34:T34"/>
    <mergeCell ref="U34:W34"/>
    <mergeCell ref="Z34:BI34"/>
    <mergeCell ref="A33:B33"/>
    <mergeCell ref="C33:F33"/>
    <mergeCell ref="G33:J33"/>
    <mergeCell ref="K33:N33"/>
    <mergeCell ref="O33:P33"/>
    <mergeCell ref="Q33:T33"/>
    <mergeCell ref="U31:W31"/>
    <mergeCell ref="A32:B32"/>
    <mergeCell ref="C32:F32"/>
    <mergeCell ref="G32:J32"/>
    <mergeCell ref="K32:N32"/>
    <mergeCell ref="O32:P32"/>
    <mergeCell ref="Q32:T32"/>
    <mergeCell ref="U32:W32"/>
    <mergeCell ref="A31:B31"/>
    <mergeCell ref="C31:F31"/>
    <mergeCell ref="G31:J31"/>
    <mergeCell ref="K31:N31"/>
    <mergeCell ref="O31:P31"/>
    <mergeCell ref="Q31:T31"/>
    <mergeCell ref="AN29:AV30"/>
    <mergeCell ref="AW29:AZ30"/>
    <mergeCell ref="BA29:BI30"/>
    <mergeCell ref="U30:W30"/>
    <mergeCell ref="A29:B29"/>
    <mergeCell ref="C29:F29"/>
    <mergeCell ref="G29:J29"/>
    <mergeCell ref="K29:N29"/>
    <mergeCell ref="O29:P29"/>
    <mergeCell ref="Q29:T29"/>
    <mergeCell ref="A30:B30"/>
    <mergeCell ref="C30:F30"/>
    <mergeCell ref="G30:J30"/>
    <mergeCell ref="K30:N30"/>
    <mergeCell ref="O30:P30"/>
    <mergeCell ref="Q30:T30"/>
    <mergeCell ref="U29:W29"/>
    <mergeCell ref="AA29:AI30"/>
    <mergeCell ref="AJ29:AM30"/>
    <mergeCell ref="U27:W27"/>
    <mergeCell ref="AA27:BI28"/>
    <mergeCell ref="A28:B28"/>
    <mergeCell ref="C28:F28"/>
    <mergeCell ref="G28:J28"/>
    <mergeCell ref="K28:N28"/>
    <mergeCell ref="O28:P28"/>
    <mergeCell ref="Q28:T28"/>
    <mergeCell ref="U28:W28"/>
    <mergeCell ref="A27:B27"/>
    <mergeCell ref="C27:F27"/>
    <mergeCell ref="G27:J27"/>
    <mergeCell ref="K27:N27"/>
    <mergeCell ref="O27:P27"/>
    <mergeCell ref="Q27:T27"/>
    <mergeCell ref="U25:W25"/>
    <mergeCell ref="A26:B26"/>
    <mergeCell ref="C26:F26"/>
    <mergeCell ref="G26:J26"/>
    <mergeCell ref="K26:N26"/>
    <mergeCell ref="O26:P26"/>
    <mergeCell ref="Q26:T26"/>
    <mergeCell ref="U26:W26"/>
    <mergeCell ref="A25:B25"/>
    <mergeCell ref="C25:F25"/>
    <mergeCell ref="G25:J25"/>
    <mergeCell ref="K25:N25"/>
    <mergeCell ref="O25:P25"/>
    <mergeCell ref="Q25:T25"/>
    <mergeCell ref="U23:W23"/>
    <mergeCell ref="A24:B24"/>
    <mergeCell ref="C24:F24"/>
    <mergeCell ref="G24:J24"/>
    <mergeCell ref="K24:N24"/>
    <mergeCell ref="O24:P24"/>
    <mergeCell ref="Q24:T24"/>
    <mergeCell ref="U24:W24"/>
    <mergeCell ref="A23:B23"/>
    <mergeCell ref="C23:F23"/>
    <mergeCell ref="G23:J23"/>
    <mergeCell ref="K23:N23"/>
    <mergeCell ref="O23:P23"/>
    <mergeCell ref="Q23:T23"/>
    <mergeCell ref="U21:W21"/>
    <mergeCell ref="A22:B22"/>
    <mergeCell ref="C22:F22"/>
    <mergeCell ref="G22:J22"/>
    <mergeCell ref="K22:N22"/>
    <mergeCell ref="O22:P22"/>
    <mergeCell ref="Q22:T22"/>
    <mergeCell ref="U22:W22"/>
    <mergeCell ref="A21:B21"/>
    <mergeCell ref="C21:F21"/>
    <mergeCell ref="G21:J21"/>
    <mergeCell ref="K21:N21"/>
    <mergeCell ref="O21:P21"/>
    <mergeCell ref="Q21:T21"/>
    <mergeCell ref="A20:B20"/>
    <mergeCell ref="C20:F20"/>
    <mergeCell ref="G20:J20"/>
    <mergeCell ref="K20:N20"/>
    <mergeCell ref="O20:P20"/>
    <mergeCell ref="Q20:T20"/>
    <mergeCell ref="U19:W19"/>
    <mergeCell ref="U20:W20"/>
    <mergeCell ref="A19:B19"/>
    <mergeCell ref="C19:F19"/>
    <mergeCell ref="G19:J19"/>
    <mergeCell ref="K19:N19"/>
    <mergeCell ref="O19:P19"/>
    <mergeCell ref="Q19:T19"/>
    <mergeCell ref="Q15:T15"/>
    <mergeCell ref="AN18:AV19"/>
    <mergeCell ref="AW18:AZ19"/>
    <mergeCell ref="BA18:BI19"/>
    <mergeCell ref="AA18:AI19"/>
    <mergeCell ref="AJ18:AM19"/>
    <mergeCell ref="A18:B18"/>
    <mergeCell ref="C18:F18"/>
    <mergeCell ref="G18:J18"/>
    <mergeCell ref="K18:N18"/>
    <mergeCell ref="O18:P18"/>
    <mergeCell ref="Q18:T18"/>
    <mergeCell ref="U18:W18"/>
    <mergeCell ref="U16:W16"/>
    <mergeCell ref="A17:B17"/>
    <mergeCell ref="C17:F17"/>
    <mergeCell ref="G17:J17"/>
    <mergeCell ref="K17:N17"/>
    <mergeCell ref="O17:P17"/>
    <mergeCell ref="Q17:T17"/>
    <mergeCell ref="U17:W17"/>
    <mergeCell ref="K16:N16"/>
    <mergeCell ref="O16:P16"/>
    <mergeCell ref="Q16:T16"/>
    <mergeCell ref="U14:W14"/>
    <mergeCell ref="A13:B13"/>
    <mergeCell ref="C13:F13"/>
    <mergeCell ref="G13:J13"/>
    <mergeCell ref="K13:N13"/>
    <mergeCell ref="O13:P13"/>
    <mergeCell ref="Q13:T13"/>
    <mergeCell ref="AA15:AV16"/>
    <mergeCell ref="A14:B14"/>
    <mergeCell ref="C14:F14"/>
    <mergeCell ref="G14:J14"/>
    <mergeCell ref="K14:N14"/>
    <mergeCell ref="O14:P14"/>
    <mergeCell ref="Q14:T14"/>
    <mergeCell ref="U13:W13"/>
    <mergeCell ref="U15:W15"/>
    <mergeCell ref="A16:B16"/>
    <mergeCell ref="C16:F16"/>
    <mergeCell ref="G16:J16"/>
    <mergeCell ref="A15:B15"/>
    <mergeCell ref="C15:F15"/>
    <mergeCell ref="G15:J15"/>
    <mergeCell ref="K15:N15"/>
    <mergeCell ref="O15:P15"/>
    <mergeCell ref="K12:N12"/>
    <mergeCell ref="O12:P12"/>
    <mergeCell ref="Q12:T12"/>
    <mergeCell ref="U12:W12"/>
    <mergeCell ref="U10:W10"/>
    <mergeCell ref="A11:B11"/>
    <mergeCell ref="C11:F11"/>
    <mergeCell ref="G11:J11"/>
    <mergeCell ref="K11:N11"/>
    <mergeCell ref="O11:P11"/>
    <mergeCell ref="Q11:T11"/>
    <mergeCell ref="U11:W11"/>
    <mergeCell ref="U9:W9"/>
    <mergeCell ref="AA12:AI13"/>
    <mergeCell ref="AN12:AV13"/>
    <mergeCell ref="BA12:BI13"/>
    <mergeCell ref="A10:B10"/>
    <mergeCell ref="C10:F10"/>
    <mergeCell ref="G10:J10"/>
    <mergeCell ref="K10:N10"/>
    <mergeCell ref="O10:P10"/>
    <mergeCell ref="Q10:T10"/>
    <mergeCell ref="A9:B9"/>
    <mergeCell ref="C9:F9"/>
    <mergeCell ref="G9:J9"/>
    <mergeCell ref="K9:N9"/>
    <mergeCell ref="O9:P9"/>
    <mergeCell ref="Q9:T9"/>
    <mergeCell ref="AN9:AV10"/>
    <mergeCell ref="AW9:AZ10"/>
    <mergeCell ref="BA9:BI10"/>
    <mergeCell ref="AA9:AI10"/>
    <mergeCell ref="AJ9:AM10"/>
    <mergeCell ref="A12:B12"/>
    <mergeCell ref="C12:F12"/>
    <mergeCell ref="G12:J12"/>
    <mergeCell ref="A8:B8"/>
    <mergeCell ref="C8:F8"/>
    <mergeCell ref="G8:J8"/>
    <mergeCell ref="K8:N8"/>
    <mergeCell ref="O8:P8"/>
    <mergeCell ref="Q8:T8"/>
    <mergeCell ref="U8:W8"/>
    <mergeCell ref="AA6:AV7"/>
    <mergeCell ref="A7:B7"/>
    <mergeCell ref="C7:F7"/>
    <mergeCell ref="G7:J7"/>
    <mergeCell ref="K7:N7"/>
    <mergeCell ref="O7:P7"/>
    <mergeCell ref="Q7:T7"/>
    <mergeCell ref="U7:W7"/>
    <mergeCell ref="A5:B5"/>
    <mergeCell ref="C5:F5"/>
    <mergeCell ref="G5:J5"/>
    <mergeCell ref="K5:N5"/>
    <mergeCell ref="Q5:T5"/>
    <mergeCell ref="U5:W5"/>
    <mergeCell ref="A1:BI1"/>
    <mergeCell ref="K3:N3"/>
    <mergeCell ref="Q3:W3"/>
    <mergeCell ref="AA3:AI4"/>
    <mergeCell ref="AN3:AV4"/>
    <mergeCell ref="BA3:BI4"/>
  </mergeCells>
  <phoneticPr fontId="2"/>
  <conditionalFormatting sqref="C7:J36">
    <cfRule type="cellIs" dxfId="75" priority="2" operator="equal">
      <formula>0</formula>
    </cfRule>
  </conditionalFormatting>
  <conditionalFormatting sqref="K7:O36">
    <cfRule type="cellIs" dxfId="74" priority="4" operator="equal">
      <formula>0</formula>
    </cfRule>
  </conditionalFormatting>
  <conditionalFormatting sqref="Q7:T36">
    <cfRule type="cellIs" dxfId="73" priority="3" operator="equal">
      <formula>0</formula>
    </cfRule>
  </conditionalFormatting>
  <conditionalFormatting sqref="Z33:BI42">
    <cfRule type="cellIs" dxfId="72" priority="1" operator="equal">
      <formula>0</formula>
    </cfRule>
  </conditionalFormatting>
  <printOptions horizontalCentered="1" verticalCentered="1"/>
  <pageMargins left="0" right="0" top="0" bottom="0" header="0" footer="0"/>
  <pageSetup paperSize="9" scale="55"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659D-ECF0-4A6C-AF21-F72101E3DCC7}">
  <sheetPr>
    <tabColor rgb="FF00B050"/>
  </sheetPr>
  <dimension ref="A1:J91"/>
  <sheetViews>
    <sheetView view="pageBreakPreview" zoomScale="85" zoomScaleNormal="85" zoomScaleSheetLayoutView="85" workbookViewId="0">
      <selection activeCell="I19" sqref="I19"/>
    </sheetView>
  </sheetViews>
  <sheetFormatPr defaultColWidth="9" defaultRowHeight="12"/>
  <cols>
    <col min="1" max="1" width="13.625" style="28" customWidth="1"/>
    <col min="2" max="2" width="24.75" style="28" customWidth="1"/>
    <col min="3" max="3" width="27.25" style="28" customWidth="1"/>
    <col min="4" max="4" width="6.625" style="28" customWidth="1"/>
    <col min="5" max="5" width="21.125" style="28" customWidth="1"/>
    <col min="6" max="6" width="13.5" style="28" customWidth="1"/>
    <col min="7" max="7" width="15.5" style="28" bestFit="1" customWidth="1"/>
    <col min="8" max="8" width="9" style="28"/>
    <col min="9" max="9" width="18.125" style="28" customWidth="1"/>
    <col min="10" max="10" width="13.25" style="28" customWidth="1"/>
    <col min="11" max="16384" width="9" style="28"/>
  </cols>
  <sheetData>
    <row r="1" spans="1:10" ht="15" customHeight="1">
      <c r="A1" s="1047" t="s">
        <v>352</v>
      </c>
      <c r="B1" s="1047"/>
      <c r="C1" s="1047"/>
      <c r="F1" s="29" t="s">
        <v>353</v>
      </c>
      <c r="G1" s="30">
        <f ca="1">TODAY()</f>
        <v>46080</v>
      </c>
    </row>
    <row r="2" spans="1:10" ht="15" customHeight="1">
      <c r="A2" s="1047"/>
      <c r="B2" s="1047"/>
      <c r="C2" s="1047"/>
      <c r="F2" s="29"/>
      <c r="G2" s="37"/>
    </row>
    <row r="3" spans="1:10" ht="15" customHeight="1"/>
    <row r="4" spans="1:10" ht="15" customHeight="1">
      <c r="A4" s="1048">
        <f>☆入力!C5</f>
        <v>0</v>
      </c>
      <c r="B4" s="1048"/>
      <c r="C4" s="1048"/>
    </row>
    <row r="5" spans="1:10" ht="15" customHeight="1">
      <c r="A5" s="1049"/>
      <c r="B5" s="1049"/>
      <c r="C5" s="1049"/>
    </row>
    <row r="6" spans="1:10" ht="15" customHeight="1">
      <c r="E6" s="1065" t="str">
        <f>IF(代理店入力用!N3="",①表紙!I25,代理店入力用!N3)</f>
        <v>株式会社ニッショー</v>
      </c>
      <c r="F6" s="1065"/>
      <c r="G6" s="1065"/>
    </row>
    <row r="7" spans="1:10" ht="15" customHeight="1">
      <c r="A7" s="28" t="s">
        <v>354</v>
      </c>
      <c r="E7" s="1066" t="str">
        <f>IF(代理店入力用!N5="",①表紙!I26,①表紙!A26)</f>
        <v>〒151-0071　東京都渋谷区本町2-6-3 D'sVARIE初台ビル3F</v>
      </c>
      <c r="F7" s="1066"/>
      <c r="G7" s="1066"/>
    </row>
    <row r="8" spans="1:10" ht="15" customHeight="1">
      <c r="A8" s="28" t="s">
        <v>355</v>
      </c>
      <c r="E8" s="1066" t="str">
        <f>IF(代理店入力用!N6="",①表紙!I27,①表紙!A27)</f>
        <v>TEL：　管理担当営業所へお問い合わせ下さい。</v>
      </c>
      <c r="F8" s="1066"/>
      <c r="G8" s="1066"/>
    </row>
    <row r="9" spans="1:10" ht="15" customHeight="1">
      <c r="A9" s="28" t="s">
        <v>356</v>
      </c>
      <c r="E9" s="210"/>
    </row>
    <row r="10" spans="1:10" ht="15" customHeight="1" thickBot="1">
      <c r="I10" s="379" t="s">
        <v>357</v>
      </c>
      <c r="J10" s="380">
        <f ca="1">ROUNDDOWN(F26*LED計算式!AC2,0)</f>
        <v>0</v>
      </c>
    </row>
    <row r="11" spans="1:10" ht="15" customHeight="1">
      <c r="A11" s="474" t="s">
        <v>358</v>
      </c>
      <c r="B11" s="31" t="s">
        <v>359</v>
      </c>
      <c r="C11" s="32"/>
      <c r="E11" s="1053" t="s">
        <v>360</v>
      </c>
      <c r="F11" s="1055">
        <f ca="1">VLOOKUP(E11,I10:J11,2,FALSE)</f>
        <v>0</v>
      </c>
      <c r="G11" s="1057" t="str">
        <f>"×"&amp;LED計算式!AD2&amp;"ヵ月"</f>
        <v>×120ヵ月</v>
      </c>
      <c r="I11" s="379" t="s">
        <v>360</v>
      </c>
      <c r="J11" s="380">
        <f ca="1">ROUNDDOWN(J10*1.1,0)</f>
        <v>0</v>
      </c>
    </row>
    <row r="12" spans="1:10" ht="15" customHeight="1" thickBot="1">
      <c r="A12" s="33" t="s">
        <v>361</v>
      </c>
      <c r="B12" s="302" t="s">
        <v>362</v>
      </c>
      <c r="C12" s="34"/>
      <c r="E12" s="1054"/>
      <c r="F12" s="1056"/>
      <c r="G12" s="1058"/>
      <c r="I12" s="28" t="s">
        <v>363</v>
      </c>
      <c r="J12" s="381">
        <f ca="1">F26</f>
        <v>0</v>
      </c>
    </row>
    <row r="13" spans="1:10" ht="15" customHeight="1">
      <c r="A13" s="33"/>
      <c r="B13" s="302"/>
      <c r="C13" s="34"/>
      <c r="E13" s="1059" t="s">
        <v>364</v>
      </c>
      <c r="F13" s="1061">
        <f ca="1">VLOOKUP(E13,I12:J13,2,FALSE)</f>
        <v>0</v>
      </c>
      <c r="G13" s="1062"/>
      <c r="I13" s="28" t="s">
        <v>364</v>
      </c>
      <c r="J13" s="381">
        <f ca="1">ROUNDDOWN(J12*1.1,0)</f>
        <v>0</v>
      </c>
    </row>
    <row r="14" spans="1:10" ht="15" customHeight="1" thickBot="1">
      <c r="A14" s="475"/>
      <c r="B14" s="35"/>
      <c r="C14" s="36"/>
      <c r="E14" s="1060"/>
      <c r="F14" s="1063"/>
      <c r="G14" s="1064"/>
    </row>
    <row r="15" spans="1:10" ht="15" customHeight="1">
      <c r="A15" s="29"/>
      <c r="B15" s="302"/>
      <c r="E15" s="233"/>
      <c r="F15" s="231"/>
      <c r="G15" s="231"/>
      <c r="H15" s="383" t="s">
        <v>365</v>
      </c>
    </row>
    <row r="16" spans="1:10" ht="15" customHeight="1"/>
    <row r="17" spans="1:7" ht="17.649999999999999" customHeight="1">
      <c r="A17" s="471" t="s">
        <v>366</v>
      </c>
      <c r="B17" s="1044" t="s">
        <v>367</v>
      </c>
      <c r="C17" s="1045"/>
      <c r="D17" s="471" t="s">
        <v>200</v>
      </c>
      <c r="E17" s="471" t="s">
        <v>368</v>
      </c>
      <c r="F17" s="1046" t="s">
        <v>369</v>
      </c>
      <c r="G17" s="1046"/>
    </row>
    <row r="18" spans="1:7" ht="17.649999999999999" customHeight="1">
      <c r="A18" s="178">
        <v>1</v>
      </c>
      <c r="B18" s="1050" t="s">
        <v>370</v>
      </c>
      <c r="C18" s="1051"/>
      <c r="D18" s="179">
        <v>1</v>
      </c>
      <c r="E18" s="179">
        <f ca="1">☆入力!AL14+代理店入力用!D5</f>
        <v>0</v>
      </c>
      <c r="F18" s="1052">
        <f ca="1">E18*D18</f>
        <v>0</v>
      </c>
      <c r="G18" s="1052"/>
    </row>
    <row r="19" spans="1:7" ht="17.649999999999999" customHeight="1">
      <c r="A19" s="165">
        <v>2</v>
      </c>
      <c r="B19" s="1073" t="s">
        <v>371</v>
      </c>
      <c r="C19" s="1074"/>
      <c r="D19" s="166"/>
      <c r="E19" s="166"/>
      <c r="F19" s="1075">
        <f t="shared" ref="F19:F23" si="0">E19*D19</f>
        <v>0</v>
      </c>
      <c r="G19" s="1076"/>
    </row>
    <row r="20" spans="1:7" ht="17.649999999999999" customHeight="1">
      <c r="A20" s="165">
        <v>3</v>
      </c>
      <c r="B20" s="1073"/>
      <c r="C20" s="1074"/>
      <c r="D20" s="180"/>
      <c r="E20" s="180"/>
      <c r="F20" s="1077">
        <f t="shared" si="0"/>
        <v>0</v>
      </c>
      <c r="G20" s="1078"/>
    </row>
    <row r="21" spans="1:7" ht="17.649999999999999" customHeight="1">
      <c r="A21" s="165">
        <v>4</v>
      </c>
      <c r="B21" s="1073"/>
      <c r="C21" s="1074"/>
      <c r="D21" s="166"/>
      <c r="E21" s="166"/>
      <c r="F21" s="1075">
        <f t="shared" si="0"/>
        <v>0</v>
      </c>
      <c r="G21" s="1076"/>
    </row>
    <row r="22" spans="1:7" ht="17.649999999999999" customHeight="1">
      <c r="A22" s="165">
        <v>5</v>
      </c>
      <c r="B22" s="1073"/>
      <c r="C22" s="1074"/>
      <c r="D22" s="166"/>
      <c r="E22" s="166"/>
      <c r="F22" s="1075">
        <f t="shared" si="0"/>
        <v>0</v>
      </c>
      <c r="G22" s="1076"/>
    </row>
    <row r="23" spans="1:7" ht="17.649999999999999" customHeight="1">
      <c r="A23" s="165">
        <v>6</v>
      </c>
      <c r="B23" s="1073"/>
      <c r="C23" s="1074"/>
      <c r="D23" s="166"/>
      <c r="E23" s="166"/>
      <c r="F23" s="1075">
        <f t="shared" si="0"/>
        <v>0</v>
      </c>
      <c r="G23" s="1076"/>
    </row>
    <row r="24" spans="1:7" ht="17.649999999999999" customHeight="1">
      <c r="A24" s="165">
        <v>7</v>
      </c>
      <c r="B24" s="1073"/>
      <c r="C24" s="1074"/>
      <c r="D24" s="166"/>
      <c r="E24" s="166"/>
      <c r="F24" s="468"/>
      <c r="G24" s="469"/>
    </row>
    <row r="25" spans="1:7" ht="17.649999999999999" customHeight="1">
      <c r="A25" s="167">
        <v>8</v>
      </c>
      <c r="B25" s="1080"/>
      <c r="C25" s="1081"/>
      <c r="D25" s="181"/>
      <c r="E25" s="181"/>
      <c r="F25" s="1041">
        <f>E25*D25</f>
        <v>0</v>
      </c>
      <c r="G25" s="1042"/>
    </row>
    <row r="26" spans="1:7" ht="17.649999999999999" customHeight="1" thickBot="1">
      <c r="E26" s="51" t="s">
        <v>369</v>
      </c>
      <c r="F26" s="1043">
        <f ca="1">ROUNDDOWN(SUM(F18:G25),0)</f>
        <v>0</v>
      </c>
      <c r="G26" s="1043"/>
    </row>
    <row r="27" spans="1:7" ht="18" customHeight="1" thickTop="1">
      <c r="A27" s="28" t="s">
        <v>372</v>
      </c>
    </row>
    <row r="28" spans="1:7" ht="15" customHeight="1">
      <c r="A28" s="1535" t="str">
        <f>☆入力!AH4</f>
        <v>生産終了品などがあった場合、同メーカーもしくは他メーカーの同等品に変更される場合がございます。</v>
      </c>
      <c r="B28" s="1536"/>
      <c r="C28" s="1536"/>
      <c r="D28" s="1537"/>
      <c r="E28" s="307"/>
    </row>
    <row r="29" spans="1:7" ht="15" customHeight="1">
      <c r="A29" s="1088" t="str">
        <f>☆入力!AH5</f>
        <v>新しい照明器具が、既設よりも一回り小さくなるケースがあり、その際は外壁塗装面が露出する</v>
      </c>
      <c r="B29" s="1089"/>
      <c r="C29" s="1089"/>
      <c r="D29" s="1090"/>
      <c r="E29" s="112"/>
      <c r="F29" s="302"/>
      <c r="G29" s="302"/>
    </row>
    <row r="30" spans="1:7" ht="15" customHeight="1">
      <c r="A30" s="1091" t="str">
        <f>☆入力!AH6</f>
        <v>可能性がございます。</v>
      </c>
      <c r="B30" s="1092"/>
      <c r="C30" s="1092"/>
      <c r="D30" s="1093"/>
      <c r="E30" s="112"/>
      <c r="F30" s="302"/>
      <c r="G30" s="302"/>
    </row>
    <row r="31" spans="1:7" ht="15" customHeight="1"/>
    <row r="32" spans="1:7" ht="15" customHeight="1"/>
    <row r="33" spans="1:7" ht="15" customHeight="1">
      <c r="A33" s="1079" t="s">
        <v>373</v>
      </c>
      <c r="B33" s="1079"/>
      <c r="C33" s="1079"/>
      <c r="D33" s="1079"/>
      <c r="E33" s="1079"/>
      <c r="F33" s="1079"/>
      <c r="G33" s="1079"/>
    </row>
    <row r="34" spans="1:7" ht="15" customHeight="1">
      <c r="A34" s="1079"/>
      <c r="B34" s="1079"/>
      <c r="C34" s="1079"/>
      <c r="D34" s="1079"/>
      <c r="E34" s="1079"/>
      <c r="F34" s="1079"/>
      <c r="G34" s="1079"/>
    </row>
    <row r="35" spans="1:7" ht="15" customHeight="1">
      <c r="A35" s="40"/>
      <c r="B35" s="40"/>
      <c r="C35" s="40"/>
      <c r="D35" s="40"/>
      <c r="E35" s="40"/>
      <c r="F35" s="40"/>
      <c r="G35" s="40"/>
    </row>
    <row r="36" spans="1:7" ht="17.649999999999999" customHeight="1">
      <c r="A36" s="41" t="s">
        <v>366</v>
      </c>
      <c r="B36" s="41" t="s">
        <v>87</v>
      </c>
      <c r="C36" s="41" t="s">
        <v>215</v>
      </c>
      <c r="D36" s="1070" t="s">
        <v>96</v>
      </c>
      <c r="E36" s="1071"/>
      <c r="F36" s="1072"/>
      <c r="G36" s="41" t="s">
        <v>200</v>
      </c>
    </row>
    <row r="37" spans="1:7" ht="17.649999999999999" customHeight="1">
      <c r="A37" s="42">
        <v>1</v>
      </c>
      <c r="B37" s="43" t="str">
        <f>☆入力!B16</f>
        <v/>
      </c>
      <c r="C37" s="43">
        <f>☆入力!C16</f>
        <v>0</v>
      </c>
      <c r="D37" s="1085">
        <f>☆入力!D16</f>
        <v>0</v>
      </c>
      <c r="E37" s="1086"/>
      <c r="F37" s="1087"/>
      <c r="G37" s="44">
        <f>☆入力!L16</f>
        <v>0</v>
      </c>
    </row>
    <row r="38" spans="1:7" ht="17.649999999999999" customHeight="1">
      <c r="A38" s="45">
        <v>2</v>
      </c>
      <c r="B38" s="46" t="str">
        <f>☆入力!B17</f>
        <v/>
      </c>
      <c r="C38" s="46">
        <f>☆入力!C17</f>
        <v>0</v>
      </c>
      <c r="D38" s="1067">
        <f>☆入力!D17</f>
        <v>0</v>
      </c>
      <c r="E38" s="1068"/>
      <c r="F38" s="1069"/>
      <c r="G38" s="47">
        <f>☆入力!L17</f>
        <v>0</v>
      </c>
    </row>
    <row r="39" spans="1:7" ht="17.649999999999999" customHeight="1">
      <c r="A39" s="45">
        <v>3</v>
      </c>
      <c r="B39" s="46" t="str">
        <f>☆入力!B18</f>
        <v/>
      </c>
      <c r="C39" s="46">
        <f>☆入力!C18</f>
        <v>0</v>
      </c>
      <c r="D39" s="1067">
        <f>☆入力!D18</f>
        <v>0</v>
      </c>
      <c r="E39" s="1068"/>
      <c r="F39" s="1069"/>
      <c r="G39" s="47">
        <f>☆入力!L18</f>
        <v>0</v>
      </c>
    </row>
    <row r="40" spans="1:7" ht="17.649999999999999" customHeight="1">
      <c r="A40" s="45">
        <v>4</v>
      </c>
      <c r="B40" s="46" t="str">
        <f>☆入力!B19</f>
        <v/>
      </c>
      <c r="C40" s="46">
        <f>☆入力!C19</f>
        <v>0</v>
      </c>
      <c r="D40" s="1067">
        <f>☆入力!D19</f>
        <v>0</v>
      </c>
      <c r="E40" s="1068"/>
      <c r="F40" s="1069"/>
      <c r="G40" s="47">
        <f>☆入力!L19</f>
        <v>0</v>
      </c>
    </row>
    <row r="41" spans="1:7" ht="17.649999999999999" customHeight="1">
      <c r="A41" s="45">
        <v>5</v>
      </c>
      <c r="B41" s="46" t="str">
        <f>☆入力!B20</f>
        <v/>
      </c>
      <c r="C41" s="46">
        <f>☆入力!C20</f>
        <v>0</v>
      </c>
      <c r="D41" s="1067">
        <f>☆入力!D20</f>
        <v>0</v>
      </c>
      <c r="E41" s="1068"/>
      <c r="F41" s="1069"/>
      <c r="G41" s="47">
        <f>☆入力!L20</f>
        <v>0</v>
      </c>
    </row>
    <row r="42" spans="1:7" ht="17.649999999999999" customHeight="1">
      <c r="A42" s="45">
        <v>6</v>
      </c>
      <c r="B42" s="46" t="str">
        <f>☆入力!B21</f>
        <v/>
      </c>
      <c r="C42" s="46">
        <f>☆入力!C21</f>
        <v>0</v>
      </c>
      <c r="D42" s="1067">
        <f>☆入力!D21</f>
        <v>0</v>
      </c>
      <c r="E42" s="1068"/>
      <c r="F42" s="1069"/>
      <c r="G42" s="47">
        <f>☆入力!L21</f>
        <v>0</v>
      </c>
    </row>
    <row r="43" spans="1:7" ht="17.649999999999999" customHeight="1">
      <c r="A43" s="45">
        <v>7</v>
      </c>
      <c r="B43" s="46" t="str">
        <f>☆入力!B22</f>
        <v/>
      </c>
      <c r="C43" s="46">
        <f>☆入力!C22</f>
        <v>0</v>
      </c>
      <c r="D43" s="1067">
        <f>☆入力!D22</f>
        <v>0</v>
      </c>
      <c r="E43" s="1068"/>
      <c r="F43" s="1069"/>
      <c r="G43" s="47">
        <f>☆入力!L22</f>
        <v>0</v>
      </c>
    </row>
    <row r="44" spans="1:7" ht="17.649999999999999" customHeight="1">
      <c r="A44" s="45">
        <v>8</v>
      </c>
      <c r="B44" s="46" t="str">
        <f>☆入力!B23</f>
        <v/>
      </c>
      <c r="C44" s="46">
        <f>☆入力!C23</f>
        <v>0</v>
      </c>
      <c r="D44" s="1067">
        <f>☆入力!D23</f>
        <v>0</v>
      </c>
      <c r="E44" s="1068"/>
      <c r="F44" s="1069"/>
      <c r="G44" s="47">
        <f>☆入力!L23</f>
        <v>0</v>
      </c>
    </row>
    <row r="45" spans="1:7" ht="17.649999999999999" customHeight="1">
      <c r="A45" s="45">
        <v>9</v>
      </c>
      <c r="B45" s="46" t="str">
        <f>☆入力!B24</f>
        <v/>
      </c>
      <c r="C45" s="46">
        <f>☆入力!C24</f>
        <v>0</v>
      </c>
      <c r="D45" s="1067">
        <f>☆入力!D24</f>
        <v>0</v>
      </c>
      <c r="E45" s="1068"/>
      <c r="F45" s="1069"/>
      <c r="G45" s="47">
        <f>☆入力!L24</f>
        <v>0</v>
      </c>
    </row>
    <row r="46" spans="1:7" ht="17.649999999999999" customHeight="1">
      <c r="A46" s="45">
        <v>10</v>
      </c>
      <c r="B46" s="46" t="str">
        <f>☆入力!B25</f>
        <v/>
      </c>
      <c r="C46" s="46">
        <f>☆入力!C25</f>
        <v>0</v>
      </c>
      <c r="D46" s="1067">
        <f>☆入力!D25</f>
        <v>0</v>
      </c>
      <c r="E46" s="1068"/>
      <c r="F46" s="1069"/>
      <c r="G46" s="47">
        <f>☆入力!L25</f>
        <v>0</v>
      </c>
    </row>
    <row r="47" spans="1:7" ht="17.649999999999999" customHeight="1">
      <c r="A47" s="45">
        <v>11</v>
      </c>
      <c r="B47" s="46" t="str">
        <f>☆入力!B26</f>
        <v/>
      </c>
      <c r="C47" s="46">
        <f>☆入力!C26</f>
        <v>0</v>
      </c>
      <c r="D47" s="1067">
        <f>☆入力!D26</f>
        <v>0</v>
      </c>
      <c r="E47" s="1068"/>
      <c r="F47" s="1069"/>
      <c r="G47" s="47">
        <f>☆入力!L26</f>
        <v>0</v>
      </c>
    </row>
    <row r="48" spans="1:7" ht="17.649999999999999" customHeight="1">
      <c r="A48" s="45">
        <v>12</v>
      </c>
      <c r="B48" s="46" t="str">
        <f>☆入力!B27</f>
        <v/>
      </c>
      <c r="C48" s="46">
        <f>☆入力!C27</f>
        <v>0</v>
      </c>
      <c r="D48" s="1067">
        <f>☆入力!D27</f>
        <v>0</v>
      </c>
      <c r="E48" s="1068"/>
      <c r="F48" s="1069"/>
      <c r="G48" s="47">
        <f>☆入力!L27</f>
        <v>0</v>
      </c>
    </row>
    <row r="49" spans="1:7" ht="17.649999999999999" customHeight="1">
      <c r="A49" s="45">
        <v>13</v>
      </c>
      <c r="B49" s="46" t="str">
        <f>☆入力!B28</f>
        <v/>
      </c>
      <c r="C49" s="46">
        <f>☆入力!C28</f>
        <v>0</v>
      </c>
      <c r="D49" s="1067">
        <f>☆入力!D28</f>
        <v>0</v>
      </c>
      <c r="E49" s="1068"/>
      <c r="F49" s="1069"/>
      <c r="G49" s="47">
        <f>☆入力!L28</f>
        <v>0</v>
      </c>
    </row>
    <row r="50" spans="1:7" ht="17.649999999999999" customHeight="1">
      <c r="A50" s="45">
        <v>14</v>
      </c>
      <c r="B50" s="46" t="str">
        <f>☆入力!B29</f>
        <v/>
      </c>
      <c r="C50" s="46">
        <f>☆入力!C29</f>
        <v>0</v>
      </c>
      <c r="D50" s="1067">
        <f>☆入力!D29</f>
        <v>0</v>
      </c>
      <c r="E50" s="1068"/>
      <c r="F50" s="1069"/>
      <c r="G50" s="47">
        <f>☆入力!L29</f>
        <v>0</v>
      </c>
    </row>
    <row r="51" spans="1:7" ht="17.649999999999999" customHeight="1">
      <c r="A51" s="45">
        <v>15</v>
      </c>
      <c r="B51" s="46" t="str">
        <f>☆入力!B30</f>
        <v/>
      </c>
      <c r="C51" s="46">
        <f>☆入力!C30</f>
        <v>0</v>
      </c>
      <c r="D51" s="1067">
        <f>☆入力!D30</f>
        <v>0</v>
      </c>
      <c r="E51" s="1068"/>
      <c r="F51" s="1069"/>
      <c r="G51" s="47">
        <f>☆入力!L30</f>
        <v>0</v>
      </c>
    </row>
    <row r="52" spans="1:7" ht="17.649999999999999" customHeight="1">
      <c r="A52" s="45">
        <v>16</v>
      </c>
      <c r="B52" s="46" t="str">
        <f>☆入力!B31</f>
        <v/>
      </c>
      <c r="C52" s="46">
        <f>☆入力!C31</f>
        <v>0</v>
      </c>
      <c r="D52" s="1067">
        <f>☆入力!D31</f>
        <v>0</v>
      </c>
      <c r="E52" s="1068"/>
      <c r="F52" s="1069"/>
      <c r="G52" s="47">
        <f>☆入力!L31</f>
        <v>0</v>
      </c>
    </row>
    <row r="53" spans="1:7" ht="17.649999999999999" customHeight="1">
      <c r="A53" s="45">
        <v>17</v>
      </c>
      <c r="B53" s="46" t="str">
        <f>☆入力!B32</f>
        <v/>
      </c>
      <c r="C53" s="46">
        <f>☆入力!C32</f>
        <v>0</v>
      </c>
      <c r="D53" s="1067">
        <f>☆入力!D32</f>
        <v>0</v>
      </c>
      <c r="E53" s="1068"/>
      <c r="F53" s="1069"/>
      <c r="G53" s="47">
        <f>☆入力!L32</f>
        <v>0</v>
      </c>
    </row>
    <row r="54" spans="1:7" ht="17.649999999999999" customHeight="1">
      <c r="A54" s="45">
        <v>18</v>
      </c>
      <c r="B54" s="46" t="str">
        <f>☆入力!B33</f>
        <v/>
      </c>
      <c r="C54" s="46">
        <f>☆入力!C33</f>
        <v>0</v>
      </c>
      <c r="D54" s="1067">
        <f>☆入力!D33</f>
        <v>0</v>
      </c>
      <c r="E54" s="1068"/>
      <c r="F54" s="1069"/>
      <c r="G54" s="47">
        <f>☆入力!L33</f>
        <v>0</v>
      </c>
    </row>
    <row r="55" spans="1:7" ht="17.649999999999999" customHeight="1">
      <c r="A55" s="45">
        <v>19</v>
      </c>
      <c r="B55" s="46" t="str">
        <f>☆入力!B34</f>
        <v/>
      </c>
      <c r="C55" s="46">
        <f>☆入力!C34</f>
        <v>0</v>
      </c>
      <c r="D55" s="1067">
        <f>☆入力!D34</f>
        <v>0</v>
      </c>
      <c r="E55" s="1068"/>
      <c r="F55" s="1069"/>
      <c r="G55" s="47">
        <f>☆入力!L34</f>
        <v>0</v>
      </c>
    </row>
    <row r="56" spans="1:7" ht="17.649999999999999" customHeight="1">
      <c r="A56" s="45">
        <v>20</v>
      </c>
      <c r="B56" s="46" t="str">
        <f>☆入力!B35</f>
        <v/>
      </c>
      <c r="C56" s="46">
        <f>☆入力!C35</f>
        <v>0</v>
      </c>
      <c r="D56" s="1067">
        <f>☆入力!D35</f>
        <v>0</v>
      </c>
      <c r="E56" s="1068"/>
      <c r="F56" s="1069"/>
      <c r="G56" s="47">
        <f>☆入力!L35</f>
        <v>0</v>
      </c>
    </row>
    <row r="57" spans="1:7" ht="17.649999999999999" customHeight="1">
      <c r="A57" s="45">
        <v>21</v>
      </c>
      <c r="B57" s="46" t="str">
        <f>☆入力!B36</f>
        <v/>
      </c>
      <c r="C57" s="46">
        <f>☆入力!C36</f>
        <v>0</v>
      </c>
      <c r="D57" s="1067">
        <f>☆入力!D36</f>
        <v>0</v>
      </c>
      <c r="E57" s="1068"/>
      <c r="F57" s="1069"/>
      <c r="G57" s="47">
        <f>☆入力!L36</f>
        <v>0</v>
      </c>
    </row>
    <row r="58" spans="1:7" ht="17.649999999999999" customHeight="1">
      <c r="A58" s="45">
        <v>22</v>
      </c>
      <c r="B58" s="46" t="str">
        <f>☆入力!B37</f>
        <v/>
      </c>
      <c r="C58" s="46">
        <f>☆入力!C37</f>
        <v>0</v>
      </c>
      <c r="D58" s="1067">
        <f>☆入力!D37</f>
        <v>0</v>
      </c>
      <c r="E58" s="1068"/>
      <c r="F58" s="1069"/>
      <c r="G58" s="47">
        <f>☆入力!L37</f>
        <v>0</v>
      </c>
    </row>
    <row r="59" spans="1:7" ht="17.649999999999999" customHeight="1">
      <c r="A59" s="45">
        <v>23</v>
      </c>
      <c r="B59" s="46" t="str">
        <f>☆入力!B38</f>
        <v/>
      </c>
      <c r="C59" s="46">
        <f>☆入力!C38</f>
        <v>0</v>
      </c>
      <c r="D59" s="1067">
        <f>☆入力!D38</f>
        <v>0</v>
      </c>
      <c r="E59" s="1068"/>
      <c r="F59" s="1069"/>
      <c r="G59" s="47">
        <f>☆入力!L38</f>
        <v>0</v>
      </c>
    </row>
    <row r="60" spans="1:7" ht="17.649999999999999" customHeight="1">
      <c r="A60" s="45">
        <v>24</v>
      </c>
      <c r="B60" s="46" t="str">
        <f>☆入力!B39</f>
        <v/>
      </c>
      <c r="C60" s="46">
        <f>☆入力!C39</f>
        <v>0</v>
      </c>
      <c r="D60" s="1067">
        <f>☆入力!D39</f>
        <v>0</v>
      </c>
      <c r="E60" s="1068"/>
      <c r="F60" s="1069"/>
      <c r="G60" s="47">
        <f>☆入力!L39</f>
        <v>0</v>
      </c>
    </row>
    <row r="61" spans="1:7" ht="17.649999999999999" customHeight="1">
      <c r="A61" s="48">
        <v>25</v>
      </c>
      <c r="B61" s="49" t="str">
        <f>☆入力!B40</f>
        <v/>
      </c>
      <c r="C61" s="49">
        <f>☆入力!C40</f>
        <v>0</v>
      </c>
      <c r="D61" s="1082">
        <f>☆入力!D40</f>
        <v>0</v>
      </c>
      <c r="E61" s="1083"/>
      <c r="F61" s="1084"/>
      <c r="G61" s="50">
        <f>☆入力!L40</f>
        <v>0</v>
      </c>
    </row>
    <row r="62" spans="1:7" ht="15" customHeight="1"/>
    <row r="63" spans="1:7" ht="15" customHeight="1">
      <c r="A63" s="1079" t="s">
        <v>374</v>
      </c>
      <c r="B63" s="1079"/>
      <c r="C63" s="1079"/>
      <c r="D63" s="1079"/>
      <c r="E63" s="1079"/>
      <c r="F63" s="1079"/>
      <c r="G63" s="1079"/>
    </row>
    <row r="64" spans="1:7" ht="15" customHeight="1">
      <c r="A64" s="1079"/>
      <c r="B64" s="1079"/>
      <c r="C64" s="1079"/>
      <c r="D64" s="1079"/>
      <c r="E64" s="1079"/>
      <c r="F64" s="1079"/>
      <c r="G64" s="1079"/>
    </row>
    <row r="65" spans="1:7" ht="14.65" customHeight="1">
      <c r="A65" s="40"/>
      <c r="B65" s="40"/>
      <c r="C65" s="40"/>
      <c r="D65" s="40"/>
      <c r="E65" s="40"/>
      <c r="F65" s="40"/>
      <c r="G65" s="40"/>
    </row>
    <row r="66" spans="1:7" ht="17.649999999999999" customHeight="1">
      <c r="A66" s="41" t="s">
        <v>366</v>
      </c>
      <c r="B66" s="41" t="s">
        <v>375</v>
      </c>
      <c r="C66" s="41" t="s">
        <v>215</v>
      </c>
      <c r="D66" s="1070" t="s">
        <v>96</v>
      </c>
      <c r="E66" s="1071"/>
      <c r="F66" s="1072"/>
      <c r="G66" s="41" t="s">
        <v>200</v>
      </c>
    </row>
    <row r="67" spans="1:7" ht="17.649999999999999" customHeight="1">
      <c r="A67" s="42">
        <v>26</v>
      </c>
      <c r="B67" s="43"/>
      <c r="C67" s="43"/>
      <c r="D67" s="1085"/>
      <c r="E67" s="1086"/>
      <c r="F67" s="1087"/>
      <c r="G67" s="44"/>
    </row>
    <row r="68" spans="1:7" ht="17.649999999999999" customHeight="1">
      <c r="A68" s="45">
        <v>27</v>
      </c>
      <c r="B68" s="46"/>
      <c r="C68" s="46"/>
      <c r="D68" s="1067"/>
      <c r="E68" s="1068"/>
      <c r="F68" s="1069"/>
      <c r="G68" s="47"/>
    </row>
    <row r="69" spans="1:7" ht="17.649999999999999" customHeight="1">
      <c r="A69" s="45">
        <v>28</v>
      </c>
      <c r="B69" s="46"/>
      <c r="C69" s="46"/>
      <c r="D69" s="1067"/>
      <c r="E69" s="1068"/>
      <c r="F69" s="1069"/>
      <c r="G69" s="47"/>
    </row>
    <row r="70" spans="1:7" ht="17.649999999999999" customHeight="1">
      <c r="A70" s="45">
        <v>29</v>
      </c>
      <c r="B70" s="46"/>
      <c r="C70" s="46"/>
      <c r="D70" s="1067"/>
      <c r="E70" s="1068"/>
      <c r="F70" s="1069"/>
      <c r="G70" s="47"/>
    </row>
    <row r="71" spans="1:7" ht="17.649999999999999" customHeight="1">
      <c r="A71" s="45">
        <v>30</v>
      </c>
      <c r="B71" s="46"/>
      <c r="D71" s="1067"/>
      <c r="E71" s="1068"/>
      <c r="F71" s="1069"/>
      <c r="G71" s="47"/>
    </row>
    <row r="72" spans="1:7" ht="17.649999999999999" customHeight="1">
      <c r="A72" s="45">
        <v>31</v>
      </c>
      <c r="B72" s="46"/>
      <c r="C72" s="46"/>
      <c r="D72" s="1067"/>
      <c r="E72" s="1068"/>
      <c r="F72" s="1069"/>
      <c r="G72" s="47"/>
    </row>
    <row r="73" spans="1:7" ht="17.649999999999999" customHeight="1">
      <c r="A73" s="45">
        <v>32</v>
      </c>
      <c r="B73" s="46"/>
      <c r="C73" s="46"/>
      <c r="D73" s="1067"/>
      <c r="E73" s="1068"/>
      <c r="F73" s="1069"/>
      <c r="G73" s="47"/>
    </row>
    <row r="74" spans="1:7" ht="17.649999999999999" customHeight="1">
      <c r="A74" s="45">
        <v>33</v>
      </c>
      <c r="B74" s="46"/>
      <c r="C74" s="46"/>
      <c r="D74" s="1067"/>
      <c r="E74" s="1068"/>
      <c r="F74" s="1069"/>
      <c r="G74" s="47"/>
    </row>
    <row r="75" spans="1:7" ht="17.649999999999999" customHeight="1">
      <c r="A75" s="45">
        <v>34</v>
      </c>
      <c r="B75" s="46"/>
      <c r="C75" s="46"/>
      <c r="D75" s="1067"/>
      <c r="E75" s="1068"/>
      <c r="F75" s="1069"/>
      <c r="G75" s="47"/>
    </row>
    <row r="76" spans="1:7" ht="17.649999999999999" customHeight="1">
      <c r="A76" s="45">
        <v>35</v>
      </c>
      <c r="B76" s="46"/>
      <c r="C76" s="46"/>
      <c r="D76" s="1067"/>
      <c r="E76" s="1068"/>
      <c r="F76" s="1069"/>
      <c r="G76" s="47"/>
    </row>
    <row r="77" spans="1:7" ht="17.649999999999999" customHeight="1">
      <c r="A77" s="45">
        <v>36</v>
      </c>
      <c r="B77" s="46"/>
      <c r="C77" s="46"/>
      <c r="D77" s="1067"/>
      <c r="E77" s="1068"/>
      <c r="F77" s="1069"/>
      <c r="G77" s="47"/>
    </row>
    <row r="78" spans="1:7" ht="17.649999999999999" customHeight="1">
      <c r="A78" s="45">
        <v>37</v>
      </c>
      <c r="B78" s="46"/>
      <c r="C78" s="46"/>
      <c r="D78" s="1067"/>
      <c r="E78" s="1068"/>
      <c r="F78" s="1069"/>
      <c r="G78" s="47"/>
    </row>
    <row r="79" spans="1:7" ht="17.649999999999999" customHeight="1">
      <c r="A79" s="45">
        <v>38</v>
      </c>
      <c r="B79" s="46"/>
      <c r="C79" s="46"/>
      <c r="D79" s="1067"/>
      <c r="E79" s="1068"/>
      <c r="F79" s="1069"/>
      <c r="G79" s="47"/>
    </row>
    <row r="80" spans="1:7" ht="17.649999999999999" customHeight="1">
      <c r="A80" s="45">
        <v>39</v>
      </c>
      <c r="B80" s="46"/>
      <c r="C80" s="46"/>
      <c r="D80" s="1067"/>
      <c r="E80" s="1068"/>
      <c r="F80" s="1069"/>
      <c r="G80" s="47"/>
    </row>
    <row r="81" spans="1:7" ht="17.649999999999999" customHeight="1">
      <c r="A81" s="45">
        <v>40</v>
      </c>
      <c r="B81" s="46"/>
      <c r="C81" s="46"/>
      <c r="D81" s="1067"/>
      <c r="E81" s="1068"/>
      <c r="F81" s="1069"/>
      <c r="G81" s="47"/>
    </row>
    <row r="82" spans="1:7" ht="17.649999999999999" customHeight="1">
      <c r="A82" s="45">
        <v>41</v>
      </c>
      <c r="B82" s="46"/>
      <c r="C82" s="46"/>
      <c r="D82" s="1067"/>
      <c r="E82" s="1068"/>
      <c r="F82" s="1069"/>
      <c r="G82" s="47"/>
    </row>
    <row r="83" spans="1:7" ht="17.649999999999999" customHeight="1">
      <c r="A83" s="45">
        <v>42</v>
      </c>
      <c r="B83" s="46"/>
      <c r="C83" s="46"/>
      <c r="D83" s="1067"/>
      <c r="E83" s="1068"/>
      <c r="F83" s="1069"/>
      <c r="G83" s="47"/>
    </row>
    <row r="84" spans="1:7" ht="17.649999999999999" customHeight="1">
      <c r="A84" s="45">
        <v>43</v>
      </c>
      <c r="B84" s="46"/>
      <c r="C84" s="46"/>
      <c r="D84" s="1067"/>
      <c r="E84" s="1068"/>
      <c r="F84" s="1069"/>
      <c r="G84" s="47"/>
    </row>
    <row r="85" spans="1:7" ht="17.649999999999999" customHeight="1">
      <c r="A85" s="45">
        <v>44</v>
      </c>
      <c r="B85" s="46"/>
      <c r="C85" s="46"/>
      <c r="D85" s="1067"/>
      <c r="E85" s="1068"/>
      <c r="F85" s="1069"/>
      <c r="G85" s="47"/>
    </row>
    <row r="86" spans="1:7" ht="17.649999999999999" customHeight="1">
      <c r="A86" s="45">
        <v>45</v>
      </c>
      <c r="B86" s="46"/>
      <c r="C86" s="46"/>
      <c r="D86" s="1067"/>
      <c r="E86" s="1068"/>
      <c r="F86" s="1069"/>
      <c r="G86" s="47"/>
    </row>
    <row r="87" spans="1:7" ht="17.649999999999999" customHeight="1">
      <c r="A87" s="45">
        <v>46</v>
      </c>
      <c r="B87" s="46"/>
      <c r="C87" s="46"/>
      <c r="D87" s="1067"/>
      <c r="E87" s="1068"/>
      <c r="F87" s="1069"/>
      <c r="G87" s="47"/>
    </row>
    <row r="88" spans="1:7" ht="17.649999999999999" customHeight="1">
      <c r="A88" s="45">
        <v>47</v>
      </c>
      <c r="B88" s="46"/>
      <c r="C88" s="46"/>
      <c r="D88" s="1067"/>
      <c r="E88" s="1068"/>
      <c r="F88" s="1069"/>
      <c r="G88" s="47"/>
    </row>
    <row r="89" spans="1:7" ht="17.649999999999999" customHeight="1">
      <c r="A89" s="45">
        <v>48</v>
      </c>
      <c r="B89" s="46"/>
      <c r="C89" s="46"/>
      <c r="D89" s="1067"/>
      <c r="E89" s="1068"/>
      <c r="F89" s="1069"/>
      <c r="G89" s="47"/>
    </row>
    <row r="90" spans="1:7" ht="17.649999999999999" customHeight="1">
      <c r="A90" s="45">
        <v>49</v>
      </c>
      <c r="B90" s="46"/>
      <c r="C90" s="46"/>
      <c r="D90" s="1067"/>
      <c r="E90" s="1068"/>
      <c r="F90" s="1069"/>
      <c r="G90" s="47"/>
    </row>
    <row r="91" spans="1:7" ht="17.649999999999999" customHeight="1">
      <c r="A91" s="48">
        <v>50</v>
      </c>
      <c r="B91" s="49"/>
      <c r="C91" s="49"/>
      <c r="D91" s="1082"/>
      <c r="E91" s="1083"/>
      <c r="F91" s="1084"/>
      <c r="G91" s="50"/>
    </row>
  </sheetData>
  <mergeCells count="85">
    <mergeCell ref="A28:D28"/>
    <mergeCell ref="A29:D29"/>
    <mergeCell ref="A30:D30"/>
    <mergeCell ref="D88:F88"/>
    <mergeCell ref="D89:F89"/>
    <mergeCell ref="D78:F78"/>
    <mergeCell ref="D79:F79"/>
    <mergeCell ref="D80:F80"/>
    <mergeCell ref="D81:F81"/>
    <mergeCell ref="D82:F82"/>
    <mergeCell ref="D77:F77"/>
    <mergeCell ref="D74:F74"/>
    <mergeCell ref="D75:F75"/>
    <mergeCell ref="D67:F67"/>
    <mergeCell ref="D68:F68"/>
    <mergeCell ref="D69:F69"/>
    <mergeCell ref="D90:F90"/>
    <mergeCell ref="D91:F91"/>
    <mergeCell ref="D83:F83"/>
    <mergeCell ref="D84:F84"/>
    <mergeCell ref="D85:F85"/>
    <mergeCell ref="D86:F86"/>
    <mergeCell ref="D87:F87"/>
    <mergeCell ref="D70:F70"/>
    <mergeCell ref="D71:F71"/>
    <mergeCell ref="D76:F76"/>
    <mergeCell ref="D72:F72"/>
    <mergeCell ref="D73:F73"/>
    <mergeCell ref="D41:F41"/>
    <mergeCell ref="D42:F42"/>
    <mergeCell ref="D43:F43"/>
    <mergeCell ref="D54:F54"/>
    <mergeCell ref="D55:F55"/>
    <mergeCell ref="D44:F44"/>
    <mergeCell ref="D45:F45"/>
    <mergeCell ref="D46:F46"/>
    <mergeCell ref="D47:F47"/>
    <mergeCell ref="D48:F48"/>
    <mergeCell ref="D51:F51"/>
    <mergeCell ref="D52:F52"/>
    <mergeCell ref="D53:F53"/>
    <mergeCell ref="D49:F49"/>
    <mergeCell ref="D50:F50"/>
    <mergeCell ref="D36:F36"/>
    <mergeCell ref="D37:F37"/>
    <mergeCell ref="D38:F38"/>
    <mergeCell ref="D39:F39"/>
    <mergeCell ref="D40:F40"/>
    <mergeCell ref="A63:G64"/>
    <mergeCell ref="D59:F59"/>
    <mergeCell ref="D60:F60"/>
    <mergeCell ref="D61:F61"/>
    <mergeCell ref="D58:F58"/>
    <mergeCell ref="D56:F56"/>
    <mergeCell ref="D57:F57"/>
    <mergeCell ref="D66:F66"/>
    <mergeCell ref="B19:C19"/>
    <mergeCell ref="F19:G19"/>
    <mergeCell ref="B20:C20"/>
    <mergeCell ref="F20:G20"/>
    <mergeCell ref="A33:G34"/>
    <mergeCell ref="B21:C21"/>
    <mergeCell ref="F21:G21"/>
    <mergeCell ref="B22:C22"/>
    <mergeCell ref="F22:G22"/>
    <mergeCell ref="B23:C23"/>
    <mergeCell ref="F23:G23"/>
    <mergeCell ref="B24:C24"/>
    <mergeCell ref="B25:C25"/>
    <mergeCell ref="F25:G25"/>
    <mergeCell ref="F26:G26"/>
    <mergeCell ref="B17:C17"/>
    <mergeCell ref="F17:G17"/>
    <mergeCell ref="A1:C2"/>
    <mergeCell ref="A4:C5"/>
    <mergeCell ref="B18:C18"/>
    <mergeCell ref="F18:G18"/>
    <mergeCell ref="E11:E12"/>
    <mergeCell ref="F11:F12"/>
    <mergeCell ref="G11:G12"/>
    <mergeCell ref="E13:E14"/>
    <mergeCell ref="F13:G14"/>
    <mergeCell ref="E6:G6"/>
    <mergeCell ref="E7:G7"/>
    <mergeCell ref="E8:G8"/>
  </mergeCells>
  <phoneticPr fontId="2"/>
  <conditionalFormatting sqref="A28:A30 E28:G30">
    <cfRule type="cellIs" dxfId="71" priority="1" operator="equal">
      <formula>0</formula>
    </cfRule>
  </conditionalFormatting>
  <dataValidations count="2">
    <dataValidation type="list" allowBlank="1" showInputMessage="1" showErrorMessage="1" sqref="E11:E12" xr:uid="{09E0FB5D-166E-4C4B-8140-5F1BF54F13EA}">
      <formula1>$I$10:$I$11</formula1>
    </dataValidation>
    <dataValidation type="list" allowBlank="1" showInputMessage="1" showErrorMessage="1" sqref="E13:E14" xr:uid="{94DFB738-A357-436F-AF7E-C091D3F0DE21}">
      <formula1>$I$12:$I$13</formula1>
    </dataValidation>
  </dataValidations>
  <printOptions horizontalCentered="1" verticalCentered="1"/>
  <pageMargins left="0.39370078740157483" right="0.39370078740157483" top="0.59055118110236227" bottom="0.59055118110236227" header="0.31496062992125984" footer="0.31496062992125984"/>
  <pageSetup paperSize="9" scale="97" orientation="landscape" horizontalDpi="300" verticalDpi="300" r:id="rId1"/>
  <rowBreaks count="1" manualBreakCount="1">
    <brk id="31" max="6"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09CB1-1A21-4F64-86C6-8F3BB8CDF4FD}">
  <sheetPr>
    <tabColor rgb="FF00B050"/>
  </sheetPr>
  <dimension ref="A1:J36"/>
  <sheetViews>
    <sheetView view="pageBreakPreview" zoomScale="80" zoomScaleNormal="85" zoomScaleSheetLayoutView="80" workbookViewId="0">
      <selection activeCell="H49" sqref="H49:I49"/>
    </sheetView>
  </sheetViews>
  <sheetFormatPr defaultColWidth="9" defaultRowHeight="12"/>
  <cols>
    <col min="1" max="1" width="13.625" style="76" customWidth="1"/>
    <col min="2" max="3" width="25.75" style="76" customWidth="1"/>
    <col min="4" max="4" width="8.75" style="76" customWidth="1"/>
    <col min="5" max="5" width="22.25" style="76" customWidth="1"/>
    <col min="6" max="6" width="1" style="76" customWidth="1"/>
    <col min="7" max="7" width="18.625" style="76" customWidth="1"/>
    <col min="8" max="8" width="9" style="76"/>
    <col min="9" max="9" width="19.125" style="76" customWidth="1"/>
    <col min="10" max="10" width="10.625" style="76" bestFit="1" customWidth="1"/>
    <col min="11" max="16384" width="9" style="76"/>
  </cols>
  <sheetData>
    <row r="1" spans="1:10" ht="15" customHeight="1">
      <c r="A1" s="1047" t="s">
        <v>352</v>
      </c>
      <c r="B1" s="1047"/>
      <c r="C1" s="1047"/>
      <c r="F1" s="77" t="s">
        <v>353</v>
      </c>
      <c r="G1" s="78">
        <f ca="1">TODAY()</f>
        <v>46080</v>
      </c>
    </row>
    <row r="2" spans="1:10" ht="15" customHeight="1">
      <c r="A2" s="1047"/>
      <c r="B2" s="1047"/>
      <c r="C2" s="1047"/>
      <c r="F2" s="77"/>
      <c r="G2" s="79"/>
    </row>
    <row r="3" spans="1:10" ht="15" customHeight="1">
      <c r="A3" s="1103">
        <f>☆入力!C5</f>
        <v>0</v>
      </c>
      <c r="B3" s="1103"/>
      <c r="C3" s="1103"/>
      <c r="E3" s="1065" t="str">
        <f>IF(代理店入力用!N3="",①表紙!I25,代理店入力用!N3)</f>
        <v>株式会社ニッショー</v>
      </c>
      <c r="F3" s="1065"/>
      <c r="G3" s="1065"/>
    </row>
    <row r="4" spans="1:10" ht="15" customHeight="1">
      <c r="A4" s="1104"/>
      <c r="B4" s="1104"/>
      <c r="C4" s="1104"/>
      <c r="E4" s="1102" t="str">
        <f>IF(代理店入力用!N5="",①表紙!I26,①表紙!A26)</f>
        <v>〒151-0071　東京都渋谷区本町2-6-3 D'sVARIE初台ビル3F</v>
      </c>
      <c r="F4" s="1102"/>
      <c r="G4" s="1102"/>
    </row>
    <row r="5" spans="1:10" ht="15" customHeight="1">
      <c r="E5" s="1102" t="str">
        <f>IF(代理店入力用!N6="",①表紙!I27,①表紙!A27)</f>
        <v>TEL：　管理担当営業所へお問い合わせ下さい。</v>
      </c>
      <c r="F5" s="1102"/>
      <c r="G5" s="1102"/>
      <c r="I5" s="379" t="s">
        <v>357</v>
      </c>
      <c r="J5" s="380">
        <f ca="1">G35</f>
        <v>0</v>
      </c>
    </row>
    <row r="6" spans="1:10" ht="15" customHeight="1" thickBot="1">
      <c r="A6" s="76" t="s">
        <v>354</v>
      </c>
      <c r="I6" s="379" t="s">
        <v>360</v>
      </c>
      <c r="J6" s="380">
        <f ca="1">J5*1.1</f>
        <v>0</v>
      </c>
    </row>
    <row r="7" spans="1:10" ht="15" customHeight="1">
      <c r="A7" s="76" t="s">
        <v>355</v>
      </c>
      <c r="E7" s="91" t="s">
        <v>364</v>
      </c>
      <c r="F7" s="92"/>
      <c r="G7" s="91" t="s">
        <v>360</v>
      </c>
      <c r="I7" s="28" t="s">
        <v>363</v>
      </c>
      <c r="J7" s="381">
        <f ca="1">E35</f>
        <v>0</v>
      </c>
    </row>
    <row r="8" spans="1:10" ht="15" customHeight="1">
      <c r="E8" s="1111">
        <f ca="1">VLOOKUP(E7,I7:J8,2,FALSE)</f>
        <v>0</v>
      </c>
      <c r="F8" s="93"/>
      <c r="G8" s="1109">
        <f ca="1">VLOOKUP(G7,I5:J6,2,FALSE)</f>
        <v>0</v>
      </c>
      <c r="I8" s="28" t="s">
        <v>364</v>
      </c>
      <c r="J8" s="381">
        <f ca="1">J7*1.1</f>
        <v>0</v>
      </c>
    </row>
    <row r="9" spans="1:10" ht="15" customHeight="1" thickBot="1">
      <c r="A9" s="94" t="s">
        <v>376</v>
      </c>
      <c r="E9" s="1112"/>
      <c r="F9" s="93"/>
      <c r="G9" s="1110"/>
    </row>
    <row r="10" spans="1:10" ht="15" customHeight="1">
      <c r="E10" s="1094"/>
      <c r="F10" s="1094"/>
      <c r="G10" s="1094"/>
      <c r="H10" s="383" t="s">
        <v>365</v>
      </c>
    </row>
    <row r="11" spans="1:10">
      <c r="A11" s="168" t="s">
        <v>366</v>
      </c>
      <c r="B11" s="1105" t="s">
        <v>377</v>
      </c>
      <c r="C11" s="1106"/>
      <c r="D11" s="168" t="s">
        <v>38</v>
      </c>
      <c r="E11" s="168" t="s">
        <v>378</v>
      </c>
      <c r="F11" s="169"/>
      <c r="G11" s="168" t="s">
        <v>379</v>
      </c>
    </row>
    <row r="12" spans="1:10" ht="13.5" customHeight="1">
      <c r="A12" s="309">
        <v>1</v>
      </c>
      <c r="B12" s="1107">
        <f>☆入力!AG16</f>
        <v>0</v>
      </c>
      <c r="C12" s="1108"/>
      <c r="D12" s="182">
        <f>☆入力!AH16</f>
        <v>0</v>
      </c>
      <c r="E12" s="170">
        <f ca="1">☆入力!AL16+LED計算式!X4</f>
        <v>0</v>
      </c>
      <c r="F12" s="171"/>
      <c r="G12" s="172">
        <f ca="1">ROUNDDOWN(☆入力!AK16+LED計算式!Y4,0)</f>
        <v>0</v>
      </c>
    </row>
    <row r="13" spans="1:10" ht="13.5" customHeight="1">
      <c r="A13" s="472">
        <v>2</v>
      </c>
      <c r="B13" s="1098">
        <f>☆入力!AG17</f>
        <v>0</v>
      </c>
      <c r="C13" s="1100"/>
      <c r="D13" s="183">
        <f>☆入力!AH17</f>
        <v>0</v>
      </c>
      <c r="E13" s="173">
        <f ca="1">☆入力!AL17+LED計算式!X5</f>
        <v>0</v>
      </c>
      <c r="F13" s="171"/>
      <c r="G13" s="174">
        <f ca="1">ROUNDDOWN(☆入力!AK17+LED計算式!Y5,0)</f>
        <v>0</v>
      </c>
    </row>
    <row r="14" spans="1:10" ht="13.5" customHeight="1">
      <c r="A14" s="472">
        <v>3</v>
      </c>
      <c r="B14" s="1098">
        <f>☆入力!AG18</f>
        <v>0</v>
      </c>
      <c r="C14" s="1100"/>
      <c r="D14" s="183">
        <f>☆入力!AH18</f>
        <v>0</v>
      </c>
      <c r="E14" s="173">
        <f ca="1">☆入力!AL18+LED計算式!X6</f>
        <v>0</v>
      </c>
      <c r="F14" s="171"/>
      <c r="G14" s="174">
        <f ca="1">ROUNDDOWN(☆入力!AK18+LED計算式!Y6,0)</f>
        <v>0</v>
      </c>
    </row>
    <row r="15" spans="1:10" ht="13.5" customHeight="1">
      <c r="A15" s="472">
        <v>4</v>
      </c>
      <c r="B15" s="1098">
        <f>☆入力!AG19</f>
        <v>0</v>
      </c>
      <c r="C15" s="1100"/>
      <c r="D15" s="183">
        <f>☆入力!AH19</f>
        <v>0</v>
      </c>
      <c r="E15" s="173">
        <f ca="1">☆入力!AL19+LED計算式!X7</f>
        <v>0</v>
      </c>
      <c r="F15" s="171"/>
      <c r="G15" s="174">
        <f ca="1">ROUNDDOWN(☆入力!AK19+LED計算式!Y7,0)</f>
        <v>0</v>
      </c>
    </row>
    <row r="16" spans="1:10" ht="13.5" customHeight="1">
      <c r="A16" s="472">
        <v>5</v>
      </c>
      <c r="B16" s="1098">
        <f>☆入力!AG20</f>
        <v>0</v>
      </c>
      <c r="C16" s="1100"/>
      <c r="D16" s="183">
        <f>☆入力!AH20</f>
        <v>0</v>
      </c>
      <c r="E16" s="173">
        <f ca="1">☆入力!AL20+LED計算式!X8</f>
        <v>0</v>
      </c>
      <c r="F16" s="171"/>
      <c r="G16" s="174">
        <f ca="1">ROUNDDOWN(☆入力!AK20+LED計算式!Y8,0)</f>
        <v>0</v>
      </c>
    </row>
    <row r="17" spans="1:7" ht="13.5" customHeight="1">
      <c r="A17" s="472">
        <v>6</v>
      </c>
      <c r="B17" s="1098">
        <f>☆入力!AG21</f>
        <v>0</v>
      </c>
      <c r="C17" s="1100"/>
      <c r="D17" s="183">
        <f>☆入力!AH21</f>
        <v>0</v>
      </c>
      <c r="E17" s="173">
        <f ca="1">☆入力!AL21+LED計算式!X9</f>
        <v>0</v>
      </c>
      <c r="F17" s="171"/>
      <c r="G17" s="174">
        <f ca="1">ROUNDDOWN(☆入力!AK21+LED計算式!Y9,0)</f>
        <v>0</v>
      </c>
    </row>
    <row r="18" spans="1:7" ht="13.5" customHeight="1">
      <c r="A18" s="472">
        <v>7</v>
      </c>
      <c r="B18" s="1098">
        <f>☆入力!AG22</f>
        <v>0</v>
      </c>
      <c r="C18" s="1100"/>
      <c r="D18" s="183">
        <f>☆入力!AH22</f>
        <v>0</v>
      </c>
      <c r="E18" s="173">
        <f ca="1">☆入力!AL22+LED計算式!X10</f>
        <v>0</v>
      </c>
      <c r="F18" s="171"/>
      <c r="G18" s="174">
        <f ca="1">ROUNDDOWN(☆入力!AK22+LED計算式!Y10,0)</f>
        <v>0</v>
      </c>
    </row>
    <row r="19" spans="1:7" ht="13.5" customHeight="1">
      <c r="A19" s="472">
        <v>8</v>
      </c>
      <c r="B19" s="1098">
        <f>☆入力!AG23</f>
        <v>0</v>
      </c>
      <c r="C19" s="1100"/>
      <c r="D19" s="183">
        <f>☆入力!AH23</f>
        <v>0</v>
      </c>
      <c r="E19" s="173">
        <f ca="1">☆入力!AL23+LED計算式!X11</f>
        <v>0</v>
      </c>
      <c r="F19" s="171"/>
      <c r="G19" s="174">
        <f ca="1">ROUNDDOWN(☆入力!AK23+LED計算式!Y11,0)</f>
        <v>0</v>
      </c>
    </row>
    <row r="20" spans="1:7" ht="13.5" customHeight="1">
      <c r="A20" s="472">
        <v>9</v>
      </c>
      <c r="B20" s="1098">
        <f>☆入力!AG24</f>
        <v>0</v>
      </c>
      <c r="C20" s="1100"/>
      <c r="D20" s="183">
        <f>☆入力!AH24</f>
        <v>0</v>
      </c>
      <c r="E20" s="173">
        <f ca="1">☆入力!AL24+LED計算式!X12</f>
        <v>0</v>
      </c>
      <c r="F20" s="171"/>
      <c r="G20" s="174">
        <f ca="1">ROUNDDOWN(☆入力!AK24+LED計算式!Y12,0)</f>
        <v>0</v>
      </c>
    </row>
    <row r="21" spans="1:7" ht="13.5" customHeight="1">
      <c r="A21" s="472">
        <v>10</v>
      </c>
      <c r="B21" s="1098">
        <f>☆入力!AG25</f>
        <v>0</v>
      </c>
      <c r="C21" s="1100"/>
      <c r="D21" s="183">
        <f>☆入力!AH25</f>
        <v>0</v>
      </c>
      <c r="E21" s="173">
        <f ca="1">☆入力!AL25+LED計算式!X13</f>
        <v>0</v>
      </c>
      <c r="F21" s="171"/>
      <c r="G21" s="174">
        <f ca="1">ROUNDDOWN(☆入力!AK25+LED計算式!Y13,0)</f>
        <v>0</v>
      </c>
    </row>
    <row r="22" spans="1:7" ht="13.5" customHeight="1">
      <c r="A22" s="472">
        <v>11</v>
      </c>
      <c r="B22" s="1098">
        <f>☆入力!AG26</f>
        <v>0</v>
      </c>
      <c r="C22" s="1100"/>
      <c r="D22" s="183">
        <f>☆入力!AH26</f>
        <v>0</v>
      </c>
      <c r="E22" s="173">
        <f ca="1">☆入力!AL26+LED計算式!X14</f>
        <v>0</v>
      </c>
      <c r="F22" s="171"/>
      <c r="G22" s="174">
        <f ca="1">ROUNDDOWN(☆入力!AK26+LED計算式!Y14,0)</f>
        <v>0</v>
      </c>
    </row>
    <row r="23" spans="1:7" ht="13.5" customHeight="1">
      <c r="A23" s="472">
        <v>12</v>
      </c>
      <c r="B23" s="1098">
        <f>☆入力!AG27</f>
        <v>0</v>
      </c>
      <c r="C23" s="1100"/>
      <c r="D23" s="183">
        <f>☆入力!AH27</f>
        <v>0</v>
      </c>
      <c r="E23" s="173">
        <f ca="1">☆入力!AL27+LED計算式!X15</f>
        <v>0</v>
      </c>
      <c r="F23" s="171"/>
      <c r="G23" s="174">
        <f ca="1">ROUNDDOWN(☆入力!AK27+LED計算式!Y15,0)</f>
        <v>0</v>
      </c>
    </row>
    <row r="24" spans="1:7" ht="13.5" customHeight="1">
      <c r="A24" s="472">
        <v>13</v>
      </c>
      <c r="B24" s="1098">
        <f>☆入力!AG28</f>
        <v>0</v>
      </c>
      <c r="C24" s="1100"/>
      <c r="D24" s="183">
        <f>☆入力!AH28</f>
        <v>0</v>
      </c>
      <c r="E24" s="173">
        <f ca="1">☆入力!AL28+LED計算式!X16</f>
        <v>0</v>
      </c>
      <c r="F24" s="171"/>
      <c r="G24" s="174">
        <f ca="1">ROUNDDOWN(☆入力!AK28+LED計算式!Y16,0)</f>
        <v>0</v>
      </c>
    </row>
    <row r="25" spans="1:7" ht="13.5" customHeight="1">
      <c r="A25" s="472">
        <v>14</v>
      </c>
      <c r="B25" s="1098">
        <f>☆入力!AG29</f>
        <v>0</v>
      </c>
      <c r="C25" s="1100"/>
      <c r="D25" s="183">
        <f>☆入力!AH29</f>
        <v>0</v>
      </c>
      <c r="E25" s="173">
        <f ca="1">☆入力!AL29+LED計算式!X17</f>
        <v>0</v>
      </c>
      <c r="F25" s="171"/>
      <c r="G25" s="174">
        <f ca="1">ROUNDDOWN(☆入力!AK29+LED計算式!Y17,0)</f>
        <v>0</v>
      </c>
    </row>
    <row r="26" spans="1:7" ht="13.5" customHeight="1">
      <c r="A26" s="472">
        <v>15</v>
      </c>
      <c r="B26" s="1098">
        <f>☆入力!AG30</f>
        <v>0</v>
      </c>
      <c r="C26" s="1100"/>
      <c r="D26" s="183">
        <f>☆入力!AH30</f>
        <v>0</v>
      </c>
      <c r="E26" s="173">
        <f ca="1">☆入力!AL30+LED計算式!X18</f>
        <v>0</v>
      </c>
      <c r="F26" s="171"/>
      <c r="G26" s="174">
        <f ca="1">ROUNDDOWN(☆入力!AK30+LED計算式!Y18,0)</f>
        <v>0</v>
      </c>
    </row>
    <row r="27" spans="1:7" ht="13.5" hidden="1" customHeight="1">
      <c r="A27" s="472">
        <v>16</v>
      </c>
      <c r="B27" s="1101">
        <f>☆入力!AG31</f>
        <v>0</v>
      </c>
      <c r="C27" s="1101"/>
      <c r="D27" s="183">
        <f>☆入力!AH31</f>
        <v>0</v>
      </c>
      <c r="E27" s="173">
        <f ca="1">☆入力!AL31+LED計算式!X19</f>
        <v>0</v>
      </c>
      <c r="F27" s="171"/>
      <c r="G27" s="174">
        <f ca="1">ROUNDDOWN(☆入力!AK31+LED計算式!Y19,0)</f>
        <v>0</v>
      </c>
    </row>
    <row r="28" spans="1:7" ht="13.5" hidden="1" customHeight="1">
      <c r="A28" s="472">
        <v>17</v>
      </c>
      <c r="B28" s="1101">
        <f>☆入力!AG32</f>
        <v>0</v>
      </c>
      <c r="C28" s="1101"/>
      <c r="D28" s="183">
        <f>☆入力!AH32</f>
        <v>0</v>
      </c>
      <c r="E28" s="173">
        <f ca="1">☆入力!AL32+LED計算式!X20</f>
        <v>0</v>
      </c>
      <c r="F28" s="171"/>
      <c r="G28" s="174">
        <f ca="1">ROUNDDOWN(☆入力!AK32+LED計算式!Y20,0)</f>
        <v>0</v>
      </c>
    </row>
    <row r="29" spans="1:7" ht="13.5" hidden="1" customHeight="1">
      <c r="A29" s="472">
        <v>18</v>
      </c>
      <c r="B29" s="1101">
        <f>☆入力!AG33</f>
        <v>0</v>
      </c>
      <c r="C29" s="1101"/>
      <c r="D29" s="183">
        <f>☆入力!AH33</f>
        <v>0</v>
      </c>
      <c r="E29" s="173">
        <f ca="1">☆入力!AL33+LED計算式!X21</f>
        <v>0</v>
      </c>
      <c r="F29" s="171"/>
      <c r="G29" s="174">
        <f ca="1">ROUNDDOWN(☆入力!AK33+LED計算式!Y21,0)</f>
        <v>0</v>
      </c>
    </row>
    <row r="30" spans="1:7" ht="13.5" hidden="1" customHeight="1">
      <c r="A30" s="472">
        <v>19</v>
      </c>
      <c r="B30" s="1101">
        <f>☆入力!AG34</f>
        <v>0</v>
      </c>
      <c r="C30" s="1101"/>
      <c r="D30" s="183">
        <f>☆入力!AH34</f>
        <v>0</v>
      </c>
      <c r="E30" s="173">
        <f ca="1">☆入力!AL34+LED計算式!X22</f>
        <v>0</v>
      </c>
      <c r="F30" s="171"/>
      <c r="G30" s="174">
        <f ca="1">ROUNDDOWN(☆入力!AK34+LED計算式!Y22,0)</f>
        <v>0</v>
      </c>
    </row>
    <row r="31" spans="1:7" ht="13.5" hidden="1" customHeight="1">
      <c r="A31" s="472">
        <v>20</v>
      </c>
      <c r="B31" s="1101">
        <f>☆入力!AG35</f>
        <v>0</v>
      </c>
      <c r="C31" s="1101"/>
      <c r="D31" s="183">
        <f>☆入力!AH35</f>
        <v>0</v>
      </c>
      <c r="E31" s="173">
        <f ca="1">☆入力!AL35+LED計算式!X23</f>
        <v>0</v>
      </c>
      <c r="F31" s="171"/>
      <c r="G31" s="174">
        <f ca="1">ROUNDDOWN(☆入力!AK35+LED計算式!Y23,0)</f>
        <v>0</v>
      </c>
    </row>
    <row r="32" spans="1:7" ht="13.5" customHeight="1">
      <c r="A32" s="1098">
        <f>☆入力!AH12</f>
        <v>0</v>
      </c>
      <c r="B32" s="1099"/>
      <c r="C32" s="1100"/>
      <c r="D32" s="183" t="str">
        <f>IF(☆入力!AH12&lt;&gt;"","1","")</f>
        <v/>
      </c>
      <c r="E32" s="173">
        <f>☆入力!AJ12</f>
        <v>0</v>
      </c>
      <c r="F32" s="171"/>
      <c r="G32" s="174">
        <f ca="1">ROUNDDOWN(☆入力!AK36+LED計算式!Y24,0)</f>
        <v>0</v>
      </c>
    </row>
    <row r="33" spans="1:7" ht="13.5" customHeight="1">
      <c r="A33" s="1095" t="str">
        <f>"複数棟キャンペーン割引（ "&amp;TEXT(☆入力!AR11,"0%")&amp;" OFF ）"</f>
        <v>複数棟キャンペーン割引（ 0% OFF ）</v>
      </c>
      <c r="B33" s="1096"/>
      <c r="C33" s="1097"/>
      <c r="D33" s="184">
        <v>1</v>
      </c>
      <c r="E33" s="175">
        <f ca="1">-(☆入力!AL14*☆入力!AR11)</f>
        <v>0</v>
      </c>
      <c r="F33" s="176"/>
      <c r="G33" s="177">
        <f ca="1">E33/54</f>
        <v>0</v>
      </c>
    </row>
    <row r="34" spans="1:7" ht="13.5">
      <c r="F34" s="96"/>
    </row>
    <row r="35" spans="1:7" ht="18.600000000000001" customHeight="1" thickBot="1">
      <c r="D35" s="77" t="s">
        <v>380</v>
      </c>
      <c r="E35" s="95">
        <f ca="1">ROUNDDOWN(SUM(E12:E33),0)</f>
        <v>0</v>
      </c>
      <c r="F35" s="96"/>
      <c r="G35" s="97">
        <f ca="1">ROUNDDOWN(SUM(G12:G33),0)</f>
        <v>0</v>
      </c>
    </row>
    <row r="36" spans="1:7" ht="12.75" thickTop="1">
      <c r="A36" s="106" t="s">
        <v>381</v>
      </c>
    </row>
  </sheetData>
  <mergeCells count="31">
    <mergeCell ref="E3:G3"/>
    <mergeCell ref="E4:G4"/>
    <mergeCell ref="E5:G5"/>
    <mergeCell ref="B24:C24"/>
    <mergeCell ref="A1:C2"/>
    <mergeCell ref="A3:C4"/>
    <mergeCell ref="B11:C11"/>
    <mergeCell ref="B12:C12"/>
    <mergeCell ref="B13:C13"/>
    <mergeCell ref="B22:C22"/>
    <mergeCell ref="B23:C23"/>
    <mergeCell ref="B16:C16"/>
    <mergeCell ref="B17:C17"/>
    <mergeCell ref="B18:C18"/>
    <mergeCell ref="G8:G9"/>
    <mergeCell ref="E8:E9"/>
    <mergeCell ref="E10:G10"/>
    <mergeCell ref="A33:C33"/>
    <mergeCell ref="A32:C32"/>
    <mergeCell ref="B25:C25"/>
    <mergeCell ref="B26:C26"/>
    <mergeCell ref="B27:C27"/>
    <mergeCell ref="B28:C28"/>
    <mergeCell ref="B29:C29"/>
    <mergeCell ref="B30:C30"/>
    <mergeCell ref="B31:C31"/>
    <mergeCell ref="B19:C19"/>
    <mergeCell ref="B20:C20"/>
    <mergeCell ref="B21:C21"/>
    <mergeCell ref="B14:C14"/>
    <mergeCell ref="B15:C15"/>
  </mergeCells>
  <phoneticPr fontId="2"/>
  <conditionalFormatting sqref="A32:C32">
    <cfRule type="cellIs" dxfId="70" priority="1" operator="equal">
      <formula>0</formula>
    </cfRule>
  </conditionalFormatting>
  <conditionalFormatting sqref="B12:G31 D32:G33 A33">
    <cfRule type="cellIs" dxfId="69" priority="5" operator="equal">
      <formula>0</formula>
    </cfRule>
  </conditionalFormatting>
  <conditionalFormatting sqref="G12:G32">
    <cfRule type="cellIs" dxfId="68" priority="2" operator="equal">
      <formula>0</formula>
    </cfRule>
  </conditionalFormatting>
  <dataValidations count="2">
    <dataValidation type="list" allowBlank="1" showInputMessage="1" showErrorMessage="1" sqref="G7" xr:uid="{ABF98F76-A57B-45C6-9F04-B4329B9D39A8}">
      <formula1>$I$5:$I$6</formula1>
    </dataValidation>
    <dataValidation type="list" allowBlank="1" showInputMessage="1" showErrorMessage="1" sqref="E7" xr:uid="{9A311D3A-2604-47D1-BA94-5DAE954B22D1}">
      <formula1>$I$7:$I$8</formula1>
    </dataValidation>
  </dataValidations>
  <printOptions horizontalCentered="1" verticalCentered="1"/>
  <pageMargins left="0" right="0" top="0" bottom="0" header="0" footer="0"/>
  <pageSetup paperSize="9" scale="113"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EB270-B34C-4E09-A976-B0BE9C00C7D5}">
  <sheetPr>
    <tabColor rgb="FF00B050"/>
  </sheetPr>
  <dimension ref="A1:K67"/>
  <sheetViews>
    <sheetView view="pageBreakPreview" zoomScale="80" zoomScaleNormal="85" zoomScaleSheetLayoutView="80" workbookViewId="0">
      <selection activeCell="H49" sqref="H49:I49"/>
    </sheetView>
  </sheetViews>
  <sheetFormatPr defaultColWidth="9" defaultRowHeight="12" outlineLevelRow="1"/>
  <cols>
    <col min="1" max="3" width="12.625" style="76" customWidth="1"/>
    <col min="4" max="4" width="33.125" style="76" customWidth="1"/>
    <col min="5" max="5" width="6.125" style="76" customWidth="1"/>
    <col min="6" max="6" width="17" style="76" customWidth="1"/>
    <col min="7" max="7" width="15.25" style="76" customWidth="1"/>
    <col min="8" max="8" width="12.5" style="76" customWidth="1"/>
    <col min="9" max="9" width="9" style="76"/>
    <col min="10" max="10" width="20.625" style="76" bestFit="1" customWidth="1"/>
    <col min="11" max="11" width="10.625" style="76" bestFit="1" customWidth="1"/>
    <col min="12" max="16384" width="9" style="76"/>
  </cols>
  <sheetData>
    <row r="1" spans="1:11" ht="15" customHeight="1">
      <c r="A1" s="1047" t="s">
        <v>352</v>
      </c>
      <c r="B1" s="1047"/>
      <c r="C1" s="1047"/>
      <c r="D1" s="1047"/>
      <c r="G1" s="77" t="s">
        <v>353</v>
      </c>
      <c r="H1" s="187">
        <f ca="1">TODAY()</f>
        <v>46080</v>
      </c>
    </row>
    <row r="2" spans="1:11" ht="15" customHeight="1">
      <c r="A2" s="1047"/>
      <c r="B2" s="1047"/>
      <c r="C2" s="1047"/>
      <c r="D2" s="1047"/>
      <c r="G2" s="77"/>
      <c r="H2" s="79"/>
    </row>
    <row r="3" spans="1:11" ht="15" customHeight="1">
      <c r="A3" s="1103">
        <f>☆入力!C5</f>
        <v>0</v>
      </c>
      <c r="B3" s="1103"/>
      <c r="C3" s="1103"/>
      <c r="D3" s="1103"/>
    </row>
    <row r="4" spans="1:11" ht="15" customHeight="1">
      <c r="A4" s="1104"/>
      <c r="B4" s="1104"/>
      <c r="C4" s="1104"/>
      <c r="D4" s="1104"/>
      <c r="F4" s="1065" t="str">
        <f>IF(代理店入力用!N3="",①表紙!I25,代理店入力用!N3)</f>
        <v>株式会社ニッショー</v>
      </c>
      <c r="G4" s="1065"/>
      <c r="H4" s="1065"/>
    </row>
    <row r="5" spans="1:11" ht="15" customHeight="1">
      <c r="F5" s="1102" t="str">
        <f>IF(代理店入力用!N5="",①表紙!I26,①表紙!A26)</f>
        <v>〒151-0071　東京都渋谷区本町2-6-3 D'sVARIE初台ビル3F</v>
      </c>
      <c r="G5" s="1102"/>
      <c r="H5" s="1102"/>
    </row>
    <row r="6" spans="1:11" ht="15" customHeight="1">
      <c r="A6" s="294" t="s">
        <v>354</v>
      </c>
      <c r="B6" s="106"/>
      <c r="F6" s="1102" t="str">
        <f>IF(代理店入力用!N6="",①表紙!I27,①表紙!A27)</f>
        <v>TEL：　管理担当営業所へお問い合わせ下さい。</v>
      </c>
      <c r="G6" s="1102"/>
      <c r="H6" s="1102"/>
    </row>
    <row r="7" spans="1:11" ht="15" customHeight="1">
      <c r="A7" s="294" t="s">
        <v>382</v>
      </c>
      <c r="B7" s="106"/>
    </row>
    <row r="8" spans="1:11" ht="6" customHeight="1"/>
    <row r="9" spans="1:11" ht="10.5" customHeight="1">
      <c r="A9" s="473" t="s">
        <v>87</v>
      </c>
      <c r="B9" s="473" t="s">
        <v>215</v>
      </c>
      <c r="C9" s="473" t="s">
        <v>105</v>
      </c>
      <c r="D9" s="473" t="s">
        <v>305</v>
      </c>
      <c r="E9" s="473" t="s">
        <v>38</v>
      </c>
      <c r="F9" s="473" t="s">
        <v>383</v>
      </c>
      <c r="G9" s="1114" t="s">
        <v>369</v>
      </c>
      <c r="H9" s="1114"/>
      <c r="J9" s="379" t="s">
        <v>357</v>
      </c>
      <c r="K9" s="380">
        <f ca="1">ROUNDDOWN(G57/54,0)</f>
        <v>0</v>
      </c>
    </row>
    <row r="10" spans="1:11" ht="10.5" customHeight="1">
      <c r="A10" s="149" t="str">
        <f>☆入力!B16</f>
        <v/>
      </c>
      <c r="B10" s="149">
        <f>☆入力!C16</f>
        <v>0</v>
      </c>
      <c r="C10" s="150" t="str">
        <f>IFERROR(VLOOKUP(☆入力!G16,選定!$C$3:$AG$100,11,FALSE),"")</f>
        <v/>
      </c>
      <c r="D10" s="316" t="str">
        <f>IFERROR(VLOOKUP(☆入力!G16,選定!$C$3:$AG$100,1,FALSE),"")</f>
        <v/>
      </c>
      <c r="E10" s="151">
        <f>☆入力!L16</f>
        <v>0</v>
      </c>
      <c r="F10" s="151" t="str">
        <f>IFERROR(VLOOKUP(☆入力!G16,選定!$C$3:$AG$100,7,FALSE),"")</f>
        <v/>
      </c>
      <c r="G10" s="1113" t="str">
        <f>IFERROR(F10*E10,"")</f>
        <v/>
      </c>
      <c r="H10" s="1113"/>
      <c r="J10" s="379" t="s">
        <v>360</v>
      </c>
      <c r="K10" s="380">
        <f ca="1">K9*1.1</f>
        <v>0</v>
      </c>
    </row>
    <row r="11" spans="1:11" ht="10.5" customHeight="1">
      <c r="A11" s="152" t="str">
        <f>☆入力!B17</f>
        <v/>
      </c>
      <c r="B11" s="152">
        <f>☆入力!C17</f>
        <v>0</v>
      </c>
      <c r="C11" s="152" t="str">
        <f>IFERROR(VLOOKUP(☆入力!G17,選定!$C$3:$AG$100,11,FALSE),"")</f>
        <v/>
      </c>
      <c r="D11" s="316" t="str">
        <f>IFERROR(VLOOKUP(☆入力!G17,選定!$C$3:$AG$100,1,FALSE),"")</f>
        <v/>
      </c>
      <c r="E11" s="153">
        <f>☆入力!L17</f>
        <v>0</v>
      </c>
      <c r="F11" s="151" t="str">
        <f>IFERROR(VLOOKUP(☆入力!G17,選定!$C$3:$AG$100,7,FALSE),"")</f>
        <v/>
      </c>
      <c r="G11" s="1113" t="str">
        <f t="shared" ref="G11:G39" si="0">IFERROR(F11*E11,"")</f>
        <v/>
      </c>
      <c r="H11" s="1113"/>
      <c r="J11" s="28" t="s">
        <v>363</v>
      </c>
      <c r="K11" s="381">
        <f ca="1">G57</f>
        <v>0</v>
      </c>
    </row>
    <row r="12" spans="1:11" ht="10.5" customHeight="1">
      <c r="A12" s="152" t="str">
        <f>☆入力!B18</f>
        <v/>
      </c>
      <c r="B12" s="152">
        <f>☆入力!C18</f>
        <v>0</v>
      </c>
      <c r="C12" s="152" t="str">
        <f>IFERROR(VLOOKUP(☆入力!G18,選定!$C$3:$AG$100,11,FALSE),"")</f>
        <v/>
      </c>
      <c r="D12" s="316" t="str">
        <f>IFERROR(VLOOKUP(☆入力!G18,選定!$C$3:$AG$100,1,FALSE),"")</f>
        <v/>
      </c>
      <c r="E12" s="153">
        <f>☆入力!L18</f>
        <v>0</v>
      </c>
      <c r="F12" s="151" t="str">
        <f>IFERROR(VLOOKUP(☆入力!G18,選定!$C$3:$AG$100,7,FALSE),"")</f>
        <v/>
      </c>
      <c r="G12" s="1113" t="str">
        <f t="shared" si="0"/>
        <v/>
      </c>
      <c r="H12" s="1113"/>
      <c r="J12" s="28" t="s">
        <v>364</v>
      </c>
      <c r="K12" s="381">
        <f ca="1">K11*1.1</f>
        <v>0</v>
      </c>
    </row>
    <row r="13" spans="1:11" ht="10.5" customHeight="1">
      <c r="A13" s="152" t="str">
        <f>☆入力!B19</f>
        <v/>
      </c>
      <c r="B13" s="152">
        <f>☆入力!C19</f>
        <v>0</v>
      </c>
      <c r="C13" s="152" t="str">
        <f>IFERROR(VLOOKUP(☆入力!G19,選定!$C$3:$AG$100,11,FALSE),"")</f>
        <v/>
      </c>
      <c r="D13" s="316" t="str">
        <f>IFERROR(VLOOKUP(☆入力!G19,選定!$C$3:$AG$100,1,FALSE),"")</f>
        <v/>
      </c>
      <c r="E13" s="153">
        <f>☆入力!L19</f>
        <v>0</v>
      </c>
      <c r="F13" s="151" t="str">
        <f>IFERROR(VLOOKUP(☆入力!G19,選定!$C$3:$AG$100,7,FALSE),"")</f>
        <v/>
      </c>
      <c r="G13" s="1113" t="str">
        <f t="shared" si="0"/>
        <v/>
      </c>
      <c r="H13" s="1113"/>
    </row>
    <row r="14" spans="1:11" ht="10.5" customHeight="1">
      <c r="A14" s="152" t="str">
        <f>☆入力!B20</f>
        <v/>
      </c>
      <c r="B14" s="152">
        <f>☆入力!C20</f>
        <v>0</v>
      </c>
      <c r="C14" s="152" t="str">
        <f>IFERROR(VLOOKUP(☆入力!G20,選定!$C$3:$AG$100,11,FALSE),"")</f>
        <v/>
      </c>
      <c r="D14" s="316" t="str">
        <f>IFERROR(VLOOKUP(☆入力!G20,選定!$C$3:$AG$100,1,FALSE),"")</f>
        <v/>
      </c>
      <c r="E14" s="153">
        <f>☆入力!L20</f>
        <v>0</v>
      </c>
      <c r="F14" s="151" t="str">
        <f>IFERROR(VLOOKUP(☆入力!G20,選定!$C$3:$AG$100,7,FALSE),"")</f>
        <v/>
      </c>
      <c r="G14" s="1113" t="str">
        <f t="shared" si="0"/>
        <v/>
      </c>
      <c r="H14" s="1113"/>
    </row>
    <row r="15" spans="1:11" ht="10.5" customHeight="1">
      <c r="A15" s="152" t="str">
        <f>☆入力!B21</f>
        <v/>
      </c>
      <c r="B15" s="152">
        <f>☆入力!C21</f>
        <v>0</v>
      </c>
      <c r="C15" s="152" t="str">
        <f>IFERROR(VLOOKUP(☆入力!G21,選定!$C$3:$AG$100,11,FALSE),"")</f>
        <v/>
      </c>
      <c r="D15" s="316" t="str">
        <f>IFERROR(VLOOKUP(☆入力!G21,選定!$C$3:$AG$100,1,FALSE),"")</f>
        <v/>
      </c>
      <c r="E15" s="153">
        <f>☆入力!L21</f>
        <v>0</v>
      </c>
      <c r="F15" s="151" t="str">
        <f>IFERROR(VLOOKUP(☆入力!G21,選定!$C$3:$AG$100,7,FALSE),"")</f>
        <v/>
      </c>
      <c r="G15" s="1113" t="str">
        <f t="shared" si="0"/>
        <v/>
      </c>
      <c r="H15" s="1113"/>
    </row>
    <row r="16" spans="1:11" ht="10.5" customHeight="1">
      <c r="A16" s="152" t="str">
        <f>☆入力!B22</f>
        <v/>
      </c>
      <c r="B16" s="152">
        <f>☆入力!C22</f>
        <v>0</v>
      </c>
      <c r="C16" s="152" t="str">
        <f>IFERROR(VLOOKUP(☆入力!G22,選定!$C$3:$AG$100,11,FALSE),"")</f>
        <v/>
      </c>
      <c r="D16" s="316" t="str">
        <f>IFERROR(VLOOKUP(☆入力!G22,選定!$C$3:$AG$100,1,FALSE),"")</f>
        <v/>
      </c>
      <c r="E16" s="153">
        <f>☆入力!L22</f>
        <v>0</v>
      </c>
      <c r="F16" s="151" t="str">
        <f>IFERROR(VLOOKUP(☆入力!G22,選定!$C$3:$AG$100,7,FALSE),"")</f>
        <v/>
      </c>
      <c r="G16" s="1113" t="str">
        <f t="shared" si="0"/>
        <v/>
      </c>
      <c r="H16" s="1113"/>
    </row>
    <row r="17" spans="1:8" ht="10.5" customHeight="1">
      <c r="A17" s="152" t="str">
        <f>☆入力!B23</f>
        <v/>
      </c>
      <c r="B17" s="152">
        <f>☆入力!C23</f>
        <v>0</v>
      </c>
      <c r="C17" s="152" t="str">
        <f>IFERROR(VLOOKUP(☆入力!G23,選定!$C$3:$AG$100,11,FALSE),"")</f>
        <v/>
      </c>
      <c r="D17" s="316" t="str">
        <f>IFERROR(VLOOKUP(☆入力!G23,選定!$C$3:$AG$100,1,FALSE),"")</f>
        <v/>
      </c>
      <c r="E17" s="153">
        <f>☆入力!L23</f>
        <v>0</v>
      </c>
      <c r="F17" s="151" t="str">
        <f>IFERROR(VLOOKUP(☆入力!G23,選定!$C$3:$AG$100,7,FALSE),"")</f>
        <v/>
      </c>
      <c r="G17" s="1113" t="str">
        <f t="shared" si="0"/>
        <v/>
      </c>
      <c r="H17" s="1113"/>
    </row>
    <row r="18" spans="1:8" ht="10.5" customHeight="1">
      <c r="A18" s="152" t="str">
        <f>☆入力!B24</f>
        <v/>
      </c>
      <c r="B18" s="152">
        <f>☆入力!C24</f>
        <v>0</v>
      </c>
      <c r="C18" s="152" t="str">
        <f>IFERROR(VLOOKUP(☆入力!G24,選定!$C$3:$AG$100,11,FALSE),"")</f>
        <v/>
      </c>
      <c r="D18" s="316" t="str">
        <f>IFERROR(VLOOKUP(☆入力!G24,選定!$C$3:$AG$100,1,FALSE),"")</f>
        <v/>
      </c>
      <c r="E18" s="153">
        <f>☆入力!L24</f>
        <v>0</v>
      </c>
      <c r="F18" s="151" t="str">
        <f>IFERROR(VLOOKUP(☆入力!G24,選定!$C$3:$AG$100,7,FALSE),"")</f>
        <v/>
      </c>
      <c r="G18" s="1113" t="str">
        <f t="shared" si="0"/>
        <v/>
      </c>
      <c r="H18" s="1113"/>
    </row>
    <row r="19" spans="1:8" ht="10.5" customHeight="1">
      <c r="A19" s="152" t="str">
        <f>☆入力!B25</f>
        <v/>
      </c>
      <c r="B19" s="152">
        <f>☆入力!C25</f>
        <v>0</v>
      </c>
      <c r="C19" s="152" t="str">
        <f>IFERROR(VLOOKUP(☆入力!G25,選定!$C$3:$AG$100,11,FALSE),"")</f>
        <v/>
      </c>
      <c r="D19" s="316" t="str">
        <f>IFERROR(VLOOKUP(☆入力!G25,選定!$C$3:$AG$100,1,FALSE),"")</f>
        <v/>
      </c>
      <c r="E19" s="153">
        <f>☆入力!L25</f>
        <v>0</v>
      </c>
      <c r="F19" s="151" t="str">
        <f>IFERROR(VLOOKUP(☆入力!G25,選定!$C$3:$AG$100,7,FALSE),"")</f>
        <v/>
      </c>
      <c r="G19" s="1113" t="str">
        <f t="shared" si="0"/>
        <v/>
      </c>
      <c r="H19" s="1113"/>
    </row>
    <row r="20" spans="1:8" ht="10.5" customHeight="1">
      <c r="A20" s="152" t="str">
        <f>☆入力!B26</f>
        <v/>
      </c>
      <c r="B20" s="152">
        <f>☆入力!C26</f>
        <v>0</v>
      </c>
      <c r="C20" s="152" t="str">
        <f>IFERROR(VLOOKUP(☆入力!G26,選定!$C$3:$AG$100,11,FALSE),"")</f>
        <v/>
      </c>
      <c r="D20" s="316" t="str">
        <f>IFERROR(VLOOKUP(☆入力!G26,選定!$C$3:$AG$100,1,FALSE),"")</f>
        <v/>
      </c>
      <c r="E20" s="153">
        <f>☆入力!L26</f>
        <v>0</v>
      </c>
      <c r="F20" s="151" t="str">
        <f>IFERROR(VLOOKUP(☆入力!G26,選定!$C$3:$AG$100,7,FALSE),"")</f>
        <v/>
      </c>
      <c r="G20" s="1113" t="str">
        <f t="shared" si="0"/>
        <v/>
      </c>
      <c r="H20" s="1113"/>
    </row>
    <row r="21" spans="1:8" ht="10.5" customHeight="1">
      <c r="A21" s="152" t="str">
        <f>☆入力!B27</f>
        <v/>
      </c>
      <c r="B21" s="152">
        <f>☆入力!C27</f>
        <v>0</v>
      </c>
      <c r="C21" s="152" t="str">
        <f>IFERROR(VLOOKUP(☆入力!G27,選定!$C$3:$AG$100,11,FALSE),"")</f>
        <v/>
      </c>
      <c r="D21" s="316" t="str">
        <f>IFERROR(VLOOKUP(☆入力!G27,選定!$C$3:$AG$100,1,FALSE),"")</f>
        <v/>
      </c>
      <c r="E21" s="153">
        <f>☆入力!L27</f>
        <v>0</v>
      </c>
      <c r="F21" s="151" t="str">
        <f>IFERROR(VLOOKUP(☆入力!G27,選定!$C$3:$AG$100,7,FALSE),"")</f>
        <v/>
      </c>
      <c r="G21" s="1113" t="str">
        <f t="shared" si="0"/>
        <v/>
      </c>
      <c r="H21" s="1113"/>
    </row>
    <row r="22" spans="1:8" ht="10.5" customHeight="1">
      <c r="A22" s="152" t="str">
        <f>☆入力!B28</f>
        <v/>
      </c>
      <c r="B22" s="152">
        <f>☆入力!C28</f>
        <v>0</v>
      </c>
      <c r="C22" s="152" t="str">
        <f>IFERROR(VLOOKUP(☆入力!G28,選定!$C$3:$AG$100,11,FALSE),"")</f>
        <v/>
      </c>
      <c r="D22" s="316" t="str">
        <f>IFERROR(VLOOKUP(☆入力!G28,選定!$C$3:$AG$100,1,FALSE),"")</f>
        <v/>
      </c>
      <c r="E22" s="153">
        <f>☆入力!L28</f>
        <v>0</v>
      </c>
      <c r="F22" s="151" t="str">
        <f>IFERROR(VLOOKUP(☆入力!G28,選定!$C$3:$AG$100,7,FALSE),"")</f>
        <v/>
      </c>
      <c r="G22" s="1113" t="str">
        <f t="shared" si="0"/>
        <v/>
      </c>
      <c r="H22" s="1113"/>
    </row>
    <row r="23" spans="1:8" ht="10.5" customHeight="1">
      <c r="A23" s="152" t="str">
        <f>☆入力!B29</f>
        <v/>
      </c>
      <c r="B23" s="152">
        <f>☆入力!C29</f>
        <v>0</v>
      </c>
      <c r="C23" s="152" t="str">
        <f>IFERROR(VLOOKUP(☆入力!G29,選定!$C$3:$AG$100,11,FALSE),"")</f>
        <v/>
      </c>
      <c r="D23" s="316" t="str">
        <f>IFERROR(VLOOKUP(☆入力!G29,選定!$C$3:$AG$100,1,FALSE),"")</f>
        <v/>
      </c>
      <c r="E23" s="153">
        <f>☆入力!L29</f>
        <v>0</v>
      </c>
      <c r="F23" s="151" t="str">
        <f>IFERROR(VLOOKUP(☆入力!G29,選定!$C$3:$AG$100,7,FALSE),"")</f>
        <v/>
      </c>
      <c r="G23" s="1113" t="str">
        <f t="shared" si="0"/>
        <v/>
      </c>
      <c r="H23" s="1113"/>
    </row>
    <row r="24" spans="1:8" ht="10.5" customHeight="1">
      <c r="A24" s="152" t="str">
        <f>☆入力!B30</f>
        <v/>
      </c>
      <c r="B24" s="152">
        <f>☆入力!C30</f>
        <v>0</v>
      </c>
      <c r="C24" s="152" t="str">
        <f>IFERROR(VLOOKUP(☆入力!G30,選定!$C$3:$AG$100,11,FALSE),"")</f>
        <v/>
      </c>
      <c r="D24" s="316" t="str">
        <f>IFERROR(VLOOKUP(☆入力!G30,選定!$C$3:$AG$100,1,FALSE),"")</f>
        <v/>
      </c>
      <c r="E24" s="153">
        <f>☆入力!L30</f>
        <v>0</v>
      </c>
      <c r="F24" s="151" t="str">
        <f>IFERROR(VLOOKUP(☆入力!G30,選定!$C$3:$AG$100,7,FALSE),"")</f>
        <v/>
      </c>
      <c r="G24" s="1113" t="str">
        <f t="shared" si="0"/>
        <v/>
      </c>
      <c r="H24" s="1113"/>
    </row>
    <row r="25" spans="1:8" ht="10.5" hidden="1" customHeight="1" outlineLevel="1">
      <c r="A25" s="152" t="str">
        <f>☆入力!B31</f>
        <v/>
      </c>
      <c r="B25" s="152">
        <f>☆入力!C31</f>
        <v>0</v>
      </c>
      <c r="C25" s="152" t="str">
        <f>IFERROR(VLOOKUP(☆入力!G31,選定!$C$3:$AG$100,11,FALSE),"")</f>
        <v/>
      </c>
      <c r="D25" s="316" t="str">
        <f>IFERROR(VLOOKUP(☆入力!G31,選定!$C$3:$AG$100,1,FALSE),"")</f>
        <v/>
      </c>
      <c r="E25" s="153">
        <f>☆入力!L31</f>
        <v>0</v>
      </c>
      <c r="F25" s="151" t="str">
        <f>IFERROR(VLOOKUP(☆入力!G31,選定!$C$3:$AG$100,7,FALSE),"")</f>
        <v/>
      </c>
      <c r="G25" s="1113" t="str">
        <f t="shared" si="0"/>
        <v/>
      </c>
      <c r="H25" s="1113"/>
    </row>
    <row r="26" spans="1:8" ht="10.5" hidden="1" customHeight="1" outlineLevel="1">
      <c r="A26" s="152" t="str">
        <f>☆入力!B32</f>
        <v/>
      </c>
      <c r="B26" s="152">
        <f>☆入力!C32</f>
        <v>0</v>
      </c>
      <c r="C26" s="152" t="str">
        <f>IFERROR(VLOOKUP(☆入力!G32,選定!$C$3:$AG$100,11,FALSE),"")</f>
        <v/>
      </c>
      <c r="D26" s="316" t="str">
        <f>IFERROR(VLOOKUP(☆入力!G32,選定!$C$3:$AG$100,1,FALSE),"")</f>
        <v/>
      </c>
      <c r="E26" s="153">
        <f>☆入力!L32</f>
        <v>0</v>
      </c>
      <c r="F26" s="151" t="str">
        <f>IFERROR(VLOOKUP(☆入力!G32,選定!$C$3:$AG$100,7,FALSE),"")</f>
        <v/>
      </c>
      <c r="G26" s="1113" t="str">
        <f t="shared" si="0"/>
        <v/>
      </c>
      <c r="H26" s="1113"/>
    </row>
    <row r="27" spans="1:8" ht="10.5" hidden="1" customHeight="1" outlineLevel="1">
      <c r="A27" s="152" t="str">
        <f>☆入力!B33</f>
        <v/>
      </c>
      <c r="B27" s="152">
        <f>☆入力!C33</f>
        <v>0</v>
      </c>
      <c r="C27" s="152" t="str">
        <f>IFERROR(VLOOKUP(☆入力!G33,選定!$C$3:$AG$100,11,FALSE),"")</f>
        <v/>
      </c>
      <c r="D27" s="316" t="str">
        <f>IFERROR(VLOOKUP(☆入力!G33,選定!$C$3:$AG$100,1,FALSE),"")</f>
        <v/>
      </c>
      <c r="E27" s="153">
        <f>☆入力!L33</f>
        <v>0</v>
      </c>
      <c r="F27" s="151" t="str">
        <f>IFERROR(VLOOKUP(☆入力!G33,選定!$C$3:$AG$100,7,FALSE),"")</f>
        <v/>
      </c>
      <c r="G27" s="1113" t="str">
        <f t="shared" si="0"/>
        <v/>
      </c>
      <c r="H27" s="1113"/>
    </row>
    <row r="28" spans="1:8" ht="10.35" hidden="1" customHeight="1" outlineLevel="1">
      <c r="A28" s="152" t="str">
        <f>☆入力!B34</f>
        <v/>
      </c>
      <c r="B28" s="152">
        <f>☆入力!C34</f>
        <v>0</v>
      </c>
      <c r="C28" s="152" t="str">
        <f>IFERROR(VLOOKUP(☆入力!G34,選定!$C$3:$AG$100,11,FALSE),"")</f>
        <v/>
      </c>
      <c r="D28" s="316" t="str">
        <f>IFERROR(VLOOKUP(☆入力!G34,選定!$C$3:$AG$100,1,FALSE),"")</f>
        <v/>
      </c>
      <c r="E28" s="153">
        <f>☆入力!L34</f>
        <v>0</v>
      </c>
      <c r="F28" s="151" t="str">
        <f>IFERROR(VLOOKUP(☆入力!G34,選定!$C$3:$AG$100,7,FALSE),"")</f>
        <v/>
      </c>
      <c r="G28" s="1113" t="str">
        <f t="shared" si="0"/>
        <v/>
      </c>
      <c r="H28" s="1113"/>
    </row>
    <row r="29" spans="1:8" ht="10.5" hidden="1" customHeight="1" outlineLevel="1">
      <c r="A29" s="152" t="str">
        <f>☆入力!B35</f>
        <v/>
      </c>
      <c r="B29" s="152">
        <f>☆入力!C35</f>
        <v>0</v>
      </c>
      <c r="C29" s="152" t="str">
        <f>IFERROR(VLOOKUP(☆入力!G35,選定!$C$3:$AG$100,11,FALSE),"")</f>
        <v/>
      </c>
      <c r="D29" s="316" t="str">
        <f>IFERROR(VLOOKUP(☆入力!G35,選定!$C$3:$AG$100,1,FALSE),"")</f>
        <v/>
      </c>
      <c r="E29" s="153">
        <f>☆入力!L35</f>
        <v>0</v>
      </c>
      <c r="F29" s="151" t="str">
        <f>IFERROR(VLOOKUP(☆入力!G35,選定!$C$3:$AG$100,7,FALSE),"")</f>
        <v/>
      </c>
      <c r="G29" s="1113" t="str">
        <f t="shared" si="0"/>
        <v/>
      </c>
      <c r="H29" s="1113"/>
    </row>
    <row r="30" spans="1:8" ht="10.5" hidden="1" customHeight="1" outlineLevel="1">
      <c r="A30" s="152" t="str">
        <f>☆入力!B36</f>
        <v/>
      </c>
      <c r="B30" s="152">
        <f>☆入力!C36</f>
        <v>0</v>
      </c>
      <c r="C30" s="152" t="str">
        <f>IFERROR(VLOOKUP(☆入力!G36,選定!$C$3:$AG$100,11,FALSE),"")</f>
        <v/>
      </c>
      <c r="D30" s="316" t="str">
        <f>IFERROR(VLOOKUP(☆入力!G36,選定!$C$3:$AG$100,1,FALSE),"")</f>
        <v/>
      </c>
      <c r="E30" s="153">
        <f>☆入力!L36</f>
        <v>0</v>
      </c>
      <c r="F30" s="151" t="str">
        <f>IFERROR(VLOOKUP(☆入力!G36,選定!$C$3:$AG$100,7,FALSE),"")</f>
        <v/>
      </c>
      <c r="G30" s="1113" t="str">
        <f t="shared" si="0"/>
        <v/>
      </c>
      <c r="H30" s="1113"/>
    </row>
    <row r="31" spans="1:8" ht="10.5" hidden="1" customHeight="1" outlineLevel="1">
      <c r="A31" s="152" t="str">
        <f>☆入力!B37</f>
        <v/>
      </c>
      <c r="B31" s="152">
        <f>☆入力!C37</f>
        <v>0</v>
      </c>
      <c r="C31" s="152" t="str">
        <f>IFERROR(VLOOKUP(☆入力!G37,選定!$C$3:$AG$100,11,FALSE),"")</f>
        <v/>
      </c>
      <c r="D31" s="316" t="str">
        <f>IFERROR(VLOOKUP(☆入力!G37,選定!$C$3:$AG$100,1,FALSE),"")</f>
        <v/>
      </c>
      <c r="E31" s="153">
        <f>☆入力!L37</f>
        <v>0</v>
      </c>
      <c r="F31" s="151" t="str">
        <f>IFERROR(VLOOKUP(☆入力!G37,選定!$C$3:$AG$100,7,FALSE),"")</f>
        <v/>
      </c>
      <c r="G31" s="1113" t="str">
        <f t="shared" si="0"/>
        <v/>
      </c>
      <c r="H31" s="1113"/>
    </row>
    <row r="32" spans="1:8" ht="10.5" hidden="1" customHeight="1" outlineLevel="1">
      <c r="A32" s="152" t="str">
        <f>☆入力!B38</f>
        <v/>
      </c>
      <c r="B32" s="152">
        <f>☆入力!C38</f>
        <v>0</v>
      </c>
      <c r="C32" s="152" t="str">
        <f>IFERROR(VLOOKUP(☆入力!G38,選定!$C$3:$AG$100,11,FALSE),"")</f>
        <v/>
      </c>
      <c r="D32" s="316" t="str">
        <f>IFERROR(VLOOKUP(☆入力!G38,選定!$C$3:$AG$100,1,FALSE),"")</f>
        <v/>
      </c>
      <c r="E32" s="153">
        <f>☆入力!L38</f>
        <v>0</v>
      </c>
      <c r="F32" s="151" t="str">
        <f>IFERROR(VLOOKUP(☆入力!G38,選定!$C$3:$AG$100,7,FALSE),"")</f>
        <v/>
      </c>
      <c r="G32" s="1113" t="str">
        <f t="shared" si="0"/>
        <v/>
      </c>
      <c r="H32" s="1113"/>
    </row>
    <row r="33" spans="1:8" ht="10.5" hidden="1" customHeight="1" outlineLevel="1">
      <c r="A33" s="152" t="str">
        <f>☆入力!B39</f>
        <v/>
      </c>
      <c r="B33" s="152">
        <f>☆入力!C39</f>
        <v>0</v>
      </c>
      <c r="C33" s="152" t="str">
        <f>IFERROR(VLOOKUP(☆入力!G39,選定!$C$3:$AG$100,11,FALSE),"")</f>
        <v/>
      </c>
      <c r="D33" s="316" t="str">
        <f>IFERROR(VLOOKUP(☆入力!G39,選定!$C$3:$AG$100,1,FALSE),"")</f>
        <v/>
      </c>
      <c r="E33" s="153">
        <f>☆入力!L39</f>
        <v>0</v>
      </c>
      <c r="F33" s="151" t="str">
        <f>IFERROR(VLOOKUP(☆入力!G39,選定!$C$3:$AG$100,7,FALSE),"")</f>
        <v/>
      </c>
      <c r="G33" s="1113" t="str">
        <f t="shared" si="0"/>
        <v/>
      </c>
      <c r="H33" s="1113"/>
    </row>
    <row r="34" spans="1:8" ht="10.5" hidden="1" customHeight="1" outlineLevel="1">
      <c r="A34" s="154" t="str">
        <f>☆入力!B40</f>
        <v/>
      </c>
      <c r="B34" s="154">
        <f>☆入力!C40</f>
        <v>0</v>
      </c>
      <c r="C34" s="152" t="str">
        <f>IFERROR(VLOOKUP(☆入力!G40,選定!$C$3:$AG$100,11,FALSE),"")</f>
        <v/>
      </c>
      <c r="D34" s="316" t="str">
        <f>IFERROR(VLOOKUP(☆入力!G40,選定!$C$3:$AG$100,1,FALSE),"")</f>
        <v/>
      </c>
      <c r="E34" s="155">
        <f>☆入力!L40</f>
        <v>0</v>
      </c>
      <c r="F34" s="151" t="str">
        <f>IFERROR(VLOOKUP(☆入力!G40,選定!$C$3:$AG$100,7,FALSE),"")</f>
        <v/>
      </c>
      <c r="G34" s="1113" t="str">
        <f t="shared" si="0"/>
        <v/>
      </c>
      <c r="H34" s="1113"/>
    </row>
    <row r="35" spans="1:8" ht="10.5" hidden="1" customHeight="1" outlineLevel="1">
      <c r="A35" s="154" t="str">
        <f>☆入力!B41</f>
        <v/>
      </c>
      <c r="B35" s="154">
        <f>☆入力!C41</f>
        <v>0</v>
      </c>
      <c r="C35" s="152" t="str">
        <f>IFERROR(VLOOKUP(☆入力!G41,選定!$C$3:$AG$100,11,FALSE),"")</f>
        <v/>
      </c>
      <c r="D35" s="316" t="str">
        <f>IFERROR(VLOOKUP(☆入力!G41,選定!$C$3:$AG$100,1,FALSE),"")</f>
        <v/>
      </c>
      <c r="E35" s="155">
        <f>☆入力!L41</f>
        <v>0</v>
      </c>
      <c r="F35" s="151" t="str">
        <f>IFERROR(VLOOKUP(☆入力!G41,選定!$C$3:$AG$100,7,FALSE),"")</f>
        <v/>
      </c>
      <c r="G35" s="1113" t="str">
        <f t="shared" si="0"/>
        <v/>
      </c>
      <c r="H35" s="1113"/>
    </row>
    <row r="36" spans="1:8" ht="10.5" hidden="1" customHeight="1" outlineLevel="1">
      <c r="A36" s="154" t="str">
        <f>☆入力!B42</f>
        <v/>
      </c>
      <c r="B36" s="154">
        <f>☆入力!C42</f>
        <v>0</v>
      </c>
      <c r="C36" s="152" t="str">
        <f>IFERROR(VLOOKUP(☆入力!G42,選定!$C$3:$AG$100,11,FALSE),"")</f>
        <v/>
      </c>
      <c r="D36" s="316" t="str">
        <f>IFERROR(VLOOKUP(☆入力!G42,選定!$C$3:$AG$100,1,FALSE),"")</f>
        <v/>
      </c>
      <c r="E36" s="155">
        <f>☆入力!L42</f>
        <v>0</v>
      </c>
      <c r="F36" s="151" t="str">
        <f>IFERROR(VLOOKUP(☆入力!G42,選定!$C$3:$AG$100,7,FALSE),"")</f>
        <v/>
      </c>
      <c r="G36" s="1113" t="str">
        <f t="shared" si="0"/>
        <v/>
      </c>
      <c r="H36" s="1113"/>
    </row>
    <row r="37" spans="1:8" ht="10.5" hidden="1" customHeight="1" outlineLevel="1">
      <c r="A37" s="154" t="str">
        <f>☆入力!B43</f>
        <v/>
      </c>
      <c r="B37" s="154">
        <f>☆入力!C43</f>
        <v>0</v>
      </c>
      <c r="C37" s="152" t="str">
        <f>IFERROR(VLOOKUP(☆入力!G43,選定!$C$3:$AG$100,11,FALSE),"")</f>
        <v/>
      </c>
      <c r="D37" s="316" t="str">
        <f>IFERROR(VLOOKUP(☆入力!G43,選定!$C$3:$AG$100,1,FALSE),"")</f>
        <v/>
      </c>
      <c r="E37" s="155">
        <f>☆入力!L43</f>
        <v>0</v>
      </c>
      <c r="F37" s="151" t="str">
        <f>IFERROR(VLOOKUP(☆入力!G43,選定!$C$3:$AG$100,7,FALSE),"")</f>
        <v/>
      </c>
      <c r="G37" s="1113" t="str">
        <f t="shared" si="0"/>
        <v/>
      </c>
      <c r="H37" s="1113"/>
    </row>
    <row r="38" spans="1:8" ht="10.5" hidden="1" customHeight="1" outlineLevel="1">
      <c r="A38" s="154" t="str">
        <f>☆入力!B44</f>
        <v/>
      </c>
      <c r="B38" s="154">
        <f>☆入力!C44</f>
        <v>0</v>
      </c>
      <c r="C38" s="152" t="str">
        <f>IFERROR(VLOOKUP(☆入力!G44,選定!$C$3:$AG$100,11,FALSE),"")</f>
        <v/>
      </c>
      <c r="D38" s="316" t="str">
        <f>IFERROR(VLOOKUP(☆入力!G44,選定!$C$3:$AG$100,1,FALSE),"")</f>
        <v/>
      </c>
      <c r="E38" s="155">
        <f>☆入力!L44</f>
        <v>0</v>
      </c>
      <c r="F38" s="151" t="str">
        <f>IFERROR(VLOOKUP(☆入力!G44,選定!$C$3:$AG$100,7,FALSE),"")</f>
        <v/>
      </c>
      <c r="G38" s="1113" t="str">
        <f t="shared" si="0"/>
        <v/>
      </c>
      <c r="H38" s="1113"/>
    </row>
    <row r="39" spans="1:8" ht="10.5" hidden="1" customHeight="1" outlineLevel="1">
      <c r="A39" s="154" t="str">
        <f>☆入力!B45</f>
        <v/>
      </c>
      <c r="B39" s="154">
        <f>☆入力!C45</f>
        <v>0</v>
      </c>
      <c r="C39" s="160" t="str">
        <f>IFERROR(VLOOKUP(☆入力!G45,選定!$C$3:$AG$100,11,FALSE),"")</f>
        <v/>
      </c>
      <c r="D39" s="316" t="str">
        <f>IFERROR(VLOOKUP(☆入力!G45,選定!$C$3:$AG$100,1,FALSE),"")</f>
        <v/>
      </c>
      <c r="E39" s="155">
        <f>☆入力!L45</f>
        <v>0</v>
      </c>
      <c r="F39" s="151" t="str">
        <f>IFERROR(VLOOKUP(☆入力!G45,選定!$C$3:$AG$100,7,FALSE),"")</f>
        <v/>
      </c>
      <c r="G39" s="1113" t="str">
        <f t="shared" si="0"/>
        <v/>
      </c>
      <c r="H39" s="1113"/>
    </row>
    <row r="40" spans="1:8" ht="10.5" customHeight="1" collapsed="1">
      <c r="A40" s="1115" t="s">
        <v>369</v>
      </c>
      <c r="B40" s="1116"/>
      <c r="C40" s="1116"/>
      <c r="D40" s="1117"/>
      <c r="E40" s="156">
        <v>1</v>
      </c>
      <c r="F40" s="157"/>
      <c r="G40" s="1118">
        <f>SUM(G10:H39)</f>
        <v>0</v>
      </c>
      <c r="H40" s="1119"/>
    </row>
    <row r="41" spans="1:8" ht="10.5" customHeight="1">
      <c r="A41" s="1120" t="s">
        <v>384</v>
      </c>
      <c r="B41" s="1121"/>
      <c r="C41" s="1121"/>
      <c r="D41" s="1122"/>
      <c r="E41" s="158">
        <v>1</v>
      </c>
      <c r="F41" s="159"/>
      <c r="G41" s="1123">
        <f ca="1">(☆入力!AL14+代理店入力用!D5)-SUM(G40,G46:H54)</f>
        <v>-28000</v>
      </c>
      <c r="H41" s="1124"/>
    </row>
    <row r="42" spans="1:8" ht="10.5" customHeight="1">
      <c r="A42" s="1120" t="str">
        <f>"複数棟キャンペーン割引（ "&amp;TEXT(☆入力!AR11,"0%")&amp;" ＯＦＦ）"</f>
        <v>複数棟キャンペーン割引（ 0% ＯＦＦ）</v>
      </c>
      <c r="B42" s="1121"/>
      <c r="C42" s="1121"/>
      <c r="D42" s="1122"/>
      <c r="E42" s="158">
        <v>1</v>
      </c>
      <c r="F42" s="159"/>
      <c r="G42" s="1123">
        <f ca="1">-(☆入力!AL14*☆入力!AR11)</f>
        <v>0</v>
      </c>
      <c r="H42" s="1124"/>
    </row>
    <row r="43" spans="1:8" ht="10.5" customHeight="1" thickBot="1">
      <c r="A43" s="117"/>
      <c r="B43" s="117"/>
      <c r="C43" s="117"/>
      <c r="D43" s="118"/>
      <c r="E43" s="119"/>
      <c r="F43" s="123" t="s">
        <v>385</v>
      </c>
      <c r="G43" s="1125">
        <f ca="1">SUM(G40:H42)</f>
        <v>-28000</v>
      </c>
      <c r="H43" s="1125"/>
    </row>
    <row r="44" spans="1:8" ht="10.5" customHeight="1" thickTop="1">
      <c r="A44" s="113"/>
      <c r="B44" s="113"/>
      <c r="C44" s="113"/>
      <c r="D44" s="114"/>
      <c r="E44" s="115"/>
      <c r="F44" s="115"/>
      <c r="G44" s="116"/>
      <c r="H44" s="116"/>
    </row>
    <row r="45" spans="1:8" ht="10.5" customHeight="1">
      <c r="A45" s="1126" t="s">
        <v>386</v>
      </c>
      <c r="B45" s="1127"/>
      <c r="C45" s="1127"/>
      <c r="D45" s="1128"/>
      <c r="E45" s="473" t="s">
        <v>200</v>
      </c>
      <c r="F45" s="473" t="s">
        <v>368</v>
      </c>
      <c r="G45" s="1114" t="s">
        <v>369</v>
      </c>
      <c r="H45" s="1114"/>
    </row>
    <row r="46" spans="1:8" ht="10.5" customHeight="1">
      <c r="A46" s="1129" t="s">
        <v>387</v>
      </c>
      <c r="B46" s="1130"/>
      <c r="C46" s="1130"/>
      <c r="D46" s="1131"/>
      <c r="E46" s="151">
        <f>VLOOKUP(☆入力!L14,LED計算式!M21:N26,2,TRUE)</f>
        <v>1</v>
      </c>
      <c r="F46" s="151">
        <v>20000</v>
      </c>
      <c r="G46" s="1113">
        <f t="shared" ref="G46:G47" si="1">IFERROR(F46*E46,"")</f>
        <v>20000</v>
      </c>
      <c r="H46" s="1113"/>
    </row>
    <row r="47" spans="1:8" ht="10.35" customHeight="1">
      <c r="A47" s="1133" t="s">
        <v>388</v>
      </c>
      <c r="B47" s="1134"/>
      <c r="C47" s="1134"/>
      <c r="D47" s="1135"/>
      <c r="E47" s="153">
        <f>LED計算式!O36</f>
        <v>0</v>
      </c>
      <c r="F47" s="153">
        <v>3000</v>
      </c>
      <c r="G47" s="1141">
        <f t="shared" si="1"/>
        <v>0</v>
      </c>
      <c r="H47" s="1141"/>
    </row>
    <row r="48" spans="1:8" ht="10.35" hidden="1" customHeight="1" outlineLevel="1">
      <c r="A48" s="1133" t="s">
        <v>389</v>
      </c>
      <c r="B48" s="1134"/>
      <c r="C48" s="1134"/>
      <c r="D48" s="1135"/>
      <c r="E48" s="153">
        <f>LED計算式!O37</f>
        <v>0</v>
      </c>
      <c r="F48" s="153">
        <v>4500</v>
      </c>
      <c r="G48" s="1141">
        <f t="shared" ref="G48:G54" si="2">IFERROR(F48*E48,"")</f>
        <v>0</v>
      </c>
      <c r="H48" s="1141"/>
    </row>
    <row r="49" spans="1:9" ht="10.35" hidden="1" customHeight="1" outlineLevel="1">
      <c r="A49" s="1133" t="s">
        <v>390</v>
      </c>
      <c r="B49" s="1134"/>
      <c r="C49" s="1134"/>
      <c r="D49" s="1135"/>
      <c r="E49" s="153">
        <f>LED計算式!O38</f>
        <v>0</v>
      </c>
      <c r="F49" s="153">
        <v>2000</v>
      </c>
      <c r="G49" s="1141">
        <f t="shared" si="2"/>
        <v>0</v>
      </c>
      <c r="H49" s="1141"/>
    </row>
    <row r="50" spans="1:9" ht="10.35" hidden="1" customHeight="1" outlineLevel="1">
      <c r="A50" s="1133" t="s">
        <v>391</v>
      </c>
      <c r="B50" s="1134"/>
      <c r="C50" s="1134"/>
      <c r="D50" s="1135"/>
      <c r="E50" s="153">
        <f>LED計算式!O39</f>
        <v>0</v>
      </c>
      <c r="F50" s="153">
        <v>600</v>
      </c>
      <c r="G50" s="1141">
        <f t="shared" si="2"/>
        <v>0</v>
      </c>
      <c r="H50" s="1141"/>
    </row>
    <row r="51" spans="1:9" ht="10.5" customHeight="1" collapsed="1">
      <c r="A51" s="1133" t="s">
        <v>392</v>
      </c>
      <c r="B51" s="1134"/>
      <c r="C51" s="1134"/>
      <c r="D51" s="1135"/>
      <c r="E51" s="153">
        <f>COUNTA(☆入力!AG16:AG45)</f>
        <v>1</v>
      </c>
      <c r="F51" s="153">
        <v>3000</v>
      </c>
      <c r="G51" s="1141">
        <f t="shared" si="2"/>
        <v>3000</v>
      </c>
      <c r="H51" s="1141"/>
    </row>
    <row r="52" spans="1:9" ht="10.5" customHeight="1">
      <c r="A52" s="1133" t="s">
        <v>393</v>
      </c>
      <c r="B52" s="1134"/>
      <c r="C52" s="1134"/>
      <c r="D52" s="1135"/>
      <c r="E52" s="153">
        <f>SUM(E47:E49)</f>
        <v>0</v>
      </c>
      <c r="F52" s="153">
        <v>1000</v>
      </c>
      <c r="G52" s="1141">
        <f t="shared" si="2"/>
        <v>0</v>
      </c>
      <c r="H52" s="1141"/>
    </row>
    <row r="53" spans="1:9" ht="10.5" customHeight="1">
      <c r="A53" s="1133" t="s">
        <v>394</v>
      </c>
      <c r="B53" s="1134"/>
      <c r="C53" s="1134"/>
      <c r="D53" s="1135"/>
      <c r="E53" s="153">
        <f>COUNTA(☆入力!AG16:AG45)</f>
        <v>1</v>
      </c>
      <c r="F53" s="153">
        <v>5000</v>
      </c>
      <c r="G53" s="1141">
        <f t="shared" si="2"/>
        <v>5000</v>
      </c>
      <c r="H53" s="1141"/>
    </row>
    <row r="54" spans="1:9" ht="10.5" customHeight="1">
      <c r="A54" s="1136">
        <f>☆入力!AH12</f>
        <v>0</v>
      </c>
      <c r="B54" s="1137"/>
      <c r="C54" s="1137"/>
      <c r="D54" s="1138"/>
      <c r="E54" s="161" t="str">
        <f>IF(☆入力!AH12&lt;&gt;"","1","")</f>
        <v/>
      </c>
      <c r="F54" s="162">
        <f>☆入力!AJ12</f>
        <v>0</v>
      </c>
      <c r="G54" s="1141" t="str">
        <f t="shared" si="2"/>
        <v/>
      </c>
      <c r="H54" s="1141"/>
    </row>
    <row r="55" spans="1:9" ht="10.5" customHeight="1" thickBot="1">
      <c r="A55" s="1538"/>
      <c r="B55" s="1538"/>
      <c r="C55" s="1538"/>
      <c r="D55" s="1538"/>
      <c r="E55" s="106"/>
      <c r="F55" s="123" t="s">
        <v>395</v>
      </c>
      <c r="G55" s="1125">
        <f>SUM(G46:H54)</f>
        <v>28000</v>
      </c>
      <c r="H55" s="1125"/>
    </row>
    <row r="56" spans="1:9" ht="12.75" thickTop="1">
      <c r="A56" s="1132" t="s">
        <v>372</v>
      </c>
      <c r="B56" s="1132"/>
      <c r="C56" s="1132"/>
      <c r="D56" s="1132"/>
      <c r="E56" s="106"/>
      <c r="F56" s="106"/>
      <c r="G56" s="106"/>
      <c r="H56" s="106"/>
    </row>
    <row r="57" spans="1:9" ht="10.35" customHeight="1" thickBot="1">
      <c r="A57" s="1153" t="str">
        <f>☆入力!AH4</f>
        <v>生産終了品などがあった場合、同メーカーもしくは他メーカーの同等品に変更される場合がございます。</v>
      </c>
      <c r="B57" s="1154"/>
      <c r="C57" s="1154"/>
      <c r="D57" s="1155"/>
      <c r="E57" s="106"/>
      <c r="F57" s="120" t="s">
        <v>396</v>
      </c>
      <c r="G57" s="1142">
        <f ca="1">ROUNDDOWN(G43+G55,0)</f>
        <v>0</v>
      </c>
      <c r="H57" s="1142"/>
    </row>
    <row r="58" spans="1:9" ht="10.35" customHeight="1" thickTop="1" thickBot="1">
      <c r="A58" s="1156"/>
      <c r="B58" s="1157"/>
      <c r="C58" s="1157"/>
      <c r="D58" s="1158"/>
    </row>
    <row r="59" spans="1:9" ht="10.35" customHeight="1">
      <c r="A59" s="1156" t="str">
        <f>☆入力!AH5</f>
        <v>新しい照明器具が、既設よりも一回り小さくなるケースがあり、その際は外壁塗装面が露出する</v>
      </c>
      <c r="B59" s="1157"/>
      <c r="C59" s="1157"/>
      <c r="D59" s="1158"/>
      <c r="F59" s="1151" t="s">
        <v>397</v>
      </c>
      <c r="G59" s="1143">
        <f ca="1">VLOOKUP(F59,J11:K12,2,FALSE)</f>
        <v>0</v>
      </c>
      <c r="H59" s="1144"/>
    </row>
    <row r="60" spans="1:9" ht="10.35" customHeight="1" thickBot="1">
      <c r="A60" s="1156"/>
      <c r="B60" s="1157"/>
      <c r="C60" s="1157"/>
      <c r="D60" s="1158"/>
      <c r="F60" s="1152"/>
      <c r="G60" s="1145"/>
      <c r="H60" s="1146"/>
    </row>
    <row r="61" spans="1:9" ht="10.35" customHeight="1">
      <c r="A61" s="1156" t="str">
        <f>☆入力!AH6</f>
        <v>可能性がございます。</v>
      </c>
      <c r="B61" s="1157"/>
      <c r="C61" s="1157"/>
      <c r="D61" s="1158"/>
      <c r="F61" s="1147" t="s">
        <v>357</v>
      </c>
      <c r="G61" s="1149">
        <f ca="1">VLOOKUP(F61,J9:K10,2,FALSE)</f>
        <v>0</v>
      </c>
      <c r="H61" s="1139" t="s">
        <v>398</v>
      </c>
    </row>
    <row r="62" spans="1:9" ht="10.35" customHeight="1" thickBot="1">
      <c r="A62" s="1159"/>
      <c r="B62" s="1160"/>
      <c r="C62" s="1160"/>
      <c r="D62" s="1161"/>
      <c r="F62" s="1148"/>
      <c r="G62" s="1150"/>
      <c r="H62" s="1140"/>
    </row>
    <row r="63" spans="1:9" ht="18" customHeight="1">
      <c r="F63" s="232" t="s">
        <v>399</v>
      </c>
      <c r="I63" s="383" t="s">
        <v>365</v>
      </c>
    </row>
    <row r="64" spans="1:9" ht="10.15" customHeight="1"/>
    <row r="65" ht="10.15" customHeight="1"/>
    <row r="66" ht="10.15" customHeight="1"/>
    <row r="67" ht="10.15" customHeight="1"/>
  </sheetData>
  <mergeCells count="75">
    <mergeCell ref="G47:H47"/>
    <mergeCell ref="G51:H51"/>
    <mergeCell ref="G52:H52"/>
    <mergeCell ref="A47:D47"/>
    <mergeCell ref="A51:D51"/>
    <mergeCell ref="A52:D52"/>
    <mergeCell ref="G48:H48"/>
    <mergeCell ref="G49:H49"/>
    <mergeCell ref="G50:H50"/>
    <mergeCell ref="A48:D48"/>
    <mergeCell ref="A49:D49"/>
    <mergeCell ref="A50:D50"/>
    <mergeCell ref="A56:D56"/>
    <mergeCell ref="A53:D53"/>
    <mergeCell ref="A54:D54"/>
    <mergeCell ref="A55:D55"/>
    <mergeCell ref="H61:H62"/>
    <mergeCell ref="G53:H53"/>
    <mergeCell ref="G54:H54"/>
    <mergeCell ref="G55:H55"/>
    <mergeCell ref="G57:H57"/>
    <mergeCell ref="G59:H60"/>
    <mergeCell ref="F61:F62"/>
    <mergeCell ref="G61:G62"/>
    <mergeCell ref="F59:F60"/>
    <mergeCell ref="A57:D58"/>
    <mergeCell ref="A59:D60"/>
    <mergeCell ref="A61:D62"/>
    <mergeCell ref="G45:H45"/>
    <mergeCell ref="G46:H46"/>
    <mergeCell ref="A42:D42"/>
    <mergeCell ref="G42:H42"/>
    <mergeCell ref="A45:D45"/>
    <mergeCell ref="A46:D46"/>
    <mergeCell ref="A40:D40"/>
    <mergeCell ref="G40:H40"/>
    <mergeCell ref="A41:D41"/>
    <mergeCell ref="G41:H41"/>
    <mergeCell ref="G43:H43"/>
    <mergeCell ref="G29:H29"/>
    <mergeCell ref="G31:H31"/>
    <mergeCell ref="G32:H32"/>
    <mergeCell ref="G33:H33"/>
    <mergeCell ref="G34:H34"/>
    <mergeCell ref="G30:H30"/>
    <mergeCell ref="G24:H24"/>
    <mergeCell ref="G25:H25"/>
    <mergeCell ref="G26:H26"/>
    <mergeCell ref="G27:H27"/>
    <mergeCell ref="G28:H28"/>
    <mergeCell ref="G19:H19"/>
    <mergeCell ref="G20:H20"/>
    <mergeCell ref="G21:H21"/>
    <mergeCell ref="G22:H22"/>
    <mergeCell ref="G23:H23"/>
    <mergeCell ref="G18:H18"/>
    <mergeCell ref="A1:D2"/>
    <mergeCell ref="A3:D4"/>
    <mergeCell ref="G9:H9"/>
    <mergeCell ref="G10:H10"/>
    <mergeCell ref="G11:H11"/>
    <mergeCell ref="G12:H12"/>
    <mergeCell ref="G13:H13"/>
    <mergeCell ref="G14:H14"/>
    <mergeCell ref="G15:H15"/>
    <mergeCell ref="G16:H16"/>
    <mergeCell ref="G17:H17"/>
    <mergeCell ref="F4:H4"/>
    <mergeCell ref="F5:H5"/>
    <mergeCell ref="F6:H6"/>
    <mergeCell ref="G35:H35"/>
    <mergeCell ref="G36:H36"/>
    <mergeCell ref="G37:H37"/>
    <mergeCell ref="G38:H38"/>
    <mergeCell ref="G39:H39"/>
  </mergeCells>
  <phoneticPr fontId="2"/>
  <conditionalFormatting sqref="A57 A59 A61">
    <cfRule type="cellIs" dxfId="67" priority="2" operator="equal">
      <formula>0</formula>
    </cfRule>
  </conditionalFormatting>
  <conditionalFormatting sqref="A10:C39">
    <cfRule type="cellIs" dxfId="66" priority="1" operator="equal">
      <formula>0</formula>
    </cfRule>
  </conditionalFormatting>
  <conditionalFormatting sqref="C43:C44">
    <cfRule type="cellIs" dxfId="65" priority="3" operator="equal">
      <formula>0</formula>
    </cfRule>
  </conditionalFormatting>
  <dataValidations count="2">
    <dataValidation type="list" allowBlank="1" showInputMessage="1" showErrorMessage="1" sqref="F59:F60" xr:uid="{E010D948-C7F0-4EAB-A5BB-FB077D2AFBA0}">
      <formula1>$J$11:$J$12</formula1>
    </dataValidation>
    <dataValidation type="list" allowBlank="1" showInputMessage="1" showErrorMessage="1" sqref="F61:F62" xr:uid="{14C392B0-01F3-4300-82A6-E7886C6DD140}">
      <formula1>$J$9:$J$10</formula1>
    </dataValidation>
  </dataValidations>
  <printOptions horizontalCentered="1" verticalCentered="1"/>
  <pageMargins left="0" right="0" top="0" bottom="0" header="0" footer="0"/>
  <pageSetup paperSize="9" scale="96"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C39EE-AA8A-4C3B-BAD7-6056D99FA1EA}">
  <sheetPr>
    <tabColor rgb="FF00B050"/>
  </sheetPr>
  <dimension ref="A1:J62"/>
  <sheetViews>
    <sheetView view="pageBreakPreview" zoomScale="80" zoomScaleNormal="85" zoomScaleSheetLayoutView="80" workbookViewId="0">
      <selection activeCell="H49" sqref="H49:I49"/>
    </sheetView>
  </sheetViews>
  <sheetFormatPr defaultColWidth="9" defaultRowHeight="12" outlineLevelRow="1"/>
  <cols>
    <col min="1" max="1" width="13.625" style="76" customWidth="1"/>
    <col min="2" max="2" width="20.25" style="76" customWidth="1"/>
    <col min="3" max="3" width="37.125" style="76" customWidth="1"/>
    <col min="4" max="4" width="8.75" style="76" customWidth="1"/>
    <col min="5" max="5" width="18" style="76" customWidth="1"/>
    <col min="6" max="6" width="13.5" style="76" customWidth="1"/>
    <col min="7" max="7" width="15.5" style="76" bestFit="1" customWidth="1"/>
    <col min="8" max="8" width="9" style="76"/>
    <col min="9" max="9" width="18.75" style="76" customWidth="1"/>
    <col min="10" max="10" width="11.25" style="76" customWidth="1"/>
    <col min="11" max="11" width="10.625" style="76" bestFit="1" customWidth="1"/>
    <col min="12" max="16384" width="9" style="76"/>
  </cols>
  <sheetData>
    <row r="1" spans="1:10" ht="15" customHeight="1">
      <c r="A1" s="1047" t="s">
        <v>352</v>
      </c>
      <c r="B1" s="1047"/>
      <c r="C1" s="1047"/>
      <c r="F1" s="77" t="s">
        <v>353</v>
      </c>
      <c r="G1" s="78">
        <f ca="1">TODAY()</f>
        <v>46080</v>
      </c>
    </row>
    <row r="2" spans="1:10" ht="15" customHeight="1">
      <c r="A2" s="1047"/>
      <c r="B2" s="1047"/>
      <c r="C2" s="1047"/>
      <c r="F2" s="77"/>
      <c r="G2" s="79"/>
    </row>
    <row r="3" spans="1:10" ht="15" customHeight="1">
      <c r="A3" s="1103">
        <f>☆入力!C5</f>
        <v>0</v>
      </c>
      <c r="B3" s="1103"/>
      <c r="C3" s="1103"/>
    </row>
    <row r="4" spans="1:10" ht="15" customHeight="1">
      <c r="A4" s="1104"/>
      <c r="B4" s="1104"/>
      <c r="C4" s="1104"/>
      <c r="E4" s="1065" t="str">
        <f>IF(代理店入力用!N3="",①表紙!I25,代理店入力用!N3)</f>
        <v>株式会社ニッショー</v>
      </c>
      <c r="F4" s="1065"/>
      <c r="G4" s="1065"/>
    </row>
    <row r="5" spans="1:10" ht="15" customHeight="1">
      <c r="E5" s="1066" t="str">
        <f>IF(代理店入力用!N5="",①表紙!I26,①表紙!A26)</f>
        <v>〒151-0071　東京都渋谷区本町2-6-3 D'sVARIE初台ビル3F</v>
      </c>
      <c r="F5" s="1066"/>
      <c r="G5" s="1066"/>
    </row>
    <row r="6" spans="1:10" ht="15" customHeight="1">
      <c r="A6" s="106" t="s">
        <v>354</v>
      </c>
      <c r="E6" s="1066" t="str">
        <f>IF(代理店入力用!N6="",①表紙!I27,①表紙!A27)</f>
        <v>TEL：　管理担当営業所へお問い合わせ下さい。</v>
      </c>
      <c r="F6" s="1066"/>
      <c r="G6" s="1066"/>
    </row>
    <row r="7" spans="1:10" ht="15" customHeight="1">
      <c r="A7" s="106" t="s">
        <v>382</v>
      </c>
    </row>
    <row r="8" spans="1:10" ht="6" customHeight="1"/>
    <row r="9" spans="1:10" ht="10.5" customHeight="1">
      <c r="A9" s="473" t="s">
        <v>366</v>
      </c>
      <c r="B9" s="473" t="s">
        <v>105</v>
      </c>
      <c r="C9" s="473" t="s">
        <v>305</v>
      </c>
      <c r="D9" s="473" t="s">
        <v>38</v>
      </c>
      <c r="E9" s="473" t="s">
        <v>383</v>
      </c>
      <c r="F9" s="1114" t="s">
        <v>369</v>
      </c>
      <c r="G9" s="1114"/>
      <c r="I9" s="379" t="s">
        <v>357</v>
      </c>
      <c r="J9" s="382">
        <f ca="1">ROUNDDOWN(F56/54,0)</f>
        <v>0</v>
      </c>
    </row>
    <row r="10" spans="1:10" ht="10.5" customHeight="1">
      <c r="A10" s="149">
        <v>1</v>
      </c>
      <c r="B10" s="150" t="str">
        <f>IFERROR(VLOOKUP(☆入力!G16,選定!$C$3:$AG$100,11,FALSE),"")</f>
        <v/>
      </c>
      <c r="C10" s="316" t="str">
        <f>IFERROR(VLOOKUP(☆入力!G16,選定!$C$3:$AG$100,1,FALSE),"")</f>
        <v/>
      </c>
      <c r="D10" s="151">
        <f>☆入力!L16</f>
        <v>0</v>
      </c>
      <c r="E10" s="151" t="str">
        <f>IFERROR(VLOOKUP(☆入力!G16,選定!$C$3:$AG$100,7,FALSE),"")</f>
        <v/>
      </c>
      <c r="F10" s="1113" t="str">
        <f>IFERROR(E10*D10,"")</f>
        <v/>
      </c>
      <c r="G10" s="1113"/>
      <c r="I10" s="379" t="s">
        <v>360</v>
      </c>
      <c r="J10" s="382">
        <f ca="1">J9*1.1</f>
        <v>0</v>
      </c>
    </row>
    <row r="11" spans="1:10" ht="10.5" customHeight="1">
      <c r="A11" s="152">
        <v>2</v>
      </c>
      <c r="B11" s="152" t="str">
        <f>IFERROR(VLOOKUP(☆入力!G17,選定!$C$3:$AG$100,11,FALSE),"")</f>
        <v/>
      </c>
      <c r="C11" s="316" t="str">
        <f>IFERROR(VLOOKUP(☆入力!G17,選定!$C$3:$AG$100,1,FALSE),"")</f>
        <v/>
      </c>
      <c r="D11" s="153">
        <f>☆入力!L17</f>
        <v>0</v>
      </c>
      <c r="E11" s="151" t="str">
        <f>IFERROR(VLOOKUP(☆入力!G17,選定!$C$3:$AG$100,7,FALSE),"")</f>
        <v/>
      </c>
      <c r="F11" s="1179" t="str">
        <f t="shared" ref="F11:F39" si="0">IFERROR(E11*D11,"")</f>
        <v/>
      </c>
      <c r="G11" s="1180"/>
      <c r="I11" s="28" t="s">
        <v>363</v>
      </c>
      <c r="J11" s="382">
        <f ca="1">F56</f>
        <v>0</v>
      </c>
    </row>
    <row r="12" spans="1:10" ht="10.5" customHeight="1">
      <c r="A12" s="152">
        <v>3</v>
      </c>
      <c r="B12" s="152" t="str">
        <f>IFERROR(VLOOKUP(☆入力!G18,選定!$C$3:$AG$100,11,FALSE),"")</f>
        <v/>
      </c>
      <c r="C12" s="316" t="str">
        <f>IFERROR(VLOOKUP(☆入力!G18,選定!$C$3:$AG$100,1,FALSE),"")</f>
        <v/>
      </c>
      <c r="D12" s="153">
        <f>☆入力!L18</f>
        <v>0</v>
      </c>
      <c r="E12" s="151" t="str">
        <f>IFERROR(VLOOKUP(☆入力!G18,選定!$C$3:$AG$100,7,FALSE),"")</f>
        <v/>
      </c>
      <c r="F12" s="1179" t="str">
        <f t="shared" si="0"/>
        <v/>
      </c>
      <c r="G12" s="1180"/>
      <c r="I12" s="28" t="s">
        <v>364</v>
      </c>
      <c r="J12" s="382">
        <f ca="1">J11*1.1</f>
        <v>0</v>
      </c>
    </row>
    <row r="13" spans="1:10" ht="10.5" customHeight="1">
      <c r="A13" s="152">
        <v>4</v>
      </c>
      <c r="B13" s="152" t="str">
        <f>IFERROR(VLOOKUP(☆入力!G19,選定!$C$3:$AG$100,11,FALSE),"")</f>
        <v/>
      </c>
      <c r="C13" s="317" t="str">
        <f>IFERROR(VLOOKUP(☆入力!G19,選定!$C$3:$AG$100,1,FALSE),"")</f>
        <v/>
      </c>
      <c r="D13" s="153">
        <f>☆入力!L19</f>
        <v>0</v>
      </c>
      <c r="E13" s="151" t="str">
        <f>IFERROR(VLOOKUP(☆入力!G19,選定!$C$3:$AG$100,7,FALSE),"")</f>
        <v/>
      </c>
      <c r="F13" s="1177" t="str">
        <f t="shared" si="0"/>
        <v/>
      </c>
      <c r="G13" s="1178"/>
    </row>
    <row r="14" spans="1:10" ht="10.5" customHeight="1">
      <c r="A14" s="152">
        <v>5</v>
      </c>
      <c r="B14" s="152" t="str">
        <f>IFERROR(VLOOKUP(☆入力!G20,選定!$C$3:$AG$100,11,FALSE),"")</f>
        <v/>
      </c>
      <c r="C14" s="317" t="str">
        <f>IFERROR(VLOOKUP(☆入力!G20,選定!$C$3:$AG$100,1,FALSE),"")</f>
        <v/>
      </c>
      <c r="D14" s="153">
        <f>☆入力!L20</f>
        <v>0</v>
      </c>
      <c r="E14" s="151" t="str">
        <f>IFERROR(VLOOKUP(☆入力!G20,選定!$C$3:$AG$100,7,FALSE),"")</f>
        <v/>
      </c>
      <c r="F14" s="1177" t="str">
        <f t="shared" si="0"/>
        <v/>
      </c>
      <c r="G14" s="1178"/>
    </row>
    <row r="15" spans="1:10" ht="10.5" customHeight="1">
      <c r="A15" s="152">
        <v>6</v>
      </c>
      <c r="B15" s="152" t="str">
        <f>IFERROR(VLOOKUP(☆入力!G21,選定!$C$3:$AG$100,11,FALSE),"")</f>
        <v/>
      </c>
      <c r="C15" s="317" t="str">
        <f>IFERROR(VLOOKUP(☆入力!G21,選定!$C$3:$AG$100,1,FALSE),"")</f>
        <v/>
      </c>
      <c r="D15" s="153">
        <f>☆入力!L21</f>
        <v>0</v>
      </c>
      <c r="E15" s="151" t="str">
        <f>IFERROR(VLOOKUP(☆入力!G21,選定!$C$3:$AG$100,7,FALSE),"")</f>
        <v/>
      </c>
      <c r="F15" s="1177" t="str">
        <f t="shared" si="0"/>
        <v/>
      </c>
      <c r="G15" s="1178"/>
    </row>
    <row r="16" spans="1:10" ht="10.5" customHeight="1">
      <c r="A16" s="152">
        <v>7</v>
      </c>
      <c r="B16" s="152" t="str">
        <f>IFERROR(VLOOKUP(☆入力!G22,選定!$C$3:$AG$100,11,FALSE),"")</f>
        <v/>
      </c>
      <c r="C16" s="317" t="str">
        <f>IFERROR(VLOOKUP(☆入力!G22,選定!$C$3:$AG$100,1,FALSE),"")</f>
        <v/>
      </c>
      <c r="D16" s="153">
        <f>☆入力!L22</f>
        <v>0</v>
      </c>
      <c r="E16" s="151" t="str">
        <f>IFERROR(VLOOKUP(☆入力!G22,選定!$C$3:$AG$100,7,FALSE),"")</f>
        <v/>
      </c>
      <c r="F16" s="1177" t="str">
        <f t="shared" si="0"/>
        <v/>
      </c>
      <c r="G16" s="1178"/>
    </row>
    <row r="17" spans="1:7" ht="10.5" customHeight="1">
      <c r="A17" s="152">
        <v>8</v>
      </c>
      <c r="B17" s="152" t="str">
        <f>IFERROR(VLOOKUP(☆入力!G23,選定!$C$3:$AG$100,11,FALSE),"")</f>
        <v/>
      </c>
      <c r="C17" s="317" t="str">
        <f>IFERROR(VLOOKUP(☆入力!G23,選定!$C$3:$AG$100,1,FALSE),"")</f>
        <v/>
      </c>
      <c r="D17" s="153">
        <f>☆入力!L23</f>
        <v>0</v>
      </c>
      <c r="E17" s="151" t="str">
        <f>IFERROR(VLOOKUP(☆入力!G23,選定!$C$3:$AG$100,7,FALSE),"")</f>
        <v/>
      </c>
      <c r="F17" s="1177" t="str">
        <f t="shared" si="0"/>
        <v/>
      </c>
      <c r="G17" s="1178"/>
    </row>
    <row r="18" spans="1:7" ht="10.5" customHeight="1">
      <c r="A18" s="152">
        <v>9</v>
      </c>
      <c r="B18" s="152" t="str">
        <f>IFERROR(VLOOKUP(☆入力!G24,選定!$C$3:$AG$100,11,FALSE),"")</f>
        <v/>
      </c>
      <c r="C18" s="317" t="str">
        <f>IFERROR(VLOOKUP(☆入力!G24,選定!$C$3:$AG$100,1,FALSE),"")</f>
        <v/>
      </c>
      <c r="D18" s="153">
        <f>☆入力!L24</f>
        <v>0</v>
      </c>
      <c r="E18" s="151" t="str">
        <f>IFERROR(VLOOKUP(☆入力!G24,選定!$C$3:$AG$100,7,FALSE),"")</f>
        <v/>
      </c>
      <c r="F18" s="1177" t="str">
        <f t="shared" si="0"/>
        <v/>
      </c>
      <c r="G18" s="1178"/>
    </row>
    <row r="19" spans="1:7" ht="10.5" customHeight="1">
      <c r="A19" s="152">
        <v>10</v>
      </c>
      <c r="B19" s="152" t="str">
        <f>IFERROR(VLOOKUP(☆入力!G25,選定!$C$3:$AG$100,11,FALSE),"")</f>
        <v/>
      </c>
      <c r="C19" s="317" t="str">
        <f>IFERROR(VLOOKUP(☆入力!G25,選定!$C$3:$AG$100,1,FALSE),"")</f>
        <v/>
      </c>
      <c r="D19" s="153">
        <f>☆入力!L25</f>
        <v>0</v>
      </c>
      <c r="E19" s="151" t="str">
        <f>IFERROR(VLOOKUP(☆入力!G25,選定!$C$3:$AG$100,7,FALSE),"")</f>
        <v/>
      </c>
      <c r="F19" s="1177" t="str">
        <f t="shared" si="0"/>
        <v/>
      </c>
      <c r="G19" s="1178"/>
    </row>
    <row r="20" spans="1:7" ht="10.5" customHeight="1">
      <c r="A20" s="152">
        <v>11</v>
      </c>
      <c r="B20" s="152" t="str">
        <f>IFERROR(VLOOKUP(☆入力!G26,選定!$C$3:$AG$100,11,FALSE),"")</f>
        <v/>
      </c>
      <c r="C20" s="317" t="str">
        <f>IFERROR(VLOOKUP(☆入力!G26,選定!$C$3:$AG$100,1,FALSE),"")</f>
        <v/>
      </c>
      <c r="D20" s="153">
        <f>☆入力!L26</f>
        <v>0</v>
      </c>
      <c r="E20" s="151" t="str">
        <f>IFERROR(VLOOKUP(☆入力!G26,選定!$C$3:$AG$100,7,FALSE),"")</f>
        <v/>
      </c>
      <c r="F20" s="1177" t="str">
        <f t="shared" si="0"/>
        <v/>
      </c>
      <c r="G20" s="1178"/>
    </row>
    <row r="21" spans="1:7" ht="10.5" customHeight="1">
      <c r="A21" s="152">
        <v>12</v>
      </c>
      <c r="B21" s="152" t="str">
        <f>IFERROR(VLOOKUP(☆入力!G27,選定!$C$3:$AG$100,11,FALSE),"")</f>
        <v/>
      </c>
      <c r="C21" s="317" t="str">
        <f>IFERROR(VLOOKUP(☆入力!G27,選定!$C$3:$AG$100,1,FALSE),"")</f>
        <v/>
      </c>
      <c r="D21" s="153">
        <f>☆入力!L27</f>
        <v>0</v>
      </c>
      <c r="E21" s="151" t="str">
        <f>IFERROR(VLOOKUP(☆入力!G27,選定!$C$3:$AG$100,7,FALSE),"")</f>
        <v/>
      </c>
      <c r="F21" s="1177" t="str">
        <f t="shared" si="0"/>
        <v/>
      </c>
      <c r="G21" s="1178"/>
    </row>
    <row r="22" spans="1:7" ht="10.5" customHeight="1">
      <c r="A22" s="152">
        <v>13</v>
      </c>
      <c r="B22" s="152" t="str">
        <f>IFERROR(VLOOKUP(☆入力!G28,選定!$C$3:$AG$100,11,FALSE),"")</f>
        <v/>
      </c>
      <c r="C22" s="317" t="str">
        <f>IFERROR(VLOOKUP(☆入力!G28,選定!$C$3:$AG$100,1,FALSE),"")</f>
        <v/>
      </c>
      <c r="D22" s="153">
        <f>☆入力!L28</f>
        <v>0</v>
      </c>
      <c r="E22" s="151" t="str">
        <f>IFERROR(VLOOKUP(☆入力!G28,選定!$C$3:$AG$100,7,FALSE),"")</f>
        <v/>
      </c>
      <c r="F22" s="1177" t="str">
        <f t="shared" si="0"/>
        <v/>
      </c>
      <c r="G22" s="1178"/>
    </row>
    <row r="23" spans="1:7" ht="10.5" customHeight="1">
      <c r="A23" s="152">
        <v>14</v>
      </c>
      <c r="B23" s="152" t="str">
        <f>IFERROR(VLOOKUP(☆入力!G29,選定!$C$3:$AG$100,11,FALSE),"")</f>
        <v/>
      </c>
      <c r="C23" s="317" t="str">
        <f>IFERROR(VLOOKUP(☆入力!G29,選定!$C$3:$AG$100,1,FALSE),"")</f>
        <v/>
      </c>
      <c r="D23" s="153">
        <f>☆入力!L29</f>
        <v>0</v>
      </c>
      <c r="E23" s="151" t="str">
        <f>IFERROR(VLOOKUP(☆入力!G29,選定!$C$3:$AG$100,7,FALSE),"")</f>
        <v/>
      </c>
      <c r="F23" s="1177" t="str">
        <f t="shared" si="0"/>
        <v/>
      </c>
      <c r="G23" s="1178"/>
    </row>
    <row r="24" spans="1:7" ht="10.5" customHeight="1">
      <c r="A24" s="152">
        <v>15</v>
      </c>
      <c r="B24" s="152" t="str">
        <f>IFERROR(VLOOKUP(☆入力!G30,選定!$C$3:$AG$100,11,FALSE),"")</f>
        <v/>
      </c>
      <c r="C24" s="317" t="str">
        <f>IFERROR(VLOOKUP(☆入力!G30,選定!$C$3:$AG$100,1,FALSE),"")</f>
        <v/>
      </c>
      <c r="D24" s="153">
        <f>☆入力!L30</f>
        <v>0</v>
      </c>
      <c r="E24" s="151" t="str">
        <f>IFERROR(VLOOKUP(☆入力!G30,選定!$C$3:$AG$100,7,FALSE),"")</f>
        <v/>
      </c>
      <c r="F24" s="1177" t="str">
        <f t="shared" si="0"/>
        <v/>
      </c>
      <c r="G24" s="1178"/>
    </row>
    <row r="25" spans="1:7" ht="10.5" hidden="1" customHeight="1" outlineLevel="1">
      <c r="A25" s="152">
        <v>16</v>
      </c>
      <c r="B25" s="152" t="str">
        <f>IFERROR(VLOOKUP(☆入力!G31,選定!$C$3:$AG$100,11,FALSE),"")</f>
        <v/>
      </c>
      <c r="C25" s="317" t="str">
        <f>IFERROR(VLOOKUP(☆入力!G31,選定!$C$3:$AG$100,1,FALSE),"")</f>
        <v/>
      </c>
      <c r="D25" s="153">
        <f>☆入力!L31</f>
        <v>0</v>
      </c>
      <c r="E25" s="151" t="str">
        <f>IFERROR(VLOOKUP(☆入力!G31,選定!$C$3:$AG$100,7,FALSE),"")</f>
        <v/>
      </c>
      <c r="F25" s="1177" t="str">
        <f t="shared" si="0"/>
        <v/>
      </c>
      <c r="G25" s="1178"/>
    </row>
    <row r="26" spans="1:7" ht="10.5" hidden="1" customHeight="1" outlineLevel="1">
      <c r="A26" s="152">
        <v>17</v>
      </c>
      <c r="B26" s="152" t="str">
        <f>IFERROR(VLOOKUP(☆入力!G32,選定!$C$3:$AG$100,11,FALSE),"")</f>
        <v/>
      </c>
      <c r="C26" s="317" t="str">
        <f>IFERROR(VLOOKUP(☆入力!G32,選定!$C$3:$AG$100,1,FALSE),"")</f>
        <v/>
      </c>
      <c r="D26" s="153">
        <f>☆入力!L32</f>
        <v>0</v>
      </c>
      <c r="E26" s="151" t="str">
        <f>IFERROR(VLOOKUP(☆入力!G32,選定!$C$3:$AG$100,7,FALSE),"")</f>
        <v/>
      </c>
      <c r="F26" s="1177" t="str">
        <f t="shared" si="0"/>
        <v/>
      </c>
      <c r="G26" s="1178"/>
    </row>
    <row r="27" spans="1:7" ht="10.5" hidden="1" customHeight="1" outlineLevel="1">
      <c r="A27" s="152">
        <v>18</v>
      </c>
      <c r="B27" s="152" t="str">
        <f>IFERROR(VLOOKUP(☆入力!G33,選定!$C$3:$AG$100,11,FALSE),"")</f>
        <v/>
      </c>
      <c r="C27" s="317" t="str">
        <f>IFERROR(VLOOKUP(☆入力!G33,選定!$C$3:$AG$100,1,FALSE),"")</f>
        <v/>
      </c>
      <c r="D27" s="153">
        <f>☆入力!L33</f>
        <v>0</v>
      </c>
      <c r="E27" s="151" t="str">
        <f>IFERROR(VLOOKUP(☆入力!G33,選定!$C$3:$AG$100,7,FALSE),"")</f>
        <v/>
      </c>
      <c r="F27" s="1177" t="str">
        <f t="shared" si="0"/>
        <v/>
      </c>
      <c r="G27" s="1178"/>
    </row>
    <row r="28" spans="1:7" ht="10.5" hidden="1" customHeight="1" outlineLevel="1">
      <c r="A28" s="152">
        <v>19</v>
      </c>
      <c r="B28" s="152" t="str">
        <f>IFERROR(VLOOKUP(☆入力!G34,選定!$C$3:$AG$100,11,FALSE),"")</f>
        <v/>
      </c>
      <c r="C28" s="317" t="str">
        <f>IFERROR(VLOOKUP(☆入力!G34,選定!$C$3:$AG$100,1,FALSE),"")</f>
        <v/>
      </c>
      <c r="D28" s="153">
        <f>☆入力!L34</f>
        <v>0</v>
      </c>
      <c r="E28" s="151" t="str">
        <f>IFERROR(VLOOKUP(☆入力!G34,選定!$C$3:$AG$100,7,FALSE),"")</f>
        <v/>
      </c>
      <c r="F28" s="1177" t="str">
        <f t="shared" si="0"/>
        <v/>
      </c>
      <c r="G28" s="1178"/>
    </row>
    <row r="29" spans="1:7" ht="10.5" hidden="1" customHeight="1" outlineLevel="1">
      <c r="A29" s="152">
        <v>20</v>
      </c>
      <c r="B29" s="152" t="str">
        <f>IFERROR(VLOOKUP(☆入力!G35,選定!$C$3:$AG$100,11,FALSE),"")</f>
        <v/>
      </c>
      <c r="C29" s="317" t="str">
        <f>IFERROR(VLOOKUP(☆入力!G35,選定!$C$3:$AG$100,1,FALSE),"")</f>
        <v/>
      </c>
      <c r="D29" s="153">
        <f>☆入力!L35</f>
        <v>0</v>
      </c>
      <c r="E29" s="151" t="str">
        <f>IFERROR(VLOOKUP(☆入力!G35,選定!$C$3:$AG$100,7,FALSE),"")</f>
        <v/>
      </c>
      <c r="F29" s="1177" t="str">
        <f t="shared" si="0"/>
        <v/>
      </c>
      <c r="G29" s="1178"/>
    </row>
    <row r="30" spans="1:7" ht="10.5" hidden="1" customHeight="1" outlineLevel="1">
      <c r="A30" s="152">
        <v>21</v>
      </c>
      <c r="B30" s="152" t="str">
        <f>IFERROR(VLOOKUP(☆入力!G36,選定!$C$3:$AG$100,11,FALSE),"")</f>
        <v/>
      </c>
      <c r="C30" s="316" t="str">
        <f>IFERROR(VLOOKUP(☆入力!G36,選定!$C$3:$AG$100,1,FALSE),"")</f>
        <v/>
      </c>
      <c r="D30" s="153">
        <f>☆入力!L36</f>
        <v>0</v>
      </c>
      <c r="E30" s="151" t="str">
        <f>IFERROR(VLOOKUP(☆入力!G36,選定!$C$3:$AG$100,7,FALSE),"")</f>
        <v/>
      </c>
      <c r="F30" s="1179" t="str">
        <f t="shared" si="0"/>
        <v/>
      </c>
      <c r="G30" s="1180"/>
    </row>
    <row r="31" spans="1:7" ht="10.5" hidden="1" customHeight="1" outlineLevel="1">
      <c r="A31" s="152">
        <v>22</v>
      </c>
      <c r="B31" s="152" t="str">
        <f>IFERROR(VLOOKUP(☆入力!G37,選定!$C$3:$AG$100,11,FALSE),"")</f>
        <v/>
      </c>
      <c r="C31" s="316" t="str">
        <f>IFERROR(VLOOKUP(☆入力!G37,選定!$C$3:$AG$100,1,FALSE),"")</f>
        <v/>
      </c>
      <c r="D31" s="153">
        <f>☆入力!L37</f>
        <v>0</v>
      </c>
      <c r="E31" s="151" t="str">
        <f>IFERROR(VLOOKUP(☆入力!G37,選定!$C$3:$AG$100,7,FALSE),"")</f>
        <v/>
      </c>
      <c r="F31" s="1179" t="str">
        <f t="shared" si="0"/>
        <v/>
      </c>
      <c r="G31" s="1180"/>
    </row>
    <row r="32" spans="1:7" ht="10.5" hidden="1" customHeight="1" outlineLevel="1">
      <c r="A32" s="152">
        <v>23</v>
      </c>
      <c r="B32" s="152" t="str">
        <f>IFERROR(VLOOKUP(☆入力!G38,選定!$C$3:$AG$100,11,FALSE),"")</f>
        <v/>
      </c>
      <c r="C32" s="316" t="str">
        <f>IFERROR(VLOOKUP(☆入力!G38,選定!$C$3:$AG$100,1,FALSE),"")</f>
        <v/>
      </c>
      <c r="D32" s="153">
        <f>☆入力!L38</f>
        <v>0</v>
      </c>
      <c r="E32" s="151" t="str">
        <f>IFERROR(VLOOKUP(☆入力!G38,選定!$C$3:$AG$100,7,FALSE),"")</f>
        <v/>
      </c>
      <c r="F32" s="1179" t="str">
        <f t="shared" si="0"/>
        <v/>
      </c>
      <c r="G32" s="1180"/>
    </row>
    <row r="33" spans="1:7" ht="10.5" hidden="1" customHeight="1" outlineLevel="1">
      <c r="A33" s="152">
        <v>24</v>
      </c>
      <c r="B33" s="152" t="str">
        <f>IFERROR(VLOOKUP(☆入力!G39,選定!$C$3:$AG$100,11,FALSE),"")</f>
        <v/>
      </c>
      <c r="C33" s="308" t="str">
        <f>IFERROR(VLOOKUP(☆入力!G39,選定!$C$3:$AG$100,1,FALSE),"")</f>
        <v/>
      </c>
      <c r="D33" s="153">
        <f>☆入力!L39</f>
        <v>0</v>
      </c>
      <c r="E33" s="151" t="str">
        <f>IFERROR(VLOOKUP(☆入力!G39,選定!$C$3:$AG$100,7,FALSE),"")</f>
        <v/>
      </c>
      <c r="F33" s="1179" t="str">
        <f t="shared" si="0"/>
        <v/>
      </c>
      <c r="G33" s="1180"/>
    </row>
    <row r="34" spans="1:7" ht="10.5" hidden="1" customHeight="1" outlineLevel="1">
      <c r="A34" s="154">
        <v>25</v>
      </c>
      <c r="B34" s="154" t="str">
        <f>IFERROR(VLOOKUP(☆入力!G40,選定!$C$3:$AG$100,11,FALSE),"")</f>
        <v/>
      </c>
      <c r="C34" s="122" t="str">
        <f>IFERROR(VLOOKUP(☆入力!G40,選定!$C$3:$AG$100,1,FALSE),"")</f>
        <v/>
      </c>
      <c r="D34" s="155">
        <f>☆入力!L40</f>
        <v>0</v>
      </c>
      <c r="E34" s="151" t="str">
        <f>IFERROR(VLOOKUP(☆入力!G40,選定!$C$3:$AG$100,7,FALSE),"")</f>
        <v/>
      </c>
      <c r="F34" s="1179" t="str">
        <f t="shared" si="0"/>
        <v/>
      </c>
      <c r="G34" s="1180"/>
    </row>
    <row r="35" spans="1:7" ht="10.5" hidden="1" customHeight="1" outlineLevel="1">
      <c r="A35" s="154">
        <v>26</v>
      </c>
      <c r="B35" s="154" t="str">
        <f>IFERROR(VLOOKUP(☆入力!G41,選定!$C$3:$AG$100,11,FALSE),"")</f>
        <v/>
      </c>
      <c r="C35" s="122" t="str">
        <f>IFERROR(VLOOKUP(☆入力!G41,選定!$C$3:$AG$100,1,FALSE),"")</f>
        <v/>
      </c>
      <c r="D35" s="155">
        <f>☆入力!L41</f>
        <v>0</v>
      </c>
      <c r="E35" s="151" t="str">
        <f>IFERROR(VLOOKUP(☆入力!G41,選定!$C$3:$AG$100,7,FALSE),"")</f>
        <v/>
      </c>
      <c r="F35" s="1179" t="str">
        <f t="shared" si="0"/>
        <v/>
      </c>
      <c r="G35" s="1180"/>
    </row>
    <row r="36" spans="1:7" ht="10.5" hidden="1" customHeight="1" outlineLevel="1">
      <c r="A36" s="154">
        <v>27</v>
      </c>
      <c r="B36" s="154" t="str">
        <f>IFERROR(VLOOKUP(☆入力!G42,選定!$C$3:$AG$100,11,FALSE),"")</f>
        <v/>
      </c>
      <c r="C36" s="122" t="str">
        <f>IFERROR(VLOOKUP(☆入力!G42,選定!$C$3:$AG$100,1,FALSE),"")</f>
        <v/>
      </c>
      <c r="D36" s="155">
        <f>☆入力!L42</f>
        <v>0</v>
      </c>
      <c r="E36" s="151" t="str">
        <f>IFERROR(VLOOKUP(☆入力!G42,選定!$C$3:$AG$100,7,FALSE),"")</f>
        <v/>
      </c>
      <c r="F36" s="1179" t="str">
        <f t="shared" si="0"/>
        <v/>
      </c>
      <c r="G36" s="1180"/>
    </row>
    <row r="37" spans="1:7" ht="10.5" hidden="1" customHeight="1" outlineLevel="1">
      <c r="A37" s="154">
        <v>28</v>
      </c>
      <c r="B37" s="154" t="str">
        <f>IFERROR(VLOOKUP(☆入力!G43,選定!$C$3:$AG$100,11,FALSE),"")</f>
        <v/>
      </c>
      <c r="C37" s="122" t="str">
        <f>IFERROR(VLOOKUP(☆入力!G43,選定!$C$3:$AG$100,1,FALSE),"")</f>
        <v/>
      </c>
      <c r="D37" s="155">
        <f>☆入力!L43</f>
        <v>0</v>
      </c>
      <c r="E37" s="151" t="str">
        <f>IFERROR(VLOOKUP(☆入力!G43,選定!$C$3:$AG$100,7,FALSE),"")</f>
        <v/>
      </c>
      <c r="F37" s="1179" t="str">
        <f t="shared" si="0"/>
        <v/>
      </c>
      <c r="G37" s="1180"/>
    </row>
    <row r="38" spans="1:7" ht="10.5" hidden="1" customHeight="1" outlineLevel="1">
      <c r="A38" s="154">
        <v>29</v>
      </c>
      <c r="B38" s="154" t="str">
        <f>IFERROR(VLOOKUP(☆入力!G44,選定!$C$3:$AG$100,11,FALSE),"")</f>
        <v/>
      </c>
      <c r="C38" s="122" t="str">
        <f>IFERROR(VLOOKUP(☆入力!G44,選定!$C$3:$AG$100,1,FALSE),"")</f>
        <v/>
      </c>
      <c r="D38" s="155">
        <f>☆入力!L44</f>
        <v>0</v>
      </c>
      <c r="E38" s="151" t="str">
        <f>IFERROR(VLOOKUP(☆入力!G44,選定!$C$3:$AG$100,7,FALSE),"")</f>
        <v/>
      </c>
      <c r="F38" s="1179" t="str">
        <f t="shared" si="0"/>
        <v/>
      </c>
      <c r="G38" s="1180"/>
    </row>
    <row r="39" spans="1:7" ht="10.5" hidden="1" customHeight="1" outlineLevel="1">
      <c r="A39" s="154">
        <v>30</v>
      </c>
      <c r="B39" s="154" t="str">
        <f>IFERROR(VLOOKUP(☆入力!G45,選定!$C$3:$AG$100,11,FALSE),"")</f>
        <v/>
      </c>
      <c r="C39" s="122" t="str">
        <f>IFERROR(VLOOKUP(☆入力!G45,選定!$C$3:$AG$100,1,FALSE),"")</f>
        <v/>
      </c>
      <c r="D39" s="155">
        <f>☆入力!L45</f>
        <v>0</v>
      </c>
      <c r="E39" s="151" t="str">
        <f>IFERROR(VLOOKUP(☆入力!G45,選定!$C$3:$AG$100,7,FALSE),"")</f>
        <v/>
      </c>
      <c r="F39" s="1181" t="str">
        <f t="shared" si="0"/>
        <v/>
      </c>
      <c r="G39" s="1182"/>
    </row>
    <row r="40" spans="1:7" ht="10.5" customHeight="1" collapsed="1">
      <c r="A40" s="1115" t="s">
        <v>369</v>
      </c>
      <c r="B40" s="1116"/>
      <c r="C40" s="1117"/>
      <c r="D40" s="156">
        <v>1</v>
      </c>
      <c r="E40" s="156"/>
      <c r="F40" s="1175">
        <f>SUM(F10:G39)</f>
        <v>0</v>
      </c>
      <c r="G40" s="1175"/>
    </row>
    <row r="41" spans="1:7" ht="10.5" customHeight="1">
      <c r="A41" s="1120" t="s">
        <v>384</v>
      </c>
      <c r="B41" s="1121"/>
      <c r="C41" s="1122"/>
      <c r="D41" s="158">
        <v>1</v>
      </c>
      <c r="E41" s="158"/>
      <c r="F41" s="1176">
        <f ca="1">(☆入力!AL14+代理店入力用!D5)-SUM(F40,F45:G53)</f>
        <v>-28000</v>
      </c>
      <c r="G41" s="1176"/>
    </row>
    <row r="42" spans="1:7" ht="10.5" customHeight="1" thickBot="1">
      <c r="A42" s="117"/>
      <c r="B42" s="117"/>
      <c r="C42" s="118"/>
      <c r="D42" s="119"/>
      <c r="E42" s="123" t="s">
        <v>385</v>
      </c>
      <c r="F42" s="1125">
        <f ca="1">SUM(F40:G41)</f>
        <v>-28000</v>
      </c>
      <c r="G42" s="1125"/>
    </row>
    <row r="43" spans="1:7" ht="10.5" customHeight="1" thickTop="1">
      <c r="A43" s="113"/>
      <c r="B43" s="113"/>
      <c r="C43" s="114"/>
      <c r="D43" s="115"/>
      <c r="E43" s="115"/>
      <c r="F43" s="116"/>
      <c r="G43" s="116"/>
    </row>
    <row r="44" spans="1:7" ht="10.5" customHeight="1">
      <c r="A44" s="1126" t="s">
        <v>386</v>
      </c>
      <c r="B44" s="1127"/>
      <c r="C44" s="1128"/>
      <c r="D44" s="473" t="s">
        <v>200</v>
      </c>
      <c r="E44" s="473" t="s">
        <v>368</v>
      </c>
      <c r="F44" s="1114" t="s">
        <v>369</v>
      </c>
      <c r="G44" s="1114"/>
    </row>
    <row r="45" spans="1:7" ht="10.5" customHeight="1">
      <c r="A45" s="1129" t="s">
        <v>387</v>
      </c>
      <c r="B45" s="1130"/>
      <c r="C45" s="1131"/>
      <c r="D45" s="211">
        <f>VLOOKUP(☆入力!L14,LED計算式!M21:N27,2,TRUE)</f>
        <v>1</v>
      </c>
      <c r="E45" s="151">
        <v>20000</v>
      </c>
      <c r="F45" s="1183">
        <f t="shared" ref="F45" si="1">IFERROR(E45*D45,"")</f>
        <v>20000</v>
      </c>
      <c r="G45" s="1183"/>
    </row>
    <row r="46" spans="1:7" ht="10.5" customHeight="1">
      <c r="A46" s="1133" t="s">
        <v>388</v>
      </c>
      <c r="B46" s="1134"/>
      <c r="C46" s="1135"/>
      <c r="D46" s="153">
        <f>LED計算式!O36</f>
        <v>0</v>
      </c>
      <c r="E46" s="153">
        <v>3000</v>
      </c>
      <c r="F46" s="1113">
        <f t="shared" ref="F46:F53" si="2">IFERROR(E46*D46,"")</f>
        <v>0</v>
      </c>
      <c r="G46" s="1113"/>
    </row>
    <row r="47" spans="1:7" ht="10.5" hidden="1" customHeight="1" outlineLevel="1">
      <c r="A47" s="1172" t="s">
        <v>400</v>
      </c>
      <c r="B47" s="1173"/>
      <c r="C47" s="1174"/>
      <c r="D47" s="153">
        <f>LED計算式!O37</f>
        <v>0</v>
      </c>
      <c r="E47" s="153">
        <v>4500</v>
      </c>
      <c r="F47" s="1113">
        <f t="shared" si="2"/>
        <v>0</v>
      </c>
      <c r="G47" s="1113"/>
    </row>
    <row r="48" spans="1:7" ht="10.5" hidden="1" customHeight="1" outlineLevel="1">
      <c r="A48" s="1172" t="s">
        <v>401</v>
      </c>
      <c r="B48" s="1173"/>
      <c r="C48" s="1174"/>
      <c r="D48" s="153">
        <f>LED計算式!O38</f>
        <v>0</v>
      </c>
      <c r="E48" s="153">
        <v>2000</v>
      </c>
      <c r="F48" s="1113">
        <f t="shared" si="2"/>
        <v>0</v>
      </c>
      <c r="G48" s="1113"/>
    </row>
    <row r="49" spans="1:8" ht="10.5" hidden="1" customHeight="1" outlineLevel="1">
      <c r="A49" s="1172" t="s">
        <v>402</v>
      </c>
      <c r="B49" s="1173"/>
      <c r="C49" s="1174"/>
      <c r="D49" s="153">
        <f>LED計算式!O39</f>
        <v>0</v>
      </c>
      <c r="E49" s="153">
        <v>600</v>
      </c>
      <c r="F49" s="1113">
        <f t="shared" si="2"/>
        <v>0</v>
      </c>
      <c r="G49" s="1113"/>
    </row>
    <row r="50" spans="1:8" ht="10.5" customHeight="1" collapsed="1">
      <c r="A50" s="1133" t="s">
        <v>392</v>
      </c>
      <c r="B50" s="1134"/>
      <c r="C50" s="1135"/>
      <c r="D50" s="153">
        <f>COUNTA(☆入力!AG16:AG45)</f>
        <v>1</v>
      </c>
      <c r="E50" s="153">
        <v>3000</v>
      </c>
      <c r="F50" s="1113">
        <f t="shared" si="2"/>
        <v>3000</v>
      </c>
      <c r="G50" s="1113"/>
    </row>
    <row r="51" spans="1:8" ht="10.5" customHeight="1">
      <c r="A51" s="1133" t="s">
        <v>393</v>
      </c>
      <c r="B51" s="1134"/>
      <c r="C51" s="1135"/>
      <c r="D51" s="153">
        <f>☆入力!L14</f>
        <v>0</v>
      </c>
      <c r="E51" s="153">
        <v>1000</v>
      </c>
      <c r="F51" s="1113">
        <f t="shared" si="2"/>
        <v>0</v>
      </c>
      <c r="G51" s="1113"/>
    </row>
    <row r="52" spans="1:8" ht="10.5" customHeight="1">
      <c r="A52" s="1133" t="s">
        <v>394</v>
      </c>
      <c r="B52" s="1134"/>
      <c r="C52" s="1135"/>
      <c r="D52" s="153">
        <f>COUNTA(☆入力!AG16:AG45)</f>
        <v>1</v>
      </c>
      <c r="E52" s="153">
        <v>5000</v>
      </c>
      <c r="F52" s="1113">
        <f t="shared" si="2"/>
        <v>5000</v>
      </c>
      <c r="G52" s="1113"/>
    </row>
    <row r="53" spans="1:8" ht="10.5" customHeight="1">
      <c r="A53" s="1136">
        <f>☆入力!AH12</f>
        <v>0</v>
      </c>
      <c r="B53" s="1137"/>
      <c r="C53" s="1138"/>
      <c r="D53" s="161" t="str">
        <f>IF(☆入力!AH12&lt;&gt;"","1","")</f>
        <v/>
      </c>
      <c r="E53" s="162">
        <f>☆入力!AJ12</f>
        <v>0</v>
      </c>
      <c r="F53" s="1168" t="str">
        <f t="shared" si="2"/>
        <v/>
      </c>
      <c r="G53" s="1168"/>
    </row>
    <row r="54" spans="1:8" ht="10.5" customHeight="1" thickBot="1">
      <c r="A54" s="106"/>
      <c r="B54" s="106"/>
      <c r="C54" s="106"/>
      <c r="D54" s="106"/>
      <c r="E54" s="123" t="s">
        <v>395</v>
      </c>
      <c r="F54" s="1125">
        <f>SUM(F45:G53)</f>
        <v>28000</v>
      </c>
      <c r="G54" s="1125"/>
    </row>
    <row r="55" spans="1:8" ht="10.5" customHeight="1" thickTop="1">
      <c r="A55" s="1132" t="s">
        <v>372</v>
      </c>
      <c r="B55" s="1132"/>
      <c r="C55" s="1132"/>
      <c r="D55" s="106"/>
      <c r="E55" s="106"/>
      <c r="F55" s="106"/>
      <c r="G55" s="106"/>
    </row>
    <row r="56" spans="1:8" ht="10.5" customHeight="1" thickBot="1">
      <c r="A56" s="1169" t="str">
        <f>☆入力!AH4</f>
        <v>生産終了品などがあった場合、同メーカーもしくは他メーカーの同等品に変更される場合がございます。</v>
      </c>
      <c r="B56" s="1170"/>
      <c r="C56" s="1171"/>
      <c r="D56" s="106"/>
      <c r="E56" s="120" t="s">
        <v>396</v>
      </c>
      <c r="F56" s="1142">
        <f ca="1">ROUNDDOWN(F42+F54,0)</f>
        <v>0</v>
      </c>
      <c r="G56" s="1142"/>
    </row>
    <row r="57" spans="1:8" ht="10.15" customHeight="1" thickTop="1" thickBot="1">
      <c r="A57" s="1162"/>
      <c r="B57" s="1163"/>
      <c r="C57" s="1164"/>
      <c r="D57" s="106"/>
    </row>
    <row r="58" spans="1:8" ht="10.15" customHeight="1">
      <c r="A58" s="1162" t="str">
        <f>☆入力!AH5</f>
        <v>新しい照明器具が、既設よりも一回り小さくなるケースがあり、その際は外壁塗装面が露出する</v>
      </c>
      <c r="B58" s="1163"/>
      <c r="C58" s="1164"/>
      <c r="E58" s="1151" t="s">
        <v>397</v>
      </c>
      <c r="F58" s="1143">
        <f ca="1">VLOOKUP(E58,I11:J12,2,FALSE)</f>
        <v>0</v>
      </c>
      <c r="G58" s="1144"/>
    </row>
    <row r="59" spans="1:8" ht="10.15" customHeight="1" thickBot="1">
      <c r="A59" s="1162"/>
      <c r="B59" s="1163"/>
      <c r="C59" s="1164"/>
      <c r="E59" s="1152"/>
      <c r="F59" s="1145"/>
      <c r="G59" s="1146"/>
    </row>
    <row r="60" spans="1:8" ht="10.15" customHeight="1">
      <c r="A60" s="1162" t="str">
        <f>☆入力!AH6</f>
        <v>可能性がございます。</v>
      </c>
      <c r="B60" s="1163"/>
      <c r="C60" s="1164"/>
      <c r="E60" s="1147" t="s">
        <v>357</v>
      </c>
      <c r="F60" s="1149">
        <f ca="1">VLOOKUP(E60,I9:J10,2,FALSE)</f>
        <v>0</v>
      </c>
      <c r="G60" s="1139" t="s">
        <v>398</v>
      </c>
    </row>
    <row r="61" spans="1:8" ht="10.15" customHeight="1" thickBot="1">
      <c r="A61" s="1165"/>
      <c r="B61" s="1166"/>
      <c r="C61" s="1167"/>
      <c r="E61" s="1148"/>
      <c r="F61" s="1150"/>
      <c r="G61" s="1140"/>
    </row>
    <row r="62" spans="1:8">
      <c r="E62" s="232" t="s">
        <v>399</v>
      </c>
      <c r="H62" s="383" t="s">
        <v>365</v>
      </c>
    </row>
  </sheetData>
  <mergeCells count="72">
    <mergeCell ref="F31:G31"/>
    <mergeCell ref="F32:G32"/>
    <mergeCell ref="F33:G33"/>
    <mergeCell ref="F34:G34"/>
    <mergeCell ref="E58:E59"/>
    <mergeCell ref="F35:G35"/>
    <mergeCell ref="F36:G36"/>
    <mergeCell ref="F37:G37"/>
    <mergeCell ref="F38:G38"/>
    <mergeCell ref="F39:G39"/>
    <mergeCell ref="F47:G47"/>
    <mergeCell ref="F48:G48"/>
    <mergeCell ref="F49:G49"/>
    <mergeCell ref="F44:G44"/>
    <mergeCell ref="F45:G45"/>
    <mergeCell ref="F46:G46"/>
    <mergeCell ref="A1:C2"/>
    <mergeCell ref="A3:C4"/>
    <mergeCell ref="F9:G9"/>
    <mergeCell ref="F10:G10"/>
    <mergeCell ref="F11:G11"/>
    <mergeCell ref="E4:G4"/>
    <mergeCell ref="E5:G5"/>
    <mergeCell ref="E6:G6"/>
    <mergeCell ref="F12:G12"/>
    <mergeCell ref="F13:G13"/>
    <mergeCell ref="F14:G14"/>
    <mergeCell ref="F15:G15"/>
    <mergeCell ref="F16:G16"/>
    <mergeCell ref="F17:G17"/>
    <mergeCell ref="F30:G30"/>
    <mergeCell ref="F19:G19"/>
    <mergeCell ref="F20:G20"/>
    <mergeCell ref="F21:G21"/>
    <mergeCell ref="F22:G22"/>
    <mergeCell ref="F23:G23"/>
    <mergeCell ref="F24:G24"/>
    <mergeCell ref="F25:G25"/>
    <mergeCell ref="F26:G26"/>
    <mergeCell ref="F27:G27"/>
    <mergeCell ref="F28:G28"/>
    <mergeCell ref="F29:G29"/>
    <mergeCell ref="F18:G18"/>
    <mergeCell ref="A40:C40"/>
    <mergeCell ref="F40:G40"/>
    <mergeCell ref="A41:C41"/>
    <mergeCell ref="F41:G41"/>
    <mergeCell ref="F42:G42"/>
    <mergeCell ref="A44:C44"/>
    <mergeCell ref="A45:C45"/>
    <mergeCell ref="A46:C46"/>
    <mergeCell ref="F50:G50"/>
    <mergeCell ref="F51:G51"/>
    <mergeCell ref="F52:G52"/>
    <mergeCell ref="A50:C50"/>
    <mergeCell ref="A51:C51"/>
    <mergeCell ref="A52:C52"/>
    <mergeCell ref="A47:C47"/>
    <mergeCell ref="A48:C48"/>
    <mergeCell ref="A49:C49"/>
    <mergeCell ref="A58:C59"/>
    <mergeCell ref="A60:C61"/>
    <mergeCell ref="F53:G53"/>
    <mergeCell ref="F54:G54"/>
    <mergeCell ref="F56:G56"/>
    <mergeCell ref="A56:C57"/>
    <mergeCell ref="F58:G59"/>
    <mergeCell ref="E60:E61"/>
    <mergeCell ref="F60:F61"/>
    <mergeCell ref="G60:G61"/>
    <mergeCell ref="A55:C55"/>
    <mergeCell ref="A53:C53"/>
  </mergeCells>
  <phoneticPr fontId="2"/>
  <conditionalFormatting sqref="A56:C61">
    <cfRule type="cellIs" dxfId="64" priority="1" operator="equal">
      <formula>0</formula>
    </cfRule>
  </conditionalFormatting>
  <conditionalFormatting sqref="B10:B39 B42:B43 A56">
    <cfRule type="cellIs" dxfId="63" priority="3" operator="equal">
      <formula>0</formula>
    </cfRule>
  </conditionalFormatting>
  <dataValidations count="2">
    <dataValidation type="list" allowBlank="1" showInputMessage="1" showErrorMessage="1" sqref="E58:E59" xr:uid="{9791D8F0-A95E-4D39-B786-B66E934277D6}">
      <formula1>$I$11:$I$12</formula1>
    </dataValidation>
    <dataValidation type="list" allowBlank="1" showInputMessage="1" showErrorMessage="1" sqref="E60:E61" xr:uid="{70714A9B-F43B-4EFF-AB20-5046A69DD5CE}">
      <formula1>$I$9:$I$10</formula1>
    </dataValidation>
  </dataValidations>
  <printOptions horizontalCentered="1" verticalCentered="1"/>
  <pageMargins left="0" right="0" top="0" bottom="0" header="0" footer="0"/>
  <pageSetup paperSize="9" orientation="landscape"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60388-CAB5-4A89-A880-9BCE76A3BBD6}">
  <sheetPr>
    <tabColor rgb="FF00B050"/>
  </sheetPr>
  <dimension ref="A1:L67"/>
  <sheetViews>
    <sheetView view="pageBreakPreview" zoomScale="80" zoomScaleNormal="85" zoomScaleSheetLayoutView="80" workbookViewId="0">
      <selection activeCell="H49" sqref="H49:I49"/>
    </sheetView>
  </sheetViews>
  <sheetFormatPr defaultColWidth="9" defaultRowHeight="12" outlineLevelRow="1"/>
  <cols>
    <col min="1" max="3" width="12.625" style="76" customWidth="1"/>
    <col min="4" max="4" width="33.125" style="76" customWidth="1"/>
    <col min="5" max="5" width="2.625" style="76" bestFit="1" customWidth="1"/>
    <col min="6" max="6" width="6.125" style="76" customWidth="1"/>
    <col min="7" max="7" width="17" style="76" customWidth="1"/>
    <col min="8" max="8" width="15.25" style="76" customWidth="1"/>
    <col min="9" max="9" width="18.25" style="76" customWidth="1"/>
    <col min="10" max="10" width="9" style="76"/>
    <col min="11" max="11" width="20.625" style="76" bestFit="1" customWidth="1"/>
    <col min="12" max="12" width="10.625" style="76" bestFit="1" customWidth="1"/>
    <col min="13" max="16384" width="9" style="76"/>
  </cols>
  <sheetData>
    <row r="1" spans="1:12" ht="15" customHeight="1">
      <c r="A1" s="1047" t="s">
        <v>352</v>
      </c>
      <c r="B1" s="1047"/>
      <c r="C1" s="1047"/>
      <c r="D1" s="1047"/>
      <c r="E1" s="656"/>
      <c r="H1" s="77" t="s">
        <v>353</v>
      </c>
      <c r="I1" s="187">
        <f ca="1">TODAY()</f>
        <v>46080</v>
      </c>
    </row>
    <row r="2" spans="1:12" ht="15" customHeight="1">
      <c r="A2" s="1047"/>
      <c r="B2" s="1047"/>
      <c r="C2" s="1047"/>
      <c r="D2" s="1047"/>
      <c r="E2" s="656"/>
      <c r="H2" s="77"/>
      <c r="I2" s="79"/>
    </row>
    <row r="3" spans="1:12" ht="15" customHeight="1">
      <c r="A3" s="1103">
        <f>☆入力!C5</f>
        <v>0</v>
      </c>
      <c r="B3" s="1103"/>
      <c r="C3" s="1103"/>
      <c r="D3" s="1103"/>
      <c r="E3" s="657"/>
    </row>
    <row r="4" spans="1:12" ht="15" customHeight="1">
      <c r="A4" s="1104"/>
      <c r="B4" s="1104"/>
      <c r="C4" s="1104"/>
      <c r="D4" s="1104"/>
      <c r="E4" s="657"/>
      <c r="G4" s="1065" t="str">
        <f>IF(代理店入力用!N3="",①表紙!I25,代理店入力用!N3)</f>
        <v>株式会社ニッショー</v>
      </c>
      <c r="H4" s="1065"/>
      <c r="I4" s="1065"/>
    </row>
    <row r="5" spans="1:12" ht="15" customHeight="1">
      <c r="G5" s="1102" t="str">
        <f>IF(代理店入力用!N5="",①表紙!I26,①表紙!A26)</f>
        <v>〒151-0071　東京都渋谷区本町2-6-3 D'sVARIE初台ビル3F</v>
      </c>
      <c r="H5" s="1102"/>
      <c r="I5" s="1102"/>
    </row>
    <row r="6" spans="1:12" ht="15" customHeight="1">
      <c r="A6" s="294" t="s">
        <v>354</v>
      </c>
      <c r="B6" s="106"/>
      <c r="G6" s="1102" t="str">
        <f>IF(代理店入力用!N6="",①表紙!I27,①表紙!A27)</f>
        <v>TEL：　管理担当営業所へお問い合わせ下さい。</v>
      </c>
      <c r="H6" s="1102"/>
      <c r="I6" s="1102"/>
    </row>
    <row r="7" spans="1:12" ht="15" customHeight="1">
      <c r="A7" s="294" t="s">
        <v>382</v>
      </c>
      <c r="B7" s="106"/>
    </row>
    <row r="8" spans="1:12" ht="6" customHeight="1"/>
    <row r="9" spans="1:12" ht="10.5" customHeight="1">
      <c r="A9" s="473" t="s">
        <v>87</v>
      </c>
      <c r="B9" s="473" t="s">
        <v>215</v>
      </c>
      <c r="C9" s="473" t="s">
        <v>105</v>
      </c>
      <c r="D9" s="1126" t="s">
        <v>305</v>
      </c>
      <c r="E9" s="1128"/>
      <c r="F9" s="473" t="s">
        <v>38</v>
      </c>
      <c r="G9" s="473" t="s">
        <v>383</v>
      </c>
      <c r="H9" s="1114" t="s">
        <v>369</v>
      </c>
      <c r="I9" s="1114"/>
      <c r="K9" s="379" t="s">
        <v>357</v>
      </c>
      <c r="L9" s="380">
        <f ca="1">ROUNDDOWN(H57/54,0)</f>
        <v>0</v>
      </c>
    </row>
    <row r="10" spans="1:12" ht="10.5" customHeight="1">
      <c r="A10" s="149" t="str">
        <f>☆入力!B16</f>
        <v/>
      </c>
      <c r="B10" s="149">
        <f>☆入力!C16</f>
        <v>0</v>
      </c>
      <c r="C10" s="150" t="str">
        <f>IFERROR(VLOOKUP(☆入力!G16,選定!$C$3:$AG$100,11,FALSE),"")</f>
        <v/>
      </c>
      <c r="D10" s="663" t="str">
        <f>IFERROR(VLOOKUP(☆入力!G16,選定!$C$3:$AG$100,1,FALSE),"")</f>
        <v/>
      </c>
      <c r="E10" s="664"/>
      <c r="F10" s="151">
        <f>☆入力!L16</f>
        <v>0</v>
      </c>
      <c r="G10" s="151" t="str">
        <f>IFERROR(VLOOKUP(☆入力!G16,選定!$C$3:$AG$100,7,FALSE),"")</f>
        <v/>
      </c>
      <c r="H10" s="1113" t="str">
        <f>IFERROR(G10*F10,"")</f>
        <v/>
      </c>
      <c r="I10" s="1113"/>
      <c r="K10" s="379" t="s">
        <v>360</v>
      </c>
      <c r="L10" s="380">
        <f ca="1">L9*1.1</f>
        <v>0</v>
      </c>
    </row>
    <row r="11" spans="1:12" ht="10.5" customHeight="1">
      <c r="A11" s="152" t="str">
        <f>☆入力!B17</f>
        <v/>
      </c>
      <c r="B11" s="152">
        <f>☆入力!C17</f>
        <v>0</v>
      </c>
      <c r="C11" s="152" t="str">
        <f>IFERROR(VLOOKUP(☆入力!G17,選定!$C$3:$AG$100,11,FALSE),"")</f>
        <v/>
      </c>
      <c r="D11" s="658" t="str">
        <f>IFERROR(VLOOKUP(☆入力!G17,選定!$C$3:$AG$100,1,FALSE),"")</f>
        <v/>
      </c>
      <c r="E11" s="659"/>
      <c r="F11" s="153">
        <f>☆入力!L17</f>
        <v>0</v>
      </c>
      <c r="G11" s="151" t="str">
        <f>IFERROR(VLOOKUP(☆入力!G17,選定!$C$3:$AG$100,7,FALSE),"")</f>
        <v/>
      </c>
      <c r="H11" s="1113" t="str">
        <f t="shared" ref="H11:H39" si="0">IFERROR(G11*F11,"")</f>
        <v/>
      </c>
      <c r="I11" s="1113"/>
      <c r="K11" s="28" t="s">
        <v>363</v>
      </c>
      <c r="L11" s="381">
        <f ca="1">H57</f>
        <v>0</v>
      </c>
    </row>
    <row r="12" spans="1:12" ht="10.5" customHeight="1">
      <c r="A12" s="152" t="str">
        <f>☆入力!B18</f>
        <v/>
      </c>
      <c r="B12" s="152">
        <f>☆入力!C18</f>
        <v>0</v>
      </c>
      <c r="C12" s="152" t="str">
        <f>IFERROR(VLOOKUP(☆入力!G18,選定!$C$3:$AG$100,11,FALSE),"")</f>
        <v/>
      </c>
      <c r="D12" s="658" t="str">
        <f>IFERROR(VLOOKUP(☆入力!G18,選定!$C$3:$AG$100,1,FALSE),"")</f>
        <v/>
      </c>
      <c r="E12" s="659"/>
      <c r="F12" s="153">
        <f>☆入力!L18</f>
        <v>0</v>
      </c>
      <c r="G12" s="151" t="str">
        <f>IFERROR(VLOOKUP(☆入力!G18,選定!$C$3:$AG$100,7,FALSE),"")</f>
        <v/>
      </c>
      <c r="H12" s="1113" t="str">
        <f t="shared" si="0"/>
        <v/>
      </c>
      <c r="I12" s="1113"/>
      <c r="K12" s="28" t="s">
        <v>364</v>
      </c>
      <c r="L12" s="381">
        <f ca="1">L11*1.1</f>
        <v>0</v>
      </c>
    </row>
    <row r="13" spans="1:12" ht="10.5" customHeight="1">
      <c r="A13" s="152" t="str">
        <f>☆入力!B19</f>
        <v/>
      </c>
      <c r="B13" s="152">
        <f>☆入力!C19</f>
        <v>0</v>
      </c>
      <c r="C13" s="152" t="str">
        <f>IFERROR(VLOOKUP(☆入力!G19,選定!$C$3:$AG$100,11,FALSE),"")</f>
        <v/>
      </c>
      <c r="D13" s="658" t="str">
        <f>IFERROR(VLOOKUP(☆入力!G19,選定!$C$3:$AG$100,1,FALSE),"")</f>
        <v/>
      </c>
      <c r="E13" s="659"/>
      <c r="F13" s="153">
        <f>☆入力!L19</f>
        <v>0</v>
      </c>
      <c r="G13" s="151" t="str">
        <f>IFERROR(VLOOKUP(☆入力!G19,選定!$C$3:$AG$100,7,FALSE),"")</f>
        <v/>
      </c>
      <c r="H13" s="1113" t="str">
        <f t="shared" si="0"/>
        <v/>
      </c>
      <c r="I13" s="1113"/>
    </row>
    <row r="14" spans="1:12" ht="10.5" customHeight="1">
      <c r="A14" s="152" t="str">
        <f>☆入力!B20</f>
        <v/>
      </c>
      <c r="B14" s="152">
        <f>☆入力!C20</f>
        <v>0</v>
      </c>
      <c r="C14" s="152" t="str">
        <f>IFERROR(VLOOKUP(☆入力!G20,選定!$C$3:$AG$100,11,FALSE),"")</f>
        <v/>
      </c>
      <c r="D14" s="658" t="str">
        <f>IFERROR(VLOOKUP(☆入力!G20,選定!$C$3:$AG$100,1,FALSE),"")</f>
        <v/>
      </c>
      <c r="E14" s="659"/>
      <c r="F14" s="153">
        <f>☆入力!L20</f>
        <v>0</v>
      </c>
      <c r="G14" s="151" t="str">
        <f>IFERROR(VLOOKUP(☆入力!G20,選定!$C$3:$AG$100,7,FALSE),"")</f>
        <v/>
      </c>
      <c r="H14" s="1113" t="str">
        <f t="shared" si="0"/>
        <v/>
      </c>
      <c r="I14" s="1113"/>
    </row>
    <row r="15" spans="1:12" ht="10.5" customHeight="1">
      <c r="A15" s="152" t="str">
        <f>☆入力!B21</f>
        <v/>
      </c>
      <c r="B15" s="152">
        <f>☆入力!C21</f>
        <v>0</v>
      </c>
      <c r="C15" s="152" t="str">
        <f>IFERROR(VLOOKUP(☆入力!G21,選定!$C$3:$AG$100,11,FALSE),"")</f>
        <v/>
      </c>
      <c r="D15" s="658" t="str">
        <f>IFERROR(VLOOKUP(☆入力!G21,選定!$C$3:$AG$100,1,FALSE),"")</f>
        <v/>
      </c>
      <c r="E15" s="659"/>
      <c r="F15" s="153">
        <f>☆入力!L21</f>
        <v>0</v>
      </c>
      <c r="G15" s="151" t="str">
        <f>IFERROR(VLOOKUP(☆入力!G21,選定!$C$3:$AG$100,7,FALSE),"")</f>
        <v/>
      </c>
      <c r="H15" s="1113" t="str">
        <f t="shared" si="0"/>
        <v/>
      </c>
      <c r="I15" s="1113"/>
    </row>
    <row r="16" spans="1:12" ht="10.5" customHeight="1">
      <c r="A16" s="152" t="str">
        <f>☆入力!B22</f>
        <v/>
      </c>
      <c r="B16" s="152">
        <f>☆入力!C22</f>
        <v>0</v>
      </c>
      <c r="C16" s="152" t="str">
        <f>IFERROR(VLOOKUP(☆入力!G22,選定!$C$3:$AG$100,11,FALSE),"")</f>
        <v/>
      </c>
      <c r="D16" s="658" t="str">
        <f>IFERROR(VLOOKUP(☆入力!G22,選定!$C$3:$AG$100,1,FALSE),"")</f>
        <v/>
      </c>
      <c r="E16" s="659"/>
      <c r="F16" s="153">
        <f>☆入力!L22</f>
        <v>0</v>
      </c>
      <c r="G16" s="151" t="str">
        <f>IFERROR(VLOOKUP(☆入力!G22,選定!$C$3:$AG$100,7,FALSE),"")</f>
        <v/>
      </c>
      <c r="H16" s="1113" t="str">
        <f t="shared" si="0"/>
        <v/>
      </c>
      <c r="I16" s="1113"/>
    </row>
    <row r="17" spans="1:9" ht="10.5" customHeight="1">
      <c r="A17" s="152" t="str">
        <f>☆入力!B23</f>
        <v/>
      </c>
      <c r="B17" s="152">
        <f>☆入力!C23</f>
        <v>0</v>
      </c>
      <c r="C17" s="152" t="str">
        <f>IFERROR(VLOOKUP(☆入力!G23,選定!$C$3:$AG$100,11,FALSE),"")</f>
        <v/>
      </c>
      <c r="D17" s="658" t="str">
        <f>IFERROR(VLOOKUP(☆入力!G23,選定!$C$3:$AG$100,1,FALSE),"")</f>
        <v/>
      </c>
      <c r="E17" s="659"/>
      <c r="F17" s="153">
        <f>☆入力!L23</f>
        <v>0</v>
      </c>
      <c r="G17" s="151" t="str">
        <f>IFERROR(VLOOKUP(☆入力!G23,選定!$C$3:$AG$100,7,FALSE),"")</f>
        <v/>
      </c>
      <c r="H17" s="1113" t="str">
        <f t="shared" si="0"/>
        <v/>
      </c>
      <c r="I17" s="1113"/>
    </row>
    <row r="18" spans="1:9" ht="10.5" customHeight="1">
      <c r="A18" s="152" t="str">
        <f>☆入力!B24</f>
        <v/>
      </c>
      <c r="B18" s="152">
        <f>☆入力!C24</f>
        <v>0</v>
      </c>
      <c r="C18" s="152" t="str">
        <f>IFERROR(VLOOKUP(☆入力!G24,選定!$C$3:$AG$100,11,FALSE),"")</f>
        <v/>
      </c>
      <c r="D18" s="658" t="str">
        <f>IFERROR(VLOOKUP(☆入力!G24,選定!$C$3:$AG$100,1,FALSE),"")</f>
        <v/>
      </c>
      <c r="E18" s="659"/>
      <c r="F18" s="153">
        <f>☆入力!L24</f>
        <v>0</v>
      </c>
      <c r="G18" s="151" t="str">
        <f>IFERROR(VLOOKUP(☆入力!G24,選定!$C$3:$AG$100,7,FALSE),"")</f>
        <v/>
      </c>
      <c r="H18" s="1113" t="str">
        <f t="shared" si="0"/>
        <v/>
      </c>
      <c r="I18" s="1113"/>
    </row>
    <row r="19" spans="1:9" ht="10.5" customHeight="1">
      <c r="A19" s="152" t="str">
        <f>☆入力!B25</f>
        <v/>
      </c>
      <c r="B19" s="152">
        <f>☆入力!C25</f>
        <v>0</v>
      </c>
      <c r="C19" s="152" t="str">
        <f>IFERROR(VLOOKUP(☆入力!G25,選定!$C$3:$AG$100,11,FALSE),"")</f>
        <v/>
      </c>
      <c r="D19" s="658" t="str">
        <f>IFERROR(VLOOKUP(☆入力!G25,選定!$C$3:$AG$100,1,FALSE),"")</f>
        <v/>
      </c>
      <c r="E19" s="659"/>
      <c r="F19" s="153">
        <f>☆入力!L25</f>
        <v>0</v>
      </c>
      <c r="G19" s="151" t="str">
        <f>IFERROR(VLOOKUP(☆入力!G25,選定!$C$3:$AG$100,7,FALSE),"")</f>
        <v/>
      </c>
      <c r="H19" s="1113" t="str">
        <f t="shared" si="0"/>
        <v/>
      </c>
      <c r="I19" s="1113"/>
    </row>
    <row r="20" spans="1:9" ht="10.5" customHeight="1">
      <c r="A20" s="152" t="str">
        <f>☆入力!B26</f>
        <v/>
      </c>
      <c r="B20" s="152">
        <f>☆入力!C26</f>
        <v>0</v>
      </c>
      <c r="C20" s="152" t="str">
        <f>IFERROR(VLOOKUP(☆入力!G26,選定!$C$3:$AG$100,11,FALSE),"")</f>
        <v/>
      </c>
      <c r="D20" s="658" t="str">
        <f>IFERROR(VLOOKUP(☆入力!G26,選定!$C$3:$AG$100,1,FALSE),"")</f>
        <v/>
      </c>
      <c r="E20" s="659"/>
      <c r="F20" s="153">
        <f>☆入力!L26</f>
        <v>0</v>
      </c>
      <c r="G20" s="151" t="str">
        <f>IFERROR(VLOOKUP(☆入力!G26,選定!$C$3:$AG$100,7,FALSE),"")</f>
        <v/>
      </c>
      <c r="H20" s="1113" t="str">
        <f t="shared" si="0"/>
        <v/>
      </c>
      <c r="I20" s="1113"/>
    </row>
    <row r="21" spans="1:9" ht="10.5" customHeight="1">
      <c r="A21" s="152" t="str">
        <f>☆入力!B27</f>
        <v/>
      </c>
      <c r="B21" s="152">
        <f>☆入力!C27</f>
        <v>0</v>
      </c>
      <c r="C21" s="152" t="str">
        <f>IFERROR(VLOOKUP(☆入力!G27,選定!$C$3:$AG$100,11,FALSE),"")</f>
        <v/>
      </c>
      <c r="D21" s="658" t="str">
        <f>IFERROR(VLOOKUP(☆入力!G27,選定!$C$3:$AG$100,1,FALSE),"")</f>
        <v/>
      </c>
      <c r="E21" s="659"/>
      <c r="F21" s="153">
        <f>☆入力!L27</f>
        <v>0</v>
      </c>
      <c r="G21" s="151" t="str">
        <f>IFERROR(VLOOKUP(☆入力!G27,選定!$C$3:$AG$100,7,FALSE),"")</f>
        <v/>
      </c>
      <c r="H21" s="1113" t="str">
        <f t="shared" si="0"/>
        <v/>
      </c>
      <c r="I21" s="1113"/>
    </row>
    <row r="22" spans="1:9" ht="10.5" customHeight="1">
      <c r="A22" s="152" t="str">
        <f>☆入力!B28</f>
        <v/>
      </c>
      <c r="B22" s="152">
        <f>☆入力!C28</f>
        <v>0</v>
      </c>
      <c r="C22" s="152" t="str">
        <f>IFERROR(VLOOKUP(☆入力!G28,選定!$C$3:$AG$100,11,FALSE),"")</f>
        <v/>
      </c>
      <c r="D22" s="658" t="str">
        <f>IFERROR(VLOOKUP(☆入力!G28,選定!$C$3:$AG$100,1,FALSE),"")</f>
        <v/>
      </c>
      <c r="E22" s="659"/>
      <c r="F22" s="153">
        <f>☆入力!L28</f>
        <v>0</v>
      </c>
      <c r="G22" s="151" t="str">
        <f>IFERROR(VLOOKUP(☆入力!G28,選定!$C$3:$AG$100,7,FALSE),"")</f>
        <v/>
      </c>
      <c r="H22" s="1113" t="str">
        <f t="shared" si="0"/>
        <v/>
      </c>
      <c r="I22" s="1113"/>
    </row>
    <row r="23" spans="1:9" ht="10.5" customHeight="1">
      <c r="A23" s="152" t="str">
        <f>☆入力!B29</f>
        <v/>
      </c>
      <c r="B23" s="152">
        <f>☆入力!C29</f>
        <v>0</v>
      </c>
      <c r="C23" s="152" t="str">
        <f>IFERROR(VLOOKUP(☆入力!G29,選定!$C$3:$AG$100,11,FALSE),"")</f>
        <v/>
      </c>
      <c r="D23" s="658" t="str">
        <f>IFERROR(VLOOKUP(☆入力!G29,選定!$C$3:$AG$100,1,FALSE),"")</f>
        <v/>
      </c>
      <c r="E23" s="659"/>
      <c r="F23" s="153">
        <f>☆入力!L29</f>
        <v>0</v>
      </c>
      <c r="G23" s="151" t="str">
        <f>IFERROR(VLOOKUP(☆入力!G29,選定!$C$3:$AG$100,7,FALSE),"")</f>
        <v/>
      </c>
      <c r="H23" s="1113" t="str">
        <f t="shared" si="0"/>
        <v/>
      </c>
      <c r="I23" s="1113"/>
    </row>
    <row r="24" spans="1:9" ht="10.5" customHeight="1">
      <c r="A24" s="152" t="str">
        <f>☆入力!B30</f>
        <v/>
      </c>
      <c r="B24" s="152">
        <f>☆入力!C30</f>
        <v>0</v>
      </c>
      <c r="C24" s="152" t="str">
        <f>IFERROR(VLOOKUP(☆入力!G30,選定!$C$3:$AG$100,11,FALSE),"")</f>
        <v/>
      </c>
      <c r="D24" s="658" t="str">
        <f>IFERROR(VLOOKUP(☆入力!G30,選定!$C$3:$AG$100,1,FALSE),"")</f>
        <v/>
      </c>
      <c r="E24" s="659"/>
      <c r="F24" s="153">
        <f>☆入力!L30</f>
        <v>0</v>
      </c>
      <c r="G24" s="151" t="str">
        <f>IFERROR(VLOOKUP(☆入力!G30,選定!$C$3:$AG$100,7,FALSE),"")</f>
        <v/>
      </c>
      <c r="H24" s="1113" t="str">
        <f t="shared" si="0"/>
        <v/>
      </c>
      <c r="I24" s="1113"/>
    </row>
    <row r="25" spans="1:9" ht="10.5" hidden="1" customHeight="1" outlineLevel="1">
      <c r="A25" s="152" t="str">
        <f>☆入力!B31</f>
        <v/>
      </c>
      <c r="B25" s="152">
        <f>☆入力!C31</f>
        <v>0</v>
      </c>
      <c r="C25" s="152" t="str">
        <f>IFERROR(VLOOKUP(☆入力!G31,選定!$C$3:$AG$100,11,FALSE),"")</f>
        <v/>
      </c>
      <c r="D25" s="658" t="str">
        <f>IFERROR(VLOOKUP(☆入力!G31,選定!$C$3:$AG$100,1,FALSE),"")</f>
        <v/>
      </c>
      <c r="E25" s="659"/>
      <c r="F25" s="153">
        <f>☆入力!L31</f>
        <v>0</v>
      </c>
      <c r="G25" s="151" t="str">
        <f>IFERROR(VLOOKUP(☆入力!G31,選定!$C$3:$AG$100,7,FALSE),"")</f>
        <v/>
      </c>
      <c r="H25" s="1113" t="str">
        <f t="shared" si="0"/>
        <v/>
      </c>
      <c r="I25" s="1113"/>
    </row>
    <row r="26" spans="1:9" ht="10.5" hidden="1" customHeight="1" outlineLevel="1">
      <c r="A26" s="152" t="str">
        <f>☆入力!B32</f>
        <v/>
      </c>
      <c r="B26" s="152">
        <f>☆入力!C32</f>
        <v>0</v>
      </c>
      <c r="C26" s="152" t="str">
        <f>IFERROR(VLOOKUP(☆入力!G32,選定!$C$3:$AG$100,11,FALSE),"")</f>
        <v/>
      </c>
      <c r="D26" s="658" t="str">
        <f>IFERROR(VLOOKUP(☆入力!G32,選定!$C$3:$AG$100,1,FALSE),"")</f>
        <v/>
      </c>
      <c r="E26" s="659"/>
      <c r="F26" s="153">
        <f>☆入力!L32</f>
        <v>0</v>
      </c>
      <c r="G26" s="151" t="str">
        <f>IFERROR(VLOOKUP(☆入力!G32,選定!$C$3:$AG$100,7,FALSE),"")</f>
        <v/>
      </c>
      <c r="H26" s="1113" t="str">
        <f t="shared" si="0"/>
        <v/>
      </c>
      <c r="I26" s="1113"/>
    </row>
    <row r="27" spans="1:9" ht="10.5" hidden="1" customHeight="1" outlineLevel="1">
      <c r="A27" s="152" t="str">
        <f>☆入力!B33</f>
        <v/>
      </c>
      <c r="B27" s="152">
        <f>☆入力!C33</f>
        <v>0</v>
      </c>
      <c r="C27" s="152" t="str">
        <f>IFERROR(VLOOKUP(☆入力!G33,選定!$C$3:$AG$100,11,FALSE),"")</f>
        <v/>
      </c>
      <c r="D27" s="658" t="str">
        <f>IFERROR(VLOOKUP(☆入力!G33,選定!$C$3:$AG$100,1,FALSE),"")</f>
        <v/>
      </c>
      <c r="E27" s="659"/>
      <c r="F27" s="153">
        <f>☆入力!L33</f>
        <v>0</v>
      </c>
      <c r="G27" s="151" t="str">
        <f>IFERROR(VLOOKUP(☆入力!G33,選定!$C$3:$AG$100,7,FALSE),"")</f>
        <v/>
      </c>
      <c r="H27" s="1113" t="str">
        <f t="shared" si="0"/>
        <v/>
      </c>
      <c r="I27" s="1113"/>
    </row>
    <row r="28" spans="1:9" ht="10.35" hidden="1" customHeight="1" outlineLevel="1">
      <c r="A28" s="152" t="str">
        <f>☆入力!B34</f>
        <v/>
      </c>
      <c r="B28" s="152">
        <f>☆入力!C34</f>
        <v>0</v>
      </c>
      <c r="C28" s="152" t="str">
        <f>IFERROR(VLOOKUP(☆入力!G34,選定!$C$3:$AG$100,11,FALSE),"")</f>
        <v/>
      </c>
      <c r="D28" s="658" t="str">
        <f>IFERROR(VLOOKUP(☆入力!G34,選定!$C$3:$AG$100,1,FALSE),"")</f>
        <v/>
      </c>
      <c r="E28" s="659"/>
      <c r="F28" s="153">
        <f>☆入力!L34</f>
        <v>0</v>
      </c>
      <c r="G28" s="151" t="str">
        <f>IFERROR(VLOOKUP(☆入力!G34,選定!$C$3:$AG$100,7,FALSE),"")</f>
        <v/>
      </c>
      <c r="H28" s="1113" t="str">
        <f t="shared" si="0"/>
        <v/>
      </c>
      <c r="I28" s="1113"/>
    </row>
    <row r="29" spans="1:9" ht="10.5" hidden="1" customHeight="1" outlineLevel="1">
      <c r="A29" s="152" t="str">
        <f>☆入力!B35</f>
        <v/>
      </c>
      <c r="B29" s="152">
        <f>☆入力!C35</f>
        <v>0</v>
      </c>
      <c r="C29" s="152" t="str">
        <f>IFERROR(VLOOKUP(☆入力!G35,選定!$C$3:$AG$100,11,FALSE),"")</f>
        <v/>
      </c>
      <c r="D29" s="658" t="str">
        <f>IFERROR(VLOOKUP(☆入力!G35,選定!$C$3:$AG$100,1,FALSE),"")</f>
        <v/>
      </c>
      <c r="E29" s="659"/>
      <c r="F29" s="153">
        <f>☆入力!L35</f>
        <v>0</v>
      </c>
      <c r="G29" s="151" t="str">
        <f>IFERROR(VLOOKUP(☆入力!G35,選定!$C$3:$AG$100,7,FALSE),"")</f>
        <v/>
      </c>
      <c r="H29" s="1113" t="str">
        <f t="shared" si="0"/>
        <v/>
      </c>
      <c r="I29" s="1113"/>
    </row>
    <row r="30" spans="1:9" ht="10.5" hidden="1" customHeight="1" outlineLevel="1">
      <c r="A30" s="152" t="str">
        <f>☆入力!B36</f>
        <v/>
      </c>
      <c r="B30" s="152">
        <f>☆入力!C36</f>
        <v>0</v>
      </c>
      <c r="C30" s="152" t="str">
        <f>IFERROR(VLOOKUP(☆入力!G36,選定!$C$3:$AG$100,11,FALSE),"")</f>
        <v/>
      </c>
      <c r="D30" s="658" t="str">
        <f>IFERROR(VLOOKUP(☆入力!G36,選定!$C$3:$AG$100,1,FALSE),"")</f>
        <v/>
      </c>
      <c r="E30" s="659"/>
      <c r="F30" s="153">
        <f>☆入力!L36</f>
        <v>0</v>
      </c>
      <c r="G30" s="151" t="str">
        <f>IFERROR(VLOOKUP(☆入力!G36,選定!$C$3:$AG$100,7,FALSE),"")</f>
        <v/>
      </c>
      <c r="H30" s="1113" t="str">
        <f t="shared" si="0"/>
        <v/>
      </c>
      <c r="I30" s="1113"/>
    </row>
    <row r="31" spans="1:9" ht="10.5" hidden="1" customHeight="1" outlineLevel="1">
      <c r="A31" s="152" t="str">
        <f>☆入力!B37</f>
        <v/>
      </c>
      <c r="B31" s="152">
        <f>☆入力!C37</f>
        <v>0</v>
      </c>
      <c r="C31" s="152" t="str">
        <f>IFERROR(VLOOKUP(☆入力!G37,選定!$C$3:$AG$100,11,FALSE),"")</f>
        <v/>
      </c>
      <c r="D31" s="658" t="str">
        <f>IFERROR(VLOOKUP(☆入力!G37,選定!$C$3:$AG$100,1,FALSE),"")</f>
        <v/>
      </c>
      <c r="E31" s="659"/>
      <c r="F31" s="153">
        <f>☆入力!L37</f>
        <v>0</v>
      </c>
      <c r="G31" s="151" t="str">
        <f>IFERROR(VLOOKUP(☆入力!G37,選定!$C$3:$AG$100,7,FALSE),"")</f>
        <v/>
      </c>
      <c r="H31" s="1113" t="str">
        <f t="shared" si="0"/>
        <v/>
      </c>
      <c r="I31" s="1113"/>
    </row>
    <row r="32" spans="1:9" ht="10.5" hidden="1" customHeight="1" outlineLevel="1">
      <c r="A32" s="152" t="str">
        <f>☆入力!B38</f>
        <v/>
      </c>
      <c r="B32" s="152">
        <f>☆入力!C38</f>
        <v>0</v>
      </c>
      <c r="C32" s="152" t="str">
        <f>IFERROR(VLOOKUP(☆入力!G38,選定!$C$3:$AG$100,11,FALSE),"")</f>
        <v/>
      </c>
      <c r="D32" s="658" t="str">
        <f>IFERROR(VLOOKUP(☆入力!G38,選定!$C$3:$AG$100,1,FALSE),"")</f>
        <v/>
      </c>
      <c r="E32" s="659"/>
      <c r="F32" s="153">
        <f>☆入力!L38</f>
        <v>0</v>
      </c>
      <c r="G32" s="151" t="str">
        <f>IFERROR(VLOOKUP(☆入力!G38,選定!$C$3:$AG$100,7,FALSE),"")</f>
        <v/>
      </c>
      <c r="H32" s="1113" t="str">
        <f t="shared" si="0"/>
        <v/>
      </c>
      <c r="I32" s="1113"/>
    </row>
    <row r="33" spans="1:9" ht="10.5" hidden="1" customHeight="1" outlineLevel="1">
      <c r="A33" s="152" t="str">
        <f>☆入力!B39</f>
        <v/>
      </c>
      <c r="B33" s="152">
        <f>☆入力!C39</f>
        <v>0</v>
      </c>
      <c r="C33" s="152" t="str">
        <f>IFERROR(VLOOKUP(☆入力!G39,選定!$C$3:$AG$100,11,FALSE),"")</f>
        <v/>
      </c>
      <c r="D33" s="658" t="str">
        <f>IFERROR(VLOOKUP(☆入力!G39,選定!$C$3:$AG$100,1,FALSE),"")</f>
        <v/>
      </c>
      <c r="E33" s="659"/>
      <c r="F33" s="153">
        <f>☆入力!L39</f>
        <v>0</v>
      </c>
      <c r="G33" s="151" t="str">
        <f>IFERROR(VLOOKUP(☆入力!G39,選定!$C$3:$AG$100,7,FALSE),"")</f>
        <v/>
      </c>
      <c r="H33" s="1113" t="str">
        <f t="shared" si="0"/>
        <v/>
      </c>
      <c r="I33" s="1113"/>
    </row>
    <row r="34" spans="1:9" ht="10.5" hidden="1" customHeight="1" outlineLevel="1">
      <c r="A34" s="154" t="str">
        <f>☆入力!B40</f>
        <v/>
      </c>
      <c r="B34" s="154">
        <f>☆入力!C40</f>
        <v>0</v>
      </c>
      <c r="C34" s="152" t="str">
        <f>IFERROR(VLOOKUP(☆入力!G40,選定!$C$3:$AG$100,11,FALSE),"")</f>
        <v/>
      </c>
      <c r="D34" s="658" t="str">
        <f>IFERROR(VLOOKUP(☆入力!G40,選定!$C$3:$AG$100,1,FALSE),"")</f>
        <v/>
      </c>
      <c r="E34" s="659"/>
      <c r="F34" s="155">
        <f>☆入力!L40</f>
        <v>0</v>
      </c>
      <c r="G34" s="151" t="str">
        <f>IFERROR(VLOOKUP(☆入力!G40,選定!$C$3:$AG$100,7,FALSE),"")</f>
        <v/>
      </c>
      <c r="H34" s="1113" t="str">
        <f t="shared" si="0"/>
        <v/>
      </c>
      <c r="I34" s="1113"/>
    </row>
    <row r="35" spans="1:9" ht="10.5" hidden="1" customHeight="1" outlineLevel="1">
      <c r="A35" s="154" t="str">
        <f>☆入力!B41</f>
        <v/>
      </c>
      <c r="B35" s="154">
        <f>☆入力!C41</f>
        <v>0</v>
      </c>
      <c r="C35" s="152" t="str">
        <f>IFERROR(VLOOKUP(☆入力!G41,選定!$C$3:$AG$100,11,FALSE),"")</f>
        <v/>
      </c>
      <c r="D35" s="658" t="str">
        <f>IFERROR(VLOOKUP(☆入力!G41,選定!$C$3:$AG$100,1,FALSE),"")</f>
        <v/>
      </c>
      <c r="E35" s="659"/>
      <c r="F35" s="155">
        <f>☆入力!L41</f>
        <v>0</v>
      </c>
      <c r="G35" s="151" t="str">
        <f>IFERROR(VLOOKUP(☆入力!G41,選定!$C$3:$AG$100,7,FALSE),"")</f>
        <v/>
      </c>
      <c r="H35" s="1113" t="str">
        <f t="shared" si="0"/>
        <v/>
      </c>
      <c r="I35" s="1113"/>
    </row>
    <row r="36" spans="1:9" ht="10.5" hidden="1" customHeight="1" outlineLevel="1">
      <c r="A36" s="154" t="str">
        <f>☆入力!B42</f>
        <v/>
      </c>
      <c r="B36" s="154">
        <f>☆入力!C42</f>
        <v>0</v>
      </c>
      <c r="C36" s="152" t="str">
        <f>IFERROR(VLOOKUP(☆入力!G42,選定!$C$3:$AG$100,11,FALSE),"")</f>
        <v/>
      </c>
      <c r="D36" s="658" t="str">
        <f>IFERROR(VLOOKUP(☆入力!G42,選定!$C$3:$AG$100,1,FALSE),"")</f>
        <v/>
      </c>
      <c r="E36" s="659"/>
      <c r="F36" s="155">
        <f>☆入力!L42</f>
        <v>0</v>
      </c>
      <c r="G36" s="151" t="str">
        <f>IFERROR(VLOOKUP(☆入力!G42,選定!$C$3:$AG$100,7,FALSE),"")</f>
        <v/>
      </c>
      <c r="H36" s="1113" t="str">
        <f t="shared" si="0"/>
        <v/>
      </c>
      <c r="I36" s="1113"/>
    </row>
    <row r="37" spans="1:9" ht="10.5" hidden="1" customHeight="1" outlineLevel="1">
      <c r="A37" s="154" t="str">
        <f>☆入力!B43</f>
        <v/>
      </c>
      <c r="B37" s="154">
        <f>☆入力!C43</f>
        <v>0</v>
      </c>
      <c r="C37" s="152" t="str">
        <f>IFERROR(VLOOKUP(☆入力!G43,選定!$C$3:$AG$100,11,FALSE),"")</f>
        <v/>
      </c>
      <c r="D37" s="658" t="str">
        <f>IFERROR(VLOOKUP(☆入力!G43,選定!$C$3:$AG$100,1,FALSE),"")</f>
        <v/>
      </c>
      <c r="E37" s="659"/>
      <c r="F37" s="155">
        <f>☆入力!L43</f>
        <v>0</v>
      </c>
      <c r="G37" s="151" t="str">
        <f>IFERROR(VLOOKUP(☆入力!G43,選定!$C$3:$AG$100,7,FALSE),"")</f>
        <v/>
      </c>
      <c r="H37" s="1113" t="str">
        <f t="shared" si="0"/>
        <v/>
      </c>
      <c r="I37" s="1113"/>
    </row>
    <row r="38" spans="1:9" ht="10.5" hidden="1" customHeight="1" outlineLevel="1">
      <c r="A38" s="154" t="str">
        <f>☆入力!B44</f>
        <v/>
      </c>
      <c r="B38" s="154">
        <f>☆入力!C44</f>
        <v>0</v>
      </c>
      <c r="C38" s="152" t="str">
        <f>IFERROR(VLOOKUP(☆入力!G44,選定!$C$3:$AG$100,11,FALSE),"")</f>
        <v/>
      </c>
      <c r="D38" s="658" t="str">
        <f>IFERROR(VLOOKUP(☆入力!G44,選定!$C$3:$AG$100,1,FALSE),"")</f>
        <v/>
      </c>
      <c r="E38" s="659"/>
      <c r="F38" s="155">
        <f>☆入力!L44</f>
        <v>0</v>
      </c>
      <c r="G38" s="151" t="str">
        <f>IFERROR(VLOOKUP(☆入力!G44,選定!$C$3:$AG$100,7,FALSE),"")</f>
        <v/>
      </c>
      <c r="H38" s="1113" t="str">
        <f t="shared" si="0"/>
        <v/>
      </c>
      <c r="I38" s="1113"/>
    </row>
    <row r="39" spans="1:9" ht="10.5" hidden="1" customHeight="1" outlineLevel="1">
      <c r="A39" s="154" t="str">
        <f>☆入力!B45</f>
        <v/>
      </c>
      <c r="B39" s="154">
        <f>☆入力!C45</f>
        <v>0</v>
      </c>
      <c r="C39" s="160" t="str">
        <f>IFERROR(VLOOKUP(☆入力!G45,選定!$C$3:$AG$100,11,FALSE),"")</f>
        <v/>
      </c>
      <c r="D39" s="660" t="str">
        <f>IFERROR(VLOOKUP(☆入力!G45,選定!$C$3:$AG$100,1,FALSE),"")</f>
        <v/>
      </c>
      <c r="E39" s="661"/>
      <c r="F39" s="155">
        <f>☆入力!L45</f>
        <v>0</v>
      </c>
      <c r="G39" s="151" t="str">
        <f>IFERROR(VLOOKUP(☆入力!G45,選定!$C$3:$AG$100,7,FALSE),"")</f>
        <v/>
      </c>
      <c r="H39" s="1113" t="str">
        <f t="shared" si="0"/>
        <v/>
      </c>
      <c r="I39" s="1113"/>
    </row>
    <row r="40" spans="1:9" ht="10.9" customHeight="1" collapsed="1">
      <c r="A40" s="1184"/>
      <c r="B40" s="1184"/>
      <c r="C40" s="1184"/>
      <c r="D40" s="1184"/>
      <c r="E40" s="666"/>
      <c r="F40" s="1186" t="s">
        <v>385</v>
      </c>
      <c r="G40" s="1186"/>
      <c r="H40" s="1185">
        <f>SUM(H10:I39)</f>
        <v>0</v>
      </c>
      <c r="I40" s="1185"/>
    </row>
    <row r="41" spans="1:9" ht="10.5" customHeight="1">
      <c r="A41" s="113"/>
      <c r="B41" s="113"/>
      <c r="C41" s="113"/>
      <c r="D41" s="114"/>
      <c r="E41" s="114"/>
      <c r="F41" s="115"/>
      <c r="G41" s="115"/>
      <c r="H41" s="116"/>
      <c r="I41" s="116"/>
    </row>
    <row r="42" spans="1:9" ht="10.5" customHeight="1">
      <c r="A42" s="1126" t="s">
        <v>386</v>
      </c>
      <c r="B42" s="1127"/>
      <c r="C42" s="1127"/>
      <c r="D42" s="1127"/>
      <c r="E42" s="662"/>
      <c r="F42" s="473" t="s">
        <v>200</v>
      </c>
      <c r="G42" s="473" t="s">
        <v>368</v>
      </c>
      <c r="H42" s="1114" t="s">
        <v>369</v>
      </c>
      <c r="I42" s="1114"/>
    </row>
    <row r="43" spans="1:9" ht="10.5" customHeight="1">
      <c r="A43" s="1129" t="s">
        <v>387</v>
      </c>
      <c r="B43" s="1130"/>
      <c r="C43" s="1130"/>
      <c r="D43" s="1130"/>
      <c r="E43" s="664"/>
      <c r="F43" s="665">
        <f>VLOOKUP(☆入力!L14,LED計算式!M21:N26,2,TRUE)</f>
        <v>1</v>
      </c>
      <c r="G43" s="665">
        <v>20000</v>
      </c>
      <c r="H43" s="1183">
        <f t="shared" ref="H43:H51" si="1">IFERROR(G43*F43,"")</f>
        <v>20000</v>
      </c>
      <c r="I43" s="1183"/>
    </row>
    <row r="44" spans="1:9" ht="10.35" customHeight="1">
      <c r="A44" s="1133" t="s">
        <v>388</v>
      </c>
      <c r="B44" s="1134"/>
      <c r="C44" s="1134"/>
      <c r="D44" s="1134"/>
      <c r="E44" s="659"/>
      <c r="F44" s="153">
        <f>LED計算式!O36</f>
        <v>0</v>
      </c>
      <c r="G44" s="153">
        <v>3000</v>
      </c>
      <c r="H44" s="1141">
        <f t="shared" si="1"/>
        <v>0</v>
      </c>
      <c r="I44" s="1141"/>
    </row>
    <row r="45" spans="1:9" ht="10.35" hidden="1" customHeight="1" outlineLevel="1">
      <c r="A45" s="1133" t="s">
        <v>389</v>
      </c>
      <c r="B45" s="1134"/>
      <c r="C45" s="1134"/>
      <c r="D45" s="1134"/>
      <c r="E45" s="659"/>
      <c r="F45" s="153">
        <f>LED計算式!O37</f>
        <v>0</v>
      </c>
      <c r="G45" s="153">
        <v>5000</v>
      </c>
      <c r="H45" s="1141">
        <f t="shared" si="1"/>
        <v>0</v>
      </c>
      <c r="I45" s="1141"/>
    </row>
    <row r="46" spans="1:9" ht="10.35" hidden="1" customHeight="1" outlineLevel="1">
      <c r="A46" s="1133" t="s">
        <v>390</v>
      </c>
      <c r="B46" s="1134"/>
      <c r="C46" s="1134"/>
      <c r="D46" s="1134"/>
      <c r="E46" s="659"/>
      <c r="F46" s="153">
        <f>LED計算式!O38</f>
        <v>0</v>
      </c>
      <c r="G46" s="153">
        <v>2000</v>
      </c>
      <c r="H46" s="1141">
        <f t="shared" si="1"/>
        <v>0</v>
      </c>
      <c r="I46" s="1141"/>
    </row>
    <row r="47" spans="1:9" ht="10.35" hidden="1" customHeight="1" outlineLevel="1">
      <c r="A47" s="1133" t="s">
        <v>391</v>
      </c>
      <c r="B47" s="1134"/>
      <c r="C47" s="1134"/>
      <c r="D47" s="1134"/>
      <c r="E47" s="659"/>
      <c r="F47" s="153">
        <f>LED計算式!O39</f>
        <v>0</v>
      </c>
      <c r="G47" s="153">
        <v>600</v>
      </c>
      <c r="H47" s="1141">
        <f t="shared" si="1"/>
        <v>0</v>
      </c>
      <c r="I47" s="1141"/>
    </row>
    <row r="48" spans="1:9" ht="10.5" customHeight="1" collapsed="1">
      <c r="A48" s="1133" t="s">
        <v>392</v>
      </c>
      <c r="B48" s="1134"/>
      <c r="C48" s="1134"/>
      <c r="D48" s="1134"/>
      <c r="E48" s="659"/>
      <c r="F48" s="153">
        <f>COUNTA(☆入力!AG16:AG45)</f>
        <v>1</v>
      </c>
      <c r="G48" s="153">
        <v>3000</v>
      </c>
      <c r="H48" s="1141">
        <f t="shared" si="1"/>
        <v>3000</v>
      </c>
      <c r="I48" s="1141"/>
    </row>
    <row r="49" spans="1:10" ht="10.5" customHeight="1">
      <c r="A49" s="1133" t="s">
        <v>393</v>
      </c>
      <c r="B49" s="1134"/>
      <c r="C49" s="1134"/>
      <c r="D49" s="1134"/>
      <c r="E49" s="659"/>
      <c r="F49" s="153">
        <f>SUM(F44:F46)</f>
        <v>0</v>
      </c>
      <c r="G49" s="153">
        <v>1000</v>
      </c>
      <c r="H49" s="1141">
        <f t="shared" si="1"/>
        <v>0</v>
      </c>
      <c r="I49" s="1141"/>
    </row>
    <row r="50" spans="1:10" ht="10.5" customHeight="1">
      <c r="A50" s="1133" t="s">
        <v>394</v>
      </c>
      <c r="B50" s="1134"/>
      <c r="C50" s="1134"/>
      <c r="D50" s="1134"/>
      <c r="E50" s="659"/>
      <c r="F50" s="153">
        <f>COUNTA(☆入力!AG16:AG45)</f>
        <v>1</v>
      </c>
      <c r="G50" s="153">
        <v>5000</v>
      </c>
      <c r="H50" s="1141">
        <f t="shared" si="1"/>
        <v>5000</v>
      </c>
      <c r="I50" s="1141"/>
    </row>
    <row r="51" spans="1:10" ht="10.5" customHeight="1">
      <c r="A51" s="1136">
        <f>☆入力!AH12</f>
        <v>0</v>
      </c>
      <c r="B51" s="1137"/>
      <c r="C51" s="1137"/>
      <c r="D51" s="1137"/>
      <c r="E51" s="661"/>
      <c r="F51" s="161" t="str">
        <f>IF(☆入力!AH12&lt;&gt;"","1","")</f>
        <v/>
      </c>
      <c r="G51" s="162">
        <f>☆入力!AJ12</f>
        <v>0</v>
      </c>
      <c r="H51" s="1210" t="str">
        <f t="shared" si="1"/>
        <v/>
      </c>
      <c r="I51" s="1210"/>
    </row>
    <row r="52" spans="1:10" ht="12" customHeight="1">
      <c r="A52" s="1539"/>
      <c r="B52" s="1539"/>
      <c r="C52" s="1539"/>
      <c r="D52" s="1539"/>
      <c r="E52" s="106"/>
      <c r="F52" s="1214" t="s">
        <v>395</v>
      </c>
      <c r="G52" s="1214"/>
      <c r="H52" s="1211">
        <f>SUM(H43:I51)</f>
        <v>28000</v>
      </c>
      <c r="I52" s="1211"/>
    </row>
    <row r="53" spans="1:10">
      <c r="F53" s="106"/>
      <c r="G53" s="106"/>
      <c r="H53" s="106"/>
      <c r="I53" s="106"/>
    </row>
    <row r="54" spans="1:10" s="106" customFormat="1" ht="12" customHeight="1">
      <c r="F54" s="1213" t="s">
        <v>396</v>
      </c>
      <c r="G54" s="1213"/>
      <c r="H54" s="1212">
        <f>ROUNDDOWN(H40+H52,0)</f>
        <v>28000</v>
      </c>
      <c r="I54" s="1212"/>
    </row>
    <row r="55" spans="1:10" s="106" customFormat="1" ht="12" customHeight="1">
      <c r="F55" s="1208" t="s">
        <v>403</v>
      </c>
      <c r="G55" s="1208"/>
      <c r="H55" s="1199">
        <f ca="1">(☆入力!AL14+代理店入力用!D5)-SUM(H40,H43:I51)</f>
        <v>-28000</v>
      </c>
      <c r="I55" s="1199"/>
    </row>
    <row r="56" spans="1:10" s="106" customFormat="1" ht="12" customHeight="1">
      <c r="A56" s="106" t="s">
        <v>372</v>
      </c>
      <c r="F56" s="1208" t="str">
        <f>"複数棟割引（ "&amp;TEXT(☆入力!AR11,"0%")&amp;" OFF ）"</f>
        <v>複数棟割引（ 0% OFF ）</v>
      </c>
      <c r="G56" s="1208"/>
      <c r="H56" s="1199">
        <f ca="1">-(☆入力!AL14*☆入力!AR11)</f>
        <v>0</v>
      </c>
      <c r="I56" s="1199"/>
    </row>
    <row r="57" spans="1:10" s="106" customFormat="1" ht="12" customHeight="1" thickBot="1">
      <c r="A57" s="1205" t="str">
        <f>☆入力!AH4</f>
        <v>生産終了品などがあった場合、同メーカーもしくは他メーカーの同等品に変更される場合がございます。</v>
      </c>
      <c r="B57" s="1206"/>
      <c r="C57" s="1206"/>
      <c r="D57" s="1207"/>
      <c r="F57" s="1209" t="s">
        <v>43</v>
      </c>
      <c r="G57" s="1209"/>
      <c r="H57" s="1200">
        <f ca="1">SUM(H54:I56)</f>
        <v>0</v>
      </c>
      <c r="I57" s="1200"/>
    </row>
    <row r="58" spans="1:10" ht="10.35" customHeight="1" thickTop="1" thickBot="1">
      <c r="A58" s="1187"/>
      <c r="B58" s="1188"/>
      <c r="C58" s="1188"/>
      <c r="D58" s="1189"/>
      <c r="E58" s="106"/>
      <c r="F58" s="106"/>
    </row>
    <row r="59" spans="1:10" ht="9" customHeight="1" thickBot="1">
      <c r="A59" s="1187" t="str">
        <f>☆入力!AH5</f>
        <v>新しい照明器具が、既設よりも一回り小さくなるケースがあり、その際は外壁塗装面が露出する</v>
      </c>
      <c r="B59" s="1188"/>
      <c r="C59" s="1188"/>
      <c r="D59" s="1189"/>
      <c r="E59" s="106"/>
      <c r="F59" s="1197" t="s">
        <v>364</v>
      </c>
      <c r="G59" s="1198"/>
      <c r="H59" s="1201">
        <f ca="1">VLOOKUP(F59,K11:L12,2,FALSE)</f>
        <v>0</v>
      </c>
      <c r="I59" s="1202"/>
    </row>
    <row r="60" spans="1:10" ht="9" customHeight="1" thickBot="1">
      <c r="A60" s="1187"/>
      <c r="B60" s="1188"/>
      <c r="C60" s="1188"/>
      <c r="D60" s="1189"/>
      <c r="E60" s="106"/>
      <c r="F60" s="1197"/>
      <c r="G60" s="1198"/>
      <c r="H60" s="1203"/>
      <c r="I60" s="1204"/>
    </row>
    <row r="61" spans="1:10" ht="9" customHeight="1" thickBot="1">
      <c r="A61" s="1187" t="str">
        <f>☆入力!AH6</f>
        <v>可能性がございます。</v>
      </c>
      <c r="B61" s="1188"/>
      <c r="C61" s="1188"/>
      <c r="D61" s="1189"/>
      <c r="E61" s="106"/>
      <c r="F61" s="1197" t="s">
        <v>360</v>
      </c>
      <c r="G61" s="1198"/>
      <c r="H61" s="1193">
        <f ca="1">VLOOKUP(F61,K9:L10,2,FALSE)</f>
        <v>0</v>
      </c>
      <c r="I61" s="1195" t="s">
        <v>398</v>
      </c>
    </row>
    <row r="62" spans="1:10" ht="9" customHeight="1" thickBot="1">
      <c r="A62" s="1190"/>
      <c r="B62" s="1191"/>
      <c r="C62" s="1191"/>
      <c r="D62" s="1192"/>
      <c r="E62" s="106"/>
      <c r="F62" s="1197"/>
      <c r="G62" s="1198"/>
      <c r="H62" s="1194"/>
      <c r="I62" s="1196"/>
    </row>
    <row r="63" spans="1:10">
      <c r="A63" s="106"/>
      <c r="B63" s="106"/>
      <c r="C63" s="106"/>
      <c r="D63" s="106"/>
      <c r="E63" s="106"/>
      <c r="F63" s="232"/>
      <c r="J63" s="383" t="s">
        <v>365</v>
      </c>
    </row>
    <row r="64" spans="1:10" ht="10.15" customHeight="1">
      <c r="A64" s="106"/>
      <c r="B64" s="106"/>
      <c r="C64" s="106"/>
      <c r="D64" s="106"/>
      <c r="E64" s="106"/>
      <c r="F64" s="106"/>
    </row>
    <row r="65" ht="10.15" customHeight="1"/>
    <row r="66" ht="10.15" customHeight="1"/>
    <row r="67" ht="10.15" customHeight="1"/>
  </sheetData>
  <mergeCells count="79">
    <mergeCell ref="A51:D51"/>
    <mergeCell ref="H51:I51"/>
    <mergeCell ref="A52:D52"/>
    <mergeCell ref="H52:I52"/>
    <mergeCell ref="H54:I54"/>
    <mergeCell ref="F54:G54"/>
    <mergeCell ref="F52:G52"/>
    <mergeCell ref="H55:I55"/>
    <mergeCell ref="H56:I56"/>
    <mergeCell ref="H57:I57"/>
    <mergeCell ref="A59:D60"/>
    <mergeCell ref="H59:I60"/>
    <mergeCell ref="A57:D58"/>
    <mergeCell ref="F55:G55"/>
    <mergeCell ref="F56:G56"/>
    <mergeCell ref="F57:G57"/>
    <mergeCell ref="A61:D62"/>
    <mergeCell ref="H61:H62"/>
    <mergeCell ref="I61:I62"/>
    <mergeCell ref="F59:G60"/>
    <mergeCell ref="F61:G62"/>
    <mergeCell ref="A50:D50"/>
    <mergeCell ref="H50:I50"/>
    <mergeCell ref="A45:D45"/>
    <mergeCell ref="H45:I45"/>
    <mergeCell ref="A46:D46"/>
    <mergeCell ref="H46:I46"/>
    <mergeCell ref="A47:D47"/>
    <mergeCell ref="H47:I47"/>
    <mergeCell ref="A48:D48"/>
    <mergeCell ref="H48:I48"/>
    <mergeCell ref="A49:D49"/>
    <mergeCell ref="H49:I49"/>
    <mergeCell ref="A42:D42"/>
    <mergeCell ref="H42:I42"/>
    <mergeCell ref="A43:D43"/>
    <mergeCell ref="H43:I43"/>
    <mergeCell ref="A44:D44"/>
    <mergeCell ref="H44:I44"/>
    <mergeCell ref="A40:D40"/>
    <mergeCell ref="H40:I40"/>
    <mergeCell ref="H34:I34"/>
    <mergeCell ref="H35:I35"/>
    <mergeCell ref="H36:I36"/>
    <mergeCell ref="H37:I37"/>
    <mergeCell ref="H38:I38"/>
    <mergeCell ref="H39:I39"/>
    <mergeCell ref="F40:G40"/>
    <mergeCell ref="H33:I33"/>
    <mergeCell ref="H22:I22"/>
    <mergeCell ref="H23:I23"/>
    <mergeCell ref="H24:I24"/>
    <mergeCell ref="H25:I25"/>
    <mergeCell ref="H26:I26"/>
    <mergeCell ref="H27:I27"/>
    <mergeCell ref="H28:I28"/>
    <mergeCell ref="H29:I29"/>
    <mergeCell ref="H30:I30"/>
    <mergeCell ref="H31:I31"/>
    <mergeCell ref="H32:I32"/>
    <mergeCell ref="H21:I21"/>
    <mergeCell ref="H10:I10"/>
    <mergeCell ref="H11:I11"/>
    <mergeCell ref="H12:I12"/>
    <mergeCell ref="H13:I13"/>
    <mergeCell ref="H14:I14"/>
    <mergeCell ref="H15:I15"/>
    <mergeCell ref="H16:I16"/>
    <mergeCell ref="H17:I17"/>
    <mergeCell ref="H18:I18"/>
    <mergeCell ref="H19:I19"/>
    <mergeCell ref="H20:I20"/>
    <mergeCell ref="H9:I9"/>
    <mergeCell ref="D9:E9"/>
    <mergeCell ref="A1:D2"/>
    <mergeCell ref="A3:D4"/>
    <mergeCell ref="G4:I4"/>
    <mergeCell ref="G5:I5"/>
    <mergeCell ref="G6:I6"/>
  </mergeCells>
  <phoneticPr fontId="2"/>
  <conditionalFormatting sqref="A54:A57">
    <cfRule type="cellIs" dxfId="62" priority="1" operator="equal">
      <formula>0</formula>
    </cfRule>
  </conditionalFormatting>
  <conditionalFormatting sqref="A59">
    <cfRule type="cellIs" dxfId="61" priority="2" operator="equal">
      <formula>0</formula>
    </cfRule>
  </conditionalFormatting>
  <conditionalFormatting sqref="A61">
    <cfRule type="cellIs" dxfId="60" priority="4" operator="equal">
      <formula>0</formula>
    </cfRule>
  </conditionalFormatting>
  <conditionalFormatting sqref="A10:C39">
    <cfRule type="cellIs" dxfId="59" priority="3" operator="equal">
      <formula>0</formula>
    </cfRule>
  </conditionalFormatting>
  <conditionalFormatting sqref="C41">
    <cfRule type="cellIs" dxfId="58" priority="5" operator="equal">
      <formula>0</formula>
    </cfRule>
  </conditionalFormatting>
  <dataValidations count="2">
    <dataValidation type="list" allowBlank="1" showInputMessage="1" showErrorMessage="1" sqref="F59" xr:uid="{624A41CC-B0F2-4DA8-A71D-39E77124917B}">
      <formula1>$K$11:$K$12</formula1>
    </dataValidation>
    <dataValidation type="list" allowBlank="1" showInputMessage="1" showErrorMessage="1" sqref="F61" xr:uid="{6E3F0A55-E875-4E08-AAB1-3981EF109843}">
      <formula1>$K$9:$K$10</formula1>
    </dataValidation>
  </dataValidations>
  <printOptions horizontalCentered="1" verticalCentered="1"/>
  <pageMargins left="0" right="0" top="0" bottom="0" header="0" footer="0"/>
  <pageSetup paperSize="9" scale="96"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C34E6-6408-43B2-A450-FD388CE266F1}">
  <sheetPr>
    <tabColor rgb="FF00B050"/>
  </sheetPr>
  <dimension ref="A1:J61"/>
  <sheetViews>
    <sheetView tabSelected="1" view="pageBreakPreview" topLeftCell="A6" zoomScale="80" zoomScaleNormal="85" zoomScaleSheetLayoutView="80" workbookViewId="0">
      <selection activeCell="A47" sqref="A47:C47"/>
    </sheetView>
  </sheetViews>
  <sheetFormatPr defaultColWidth="9" defaultRowHeight="12" outlineLevelRow="1"/>
  <cols>
    <col min="1" max="1" width="13.625" style="76" customWidth="1"/>
    <col min="2" max="2" width="20.25" style="76" customWidth="1"/>
    <col min="3" max="3" width="37.125" style="76" customWidth="1"/>
    <col min="4" max="4" width="8.75" style="76" customWidth="1"/>
    <col min="5" max="5" width="18" style="76" customWidth="1"/>
    <col min="6" max="6" width="13.5" style="76" customWidth="1"/>
    <col min="7" max="7" width="15.5" style="76" bestFit="1" customWidth="1"/>
    <col min="8" max="8" width="9" style="76"/>
    <col min="9" max="9" width="18.75" style="76" customWidth="1"/>
    <col min="10" max="10" width="11.25" style="76" customWidth="1"/>
    <col min="11" max="11" width="10.625" style="76" bestFit="1" customWidth="1"/>
    <col min="12" max="16384" width="9" style="76"/>
  </cols>
  <sheetData>
    <row r="1" spans="1:10" ht="15" customHeight="1">
      <c r="A1" s="1047" t="s">
        <v>352</v>
      </c>
      <c r="B1" s="1047"/>
      <c r="C1" s="1047"/>
      <c r="F1" s="77" t="s">
        <v>353</v>
      </c>
      <c r="G1" s="78">
        <f ca="1">TODAY()</f>
        <v>46080</v>
      </c>
    </row>
    <row r="2" spans="1:10" ht="15" customHeight="1">
      <c r="A2" s="1047"/>
      <c r="B2" s="1047"/>
      <c r="C2" s="1047"/>
      <c r="F2" s="77"/>
      <c r="G2" s="79"/>
    </row>
    <row r="3" spans="1:10" ht="15" customHeight="1">
      <c r="A3" s="1103">
        <f>☆入力!C5</f>
        <v>0</v>
      </c>
      <c r="B3" s="1103"/>
      <c r="C3" s="1103"/>
    </row>
    <row r="4" spans="1:10" ht="15" customHeight="1">
      <c r="A4" s="1226"/>
      <c r="B4" s="1226"/>
      <c r="C4" s="1226"/>
      <c r="E4" s="1227" t="str">
        <f>IF(代理店入力用!N3="",①表紙!I25,代理店入力用!N3)</f>
        <v>株式会社ニッショー</v>
      </c>
      <c r="F4" s="1227"/>
      <c r="G4" s="1227"/>
    </row>
    <row r="5" spans="1:10" ht="15" customHeight="1">
      <c r="E5" s="1228"/>
      <c r="F5" s="1228"/>
      <c r="G5" s="1228"/>
    </row>
    <row r="6" spans="1:10" ht="15" customHeight="1">
      <c r="A6" s="106" t="s">
        <v>354</v>
      </c>
      <c r="E6" s="1228" t="str">
        <f>IF(代理店入力用!N6="",①表紙!I27,①表紙!A27)</f>
        <v>TEL：　管理担当営業所へお問い合わせ下さい。</v>
      </c>
      <c r="F6" s="1228"/>
      <c r="G6" s="1228"/>
    </row>
    <row r="7" spans="1:10" ht="15" customHeight="1">
      <c r="A7" s="106" t="s">
        <v>382</v>
      </c>
    </row>
    <row r="8" spans="1:10" ht="6" customHeight="1"/>
    <row r="9" spans="1:10" ht="10.5" customHeight="1">
      <c r="A9" s="473" t="s">
        <v>366</v>
      </c>
      <c r="B9" s="473" t="s">
        <v>105</v>
      </c>
      <c r="C9" s="473" t="s">
        <v>305</v>
      </c>
      <c r="D9" s="473" t="s">
        <v>38</v>
      </c>
      <c r="E9" s="473" t="s">
        <v>383</v>
      </c>
      <c r="F9" s="1114" t="s">
        <v>369</v>
      </c>
      <c r="G9" s="1114"/>
      <c r="I9" s="379" t="s">
        <v>357</v>
      </c>
      <c r="J9" s="382">
        <f ca="1">ROUNDDOWN(G54*LED計算式!AC2,0)</f>
        <v>0</v>
      </c>
    </row>
    <row r="10" spans="1:10" ht="10.5" customHeight="1">
      <c r="A10" s="149">
        <v>1</v>
      </c>
      <c r="B10" s="150" t="str">
        <f>IFERROR(VLOOKUP(☆入力!G16,選定!$C$3:$AG$100,11,FALSE),"")</f>
        <v/>
      </c>
      <c r="C10" s="316" t="str">
        <f>IFERROR(VLOOKUP(☆入力!G16,選定!$C$3:$AG$100,1,FALSE),"")</f>
        <v/>
      </c>
      <c r="D10" s="151">
        <f>☆入力!L16</f>
        <v>0</v>
      </c>
      <c r="E10" s="151" t="str">
        <f>IFERROR(VLOOKUP(☆入力!G16,選定!$C$3:$AG$100,7,FALSE),"")</f>
        <v/>
      </c>
      <c r="F10" s="1113" t="str">
        <f>IFERROR(E10*D10,"")</f>
        <v/>
      </c>
      <c r="G10" s="1113"/>
      <c r="I10" s="379" t="s">
        <v>360</v>
      </c>
      <c r="J10" s="382">
        <f ca="1">ROUNDDOWN(J9*1.1,0)</f>
        <v>0</v>
      </c>
    </row>
    <row r="11" spans="1:10" ht="10.5" customHeight="1">
      <c r="A11" s="152">
        <v>2</v>
      </c>
      <c r="B11" s="152" t="str">
        <f>IFERROR(VLOOKUP(☆入力!G17,選定!$C$3:$AG$100,11,FALSE),"")</f>
        <v/>
      </c>
      <c r="C11" s="316" t="str">
        <f>IFERROR(VLOOKUP(☆入力!G17,選定!$C$3:$AG$100,1,FALSE),"")</f>
        <v/>
      </c>
      <c r="D11" s="153">
        <f>☆入力!L17</f>
        <v>0</v>
      </c>
      <c r="E11" s="151" t="str">
        <f>IFERROR(VLOOKUP(☆入力!G17,選定!$C$3:$AG$100,7,FALSE),"")</f>
        <v/>
      </c>
      <c r="F11" s="1179" t="str">
        <f t="shared" ref="F11:F39" si="0">IFERROR(E11*D11,"")</f>
        <v/>
      </c>
      <c r="G11" s="1180"/>
      <c r="I11" s="28" t="s">
        <v>363</v>
      </c>
      <c r="J11" s="382">
        <f ca="1">G54</f>
        <v>0</v>
      </c>
    </row>
    <row r="12" spans="1:10" ht="10.5" customHeight="1">
      <c r="A12" s="152">
        <v>3</v>
      </c>
      <c r="B12" s="152" t="str">
        <f>IFERROR(VLOOKUP(☆入力!G18,選定!$C$3:$AG$100,11,FALSE),"")</f>
        <v/>
      </c>
      <c r="C12" s="316" t="str">
        <f>IFERROR(VLOOKUP(☆入力!G18,選定!$C$3:$AG$100,1,FALSE),"")</f>
        <v/>
      </c>
      <c r="D12" s="153">
        <f>☆入力!L18</f>
        <v>0</v>
      </c>
      <c r="E12" s="151" t="str">
        <f>IFERROR(VLOOKUP(☆入力!G18,選定!$C$3:$AG$100,7,FALSE),"")</f>
        <v/>
      </c>
      <c r="F12" s="1179" t="str">
        <f t="shared" si="0"/>
        <v/>
      </c>
      <c r="G12" s="1180"/>
      <c r="I12" s="28" t="s">
        <v>364</v>
      </c>
      <c r="J12" s="382">
        <f ca="1">ROUNDDOWN(J11*1.1,0)</f>
        <v>0</v>
      </c>
    </row>
    <row r="13" spans="1:10" ht="10.5" customHeight="1">
      <c r="A13" s="152">
        <v>4</v>
      </c>
      <c r="B13" s="152" t="str">
        <f>IFERROR(VLOOKUP(☆入力!G19,選定!$C$3:$AG$100,11,FALSE),"")</f>
        <v/>
      </c>
      <c r="C13" s="317" t="str">
        <f>IFERROR(VLOOKUP(☆入力!G19,選定!$C$3:$AG$100,1,FALSE),"")</f>
        <v/>
      </c>
      <c r="D13" s="153">
        <f>☆入力!L19</f>
        <v>0</v>
      </c>
      <c r="E13" s="151" t="str">
        <f>IFERROR(VLOOKUP(☆入力!G19,選定!$C$3:$AG$100,7,FALSE),"")</f>
        <v/>
      </c>
      <c r="F13" s="1177" t="str">
        <f t="shared" si="0"/>
        <v/>
      </c>
      <c r="G13" s="1178"/>
    </row>
    <row r="14" spans="1:10" ht="10.5" customHeight="1">
      <c r="A14" s="152">
        <v>5</v>
      </c>
      <c r="B14" s="152" t="str">
        <f>IFERROR(VLOOKUP(☆入力!G20,選定!$C$3:$AG$100,11,FALSE),"")</f>
        <v/>
      </c>
      <c r="C14" s="317" t="str">
        <f>IFERROR(VLOOKUP(☆入力!G20,選定!$C$3:$AG$100,1,FALSE),"")</f>
        <v/>
      </c>
      <c r="D14" s="153">
        <f>☆入力!L20</f>
        <v>0</v>
      </c>
      <c r="E14" s="151" t="str">
        <f>IFERROR(VLOOKUP(☆入力!G20,選定!$C$3:$AG$100,7,FALSE),"")</f>
        <v/>
      </c>
      <c r="F14" s="1177" t="str">
        <f t="shared" si="0"/>
        <v/>
      </c>
      <c r="G14" s="1178"/>
    </row>
    <row r="15" spans="1:10" ht="10.5" customHeight="1">
      <c r="A15" s="152">
        <v>6</v>
      </c>
      <c r="B15" s="152" t="str">
        <f>IFERROR(VLOOKUP(☆入力!G21,選定!$C$3:$AG$100,11,FALSE),"")</f>
        <v/>
      </c>
      <c r="C15" s="317" t="str">
        <f>IFERROR(VLOOKUP(☆入力!G21,選定!$C$3:$AG$100,1,FALSE),"")</f>
        <v/>
      </c>
      <c r="D15" s="153">
        <f>☆入力!L21</f>
        <v>0</v>
      </c>
      <c r="E15" s="151" t="str">
        <f>IFERROR(VLOOKUP(☆入力!G21,選定!$C$3:$AG$100,7,FALSE),"")</f>
        <v/>
      </c>
      <c r="F15" s="1177" t="str">
        <f t="shared" si="0"/>
        <v/>
      </c>
      <c r="G15" s="1178"/>
    </row>
    <row r="16" spans="1:10" ht="10.5" customHeight="1">
      <c r="A16" s="152">
        <v>7</v>
      </c>
      <c r="B16" s="152" t="str">
        <f>IFERROR(VLOOKUP(☆入力!G22,選定!$C$3:$AG$100,11,FALSE),"")</f>
        <v/>
      </c>
      <c r="C16" s="317" t="str">
        <f>IFERROR(VLOOKUP(☆入力!G22,選定!$C$3:$AG$100,1,FALSE),"")</f>
        <v/>
      </c>
      <c r="D16" s="153">
        <f>☆入力!L22</f>
        <v>0</v>
      </c>
      <c r="E16" s="151" t="str">
        <f>IFERROR(VLOOKUP(☆入力!G22,選定!$C$3:$AG$100,7,FALSE),"")</f>
        <v/>
      </c>
      <c r="F16" s="1177" t="str">
        <f t="shared" si="0"/>
        <v/>
      </c>
      <c r="G16" s="1178"/>
    </row>
    <row r="17" spans="1:7" ht="10.5" customHeight="1">
      <c r="A17" s="152">
        <v>8</v>
      </c>
      <c r="B17" s="152" t="str">
        <f>IFERROR(VLOOKUP(☆入力!G23,選定!$C$3:$AG$100,11,FALSE),"")</f>
        <v/>
      </c>
      <c r="C17" s="317" t="str">
        <f>IFERROR(VLOOKUP(☆入力!G23,選定!$C$3:$AG$100,1,FALSE),"")</f>
        <v/>
      </c>
      <c r="D17" s="153">
        <f>☆入力!L23</f>
        <v>0</v>
      </c>
      <c r="E17" s="151" t="str">
        <f>IFERROR(VLOOKUP(☆入力!G23,選定!$C$3:$AG$100,7,FALSE),"")</f>
        <v/>
      </c>
      <c r="F17" s="1177" t="str">
        <f t="shared" si="0"/>
        <v/>
      </c>
      <c r="G17" s="1178"/>
    </row>
    <row r="18" spans="1:7" ht="10.5" customHeight="1">
      <c r="A18" s="152">
        <v>9</v>
      </c>
      <c r="B18" s="152" t="str">
        <f>IFERROR(VLOOKUP(☆入力!G24,選定!$C$3:$AG$100,11,FALSE),"")</f>
        <v/>
      </c>
      <c r="C18" s="317" t="str">
        <f>IFERROR(VLOOKUP(☆入力!G24,選定!$C$3:$AG$100,1,FALSE),"")</f>
        <v/>
      </c>
      <c r="D18" s="153">
        <f>☆入力!L24</f>
        <v>0</v>
      </c>
      <c r="E18" s="151" t="str">
        <f>IFERROR(VLOOKUP(☆入力!G24,選定!$C$3:$AG$100,7,FALSE),"")</f>
        <v/>
      </c>
      <c r="F18" s="1177" t="str">
        <f t="shared" si="0"/>
        <v/>
      </c>
      <c r="G18" s="1178"/>
    </row>
    <row r="19" spans="1:7" ht="10.5" customHeight="1">
      <c r="A19" s="152">
        <v>10</v>
      </c>
      <c r="B19" s="152" t="str">
        <f>IFERROR(VLOOKUP(☆入力!G25,選定!$C$3:$AG$100,11,FALSE),"")</f>
        <v/>
      </c>
      <c r="C19" s="317" t="str">
        <f>IFERROR(VLOOKUP(☆入力!G25,選定!$C$3:$AG$100,1,FALSE),"")</f>
        <v/>
      </c>
      <c r="D19" s="153">
        <f>☆入力!L25</f>
        <v>0</v>
      </c>
      <c r="E19" s="151" t="str">
        <f>IFERROR(VLOOKUP(☆入力!G25,選定!$C$3:$AG$100,7,FALSE),"")</f>
        <v/>
      </c>
      <c r="F19" s="1177" t="str">
        <f t="shared" si="0"/>
        <v/>
      </c>
      <c r="G19" s="1178"/>
    </row>
    <row r="20" spans="1:7" ht="10.5" customHeight="1">
      <c r="A20" s="152">
        <v>11</v>
      </c>
      <c r="B20" s="152" t="str">
        <f>IFERROR(VLOOKUP(☆入力!G26,選定!$C$3:$AG$100,11,FALSE),"")</f>
        <v/>
      </c>
      <c r="C20" s="317" t="str">
        <f>IFERROR(VLOOKUP(☆入力!G26,選定!$C$3:$AG$100,1,FALSE),"")</f>
        <v/>
      </c>
      <c r="D20" s="153">
        <f>☆入力!L26</f>
        <v>0</v>
      </c>
      <c r="E20" s="151" t="str">
        <f>IFERROR(VLOOKUP(☆入力!G26,選定!$C$3:$AG$100,7,FALSE),"")</f>
        <v/>
      </c>
      <c r="F20" s="1177" t="str">
        <f t="shared" si="0"/>
        <v/>
      </c>
      <c r="G20" s="1178"/>
    </row>
    <row r="21" spans="1:7" ht="10.5" customHeight="1">
      <c r="A21" s="152">
        <v>12</v>
      </c>
      <c r="B21" s="152" t="str">
        <f>IFERROR(VLOOKUP(☆入力!G27,選定!$C$3:$AG$100,11,FALSE),"")</f>
        <v/>
      </c>
      <c r="C21" s="317" t="str">
        <f>IFERROR(VLOOKUP(☆入力!G27,選定!$C$3:$AG$100,1,FALSE),"")</f>
        <v/>
      </c>
      <c r="D21" s="153">
        <f>☆入力!L27</f>
        <v>0</v>
      </c>
      <c r="E21" s="151" t="str">
        <f>IFERROR(VLOOKUP(☆入力!G27,選定!$C$3:$AG$100,7,FALSE),"")</f>
        <v/>
      </c>
      <c r="F21" s="1177" t="str">
        <f t="shared" si="0"/>
        <v/>
      </c>
      <c r="G21" s="1178"/>
    </row>
    <row r="22" spans="1:7" ht="10.5" customHeight="1">
      <c r="A22" s="152">
        <v>13</v>
      </c>
      <c r="B22" s="152" t="str">
        <f>IFERROR(VLOOKUP(☆入力!G28,選定!$C$3:$AG$100,11,FALSE),"")</f>
        <v/>
      </c>
      <c r="C22" s="317" t="str">
        <f>IFERROR(VLOOKUP(☆入力!G28,選定!$C$3:$AG$100,1,FALSE),"")</f>
        <v/>
      </c>
      <c r="D22" s="153">
        <f>☆入力!L28</f>
        <v>0</v>
      </c>
      <c r="E22" s="151" t="str">
        <f>IFERROR(VLOOKUP(☆入力!G28,選定!$C$3:$AG$100,7,FALSE),"")</f>
        <v/>
      </c>
      <c r="F22" s="1177" t="str">
        <f t="shared" si="0"/>
        <v/>
      </c>
      <c r="G22" s="1178"/>
    </row>
    <row r="23" spans="1:7" ht="10.5" customHeight="1">
      <c r="A23" s="152">
        <v>14</v>
      </c>
      <c r="B23" s="152" t="str">
        <f>IFERROR(VLOOKUP(☆入力!G29,選定!$C$3:$AG$100,11,FALSE),"")</f>
        <v/>
      </c>
      <c r="C23" s="317" t="str">
        <f>IFERROR(VLOOKUP(☆入力!G29,選定!$C$3:$AG$100,1,FALSE),"")</f>
        <v/>
      </c>
      <c r="D23" s="153">
        <f>☆入力!L29</f>
        <v>0</v>
      </c>
      <c r="E23" s="151" t="str">
        <f>IFERROR(VLOOKUP(☆入力!G29,選定!$C$3:$AG$100,7,FALSE),"")</f>
        <v/>
      </c>
      <c r="F23" s="1177" t="str">
        <f t="shared" si="0"/>
        <v/>
      </c>
      <c r="G23" s="1178"/>
    </row>
    <row r="24" spans="1:7" ht="10.5" customHeight="1">
      <c r="A24" s="152">
        <v>15</v>
      </c>
      <c r="B24" s="152" t="str">
        <f>IFERROR(VLOOKUP(☆入力!G30,選定!$C$3:$AG$100,11,FALSE),"")</f>
        <v/>
      </c>
      <c r="C24" s="317" t="str">
        <f>IFERROR(VLOOKUP(☆入力!G30,選定!$C$3:$AG$100,1,FALSE),"")</f>
        <v/>
      </c>
      <c r="D24" s="153">
        <f>☆入力!L30</f>
        <v>0</v>
      </c>
      <c r="E24" s="151" t="str">
        <f>IFERROR(VLOOKUP(☆入力!G30,選定!$C$3:$AG$100,7,FALSE),"")</f>
        <v/>
      </c>
      <c r="F24" s="1177" t="str">
        <f t="shared" si="0"/>
        <v/>
      </c>
      <c r="G24" s="1178"/>
    </row>
    <row r="25" spans="1:7" ht="10.5" hidden="1" customHeight="1" outlineLevel="1">
      <c r="A25" s="152">
        <v>16</v>
      </c>
      <c r="B25" s="152" t="str">
        <f>IFERROR(VLOOKUP(☆入力!G31,選定!$C$3:$AG$100,11,FALSE),"")</f>
        <v/>
      </c>
      <c r="C25" s="317" t="str">
        <f>IFERROR(VLOOKUP(☆入力!G31,選定!$C$3:$AG$100,1,FALSE),"")</f>
        <v/>
      </c>
      <c r="D25" s="153">
        <f>☆入力!L31</f>
        <v>0</v>
      </c>
      <c r="E25" s="151" t="str">
        <f>IFERROR(VLOOKUP(☆入力!G31,選定!$C$3:$AG$100,7,FALSE),"")</f>
        <v/>
      </c>
      <c r="F25" s="1177" t="str">
        <f t="shared" si="0"/>
        <v/>
      </c>
      <c r="G25" s="1178"/>
    </row>
    <row r="26" spans="1:7" ht="10.5" hidden="1" customHeight="1" outlineLevel="1">
      <c r="A26" s="152">
        <v>17</v>
      </c>
      <c r="B26" s="152" t="str">
        <f>IFERROR(VLOOKUP(☆入力!G32,選定!$C$3:$AG$100,11,FALSE),"")</f>
        <v/>
      </c>
      <c r="C26" s="317" t="str">
        <f>IFERROR(VLOOKUP(☆入力!G32,選定!$C$3:$AG$100,1,FALSE),"")</f>
        <v/>
      </c>
      <c r="D26" s="153">
        <f>☆入力!L32</f>
        <v>0</v>
      </c>
      <c r="E26" s="151" t="str">
        <f>IFERROR(VLOOKUP(☆入力!G32,選定!$C$3:$AG$100,7,FALSE),"")</f>
        <v/>
      </c>
      <c r="F26" s="1177" t="str">
        <f t="shared" si="0"/>
        <v/>
      </c>
      <c r="G26" s="1178"/>
    </row>
    <row r="27" spans="1:7" ht="10.5" hidden="1" customHeight="1" outlineLevel="1">
      <c r="A27" s="152">
        <v>18</v>
      </c>
      <c r="B27" s="152" t="str">
        <f>IFERROR(VLOOKUP(☆入力!G33,選定!$C$3:$AG$100,11,FALSE),"")</f>
        <v/>
      </c>
      <c r="C27" s="317" t="str">
        <f>IFERROR(VLOOKUP(☆入力!G33,選定!$C$3:$AG$100,1,FALSE),"")</f>
        <v/>
      </c>
      <c r="D27" s="153">
        <f>☆入力!L33</f>
        <v>0</v>
      </c>
      <c r="E27" s="151" t="str">
        <f>IFERROR(VLOOKUP(☆入力!G33,選定!$C$3:$AG$100,7,FALSE),"")</f>
        <v/>
      </c>
      <c r="F27" s="1177" t="str">
        <f t="shared" si="0"/>
        <v/>
      </c>
      <c r="G27" s="1178"/>
    </row>
    <row r="28" spans="1:7" ht="10.5" hidden="1" customHeight="1" outlineLevel="1">
      <c r="A28" s="152">
        <v>19</v>
      </c>
      <c r="B28" s="152" t="str">
        <f>IFERROR(VLOOKUP(☆入力!G34,選定!$C$3:$AG$100,11,FALSE),"")</f>
        <v/>
      </c>
      <c r="C28" s="317" t="str">
        <f>IFERROR(VLOOKUP(☆入力!G34,選定!$C$3:$AG$100,1,FALSE),"")</f>
        <v/>
      </c>
      <c r="D28" s="153">
        <f>☆入力!L34</f>
        <v>0</v>
      </c>
      <c r="E28" s="151" t="str">
        <f>IFERROR(VLOOKUP(☆入力!G34,選定!$C$3:$AG$100,7,FALSE),"")</f>
        <v/>
      </c>
      <c r="F28" s="1177" t="str">
        <f t="shared" si="0"/>
        <v/>
      </c>
      <c r="G28" s="1178"/>
    </row>
    <row r="29" spans="1:7" ht="10.5" hidden="1" customHeight="1" outlineLevel="1">
      <c r="A29" s="152">
        <v>20</v>
      </c>
      <c r="B29" s="152" t="str">
        <f>IFERROR(VLOOKUP(☆入力!G35,選定!$C$3:$AG$100,11,FALSE),"")</f>
        <v/>
      </c>
      <c r="C29" s="317" t="str">
        <f>IFERROR(VLOOKUP(☆入力!G35,選定!$C$3:$AG$100,1,FALSE),"")</f>
        <v/>
      </c>
      <c r="D29" s="153">
        <f>☆入力!L35</f>
        <v>0</v>
      </c>
      <c r="E29" s="151" t="str">
        <f>IFERROR(VLOOKUP(☆入力!G35,選定!$C$3:$AG$100,7,FALSE),"")</f>
        <v/>
      </c>
      <c r="F29" s="1177" t="str">
        <f t="shared" si="0"/>
        <v/>
      </c>
      <c r="G29" s="1178"/>
    </row>
    <row r="30" spans="1:7" ht="10.5" hidden="1" customHeight="1" outlineLevel="1">
      <c r="A30" s="152">
        <v>21</v>
      </c>
      <c r="B30" s="152" t="str">
        <f>IFERROR(VLOOKUP(☆入力!G36,選定!$C$3:$AG$100,11,FALSE),"")</f>
        <v/>
      </c>
      <c r="C30" s="316" t="str">
        <f>IFERROR(VLOOKUP(☆入力!G36,選定!$C$3:$AG$100,1,FALSE),"")</f>
        <v/>
      </c>
      <c r="D30" s="153">
        <f>☆入力!L36</f>
        <v>0</v>
      </c>
      <c r="E30" s="151" t="str">
        <f>IFERROR(VLOOKUP(☆入力!G36,選定!$C$3:$AG$100,7,FALSE),"")</f>
        <v/>
      </c>
      <c r="F30" s="1179" t="str">
        <f t="shared" si="0"/>
        <v/>
      </c>
      <c r="G30" s="1180"/>
    </row>
    <row r="31" spans="1:7" ht="10.5" hidden="1" customHeight="1" outlineLevel="1">
      <c r="A31" s="152">
        <v>22</v>
      </c>
      <c r="B31" s="152" t="str">
        <f>IFERROR(VLOOKUP(☆入力!G37,選定!$C$3:$AG$100,11,FALSE),"")</f>
        <v/>
      </c>
      <c r="C31" s="316" t="str">
        <f>IFERROR(VLOOKUP(☆入力!G37,選定!$C$3:$AG$100,1,FALSE),"")</f>
        <v/>
      </c>
      <c r="D31" s="153">
        <f>☆入力!L37</f>
        <v>0</v>
      </c>
      <c r="E31" s="151" t="str">
        <f>IFERROR(VLOOKUP(☆入力!G37,選定!$C$3:$AG$100,7,FALSE),"")</f>
        <v/>
      </c>
      <c r="F31" s="1179" t="str">
        <f t="shared" si="0"/>
        <v/>
      </c>
      <c r="G31" s="1180"/>
    </row>
    <row r="32" spans="1:7" ht="10.5" hidden="1" customHeight="1" outlineLevel="1">
      <c r="A32" s="152">
        <v>23</v>
      </c>
      <c r="B32" s="152" t="str">
        <f>IFERROR(VLOOKUP(☆入力!G38,選定!$C$3:$AG$100,11,FALSE),"")</f>
        <v/>
      </c>
      <c r="C32" s="316" t="str">
        <f>IFERROR(VLOOKUP(☆入力!G38,選定!$C$3:$AG$100,1,FALSE),"")</f>
        <v/>
      </c>
      <c r="D32" s="153">
        <f>☆入力!L38</f>
        <v>0</v>
      </c>
      <c r="E32" s="151" t="str">
        <f>IFERROR(VLOOKUP(☆入力!G38,選定!$C$3:$AG$100,7,FALSE),"")</f>
        <v/>
      </c>
      <c r="F32" s="1179" t="str">
        <f t="shared" si="0"/>
        <v/>
      </c>
      <c r="G32" s="1180"/>
    </row>
    <row r="33" spans="1:7" ht="10.5" hidden="1" customHeight="1" outlineLevel="1">
      <c r="A33" s="152">
        <v>24</v>
      </c>
      <c r="B33" s="152" t="str">
        <f>IFERROR(VLOOKUP(☆入力!G39,選定!$C$3:$AG$100,11,FALSE),"")</f>
        <v/>
      </c>
      <c r="C33" s="308" t="str">
        <f>IFERROR(VLOOKUP(☆入力!G39,選定!$C$3:$AG$100,1,FALSE),"")</f>
        <v/>
      </c>
      <c r="D33" s="153">
        <f>☆入力!L39</f>
        <v>0</v>
      </c>
      <c r="E33" s="151" t="str">
        <f>IFERROR(VLOOKUP(☆入力!G39,選定!$C$3:$AG$100,7,FALSE),"")</f>
        <v/>
      </c>
      <c r="F33" s="1179" t="str">
        <f t="shared" si="0"/>
        <v/>
      </c>
      <c r="G33" s="1180"/>
    </row>
    <row r="34" spans="1:7" ht="10.5" hidden="1" customHeight="1" outlineLevel="1">
      <c r="A34" s="154">
        <v>25</v>
      </c>
      <c r="B34" s="154" t="str">
        <f>IFERROR(VLOOKUP(☆入力!G40,選定!$C$3:$AG$100,11,FALSE),"")</f>
        <v/>
      </c>
      <c r="C34" s="122" t="str">
        <f>IFERROR(VLOOKUP(☆入力!G40,選定!$C$3:$AG$100,1,FALSE),"")</f>
        <v/>
      </c>
      <c r="D34" s="155">
        <f>☆入力!L40</f>
        <v>0</v>
      </c>
      <c r="E34" s="151" t="str">
        <f>IFERROR(VLOOKUP(☆入力!G40,選定!$C$3:$AG$100,7,FALSE),"")</f>
        <v/>
      </c>
      <c r="F34" s="1179" t="str">
        <f t="shared" si="0"/>
        <v/>
      </c>
      <c r="G34" s="1180"/>
    </row>
    <row r="35" spans="1:7" ht="10.5" hidden="1" customHeight="1" outlineLevel="1">
      <c r="A35" s="154">
        <v>26</v>
      </c>
      <c r="B35" s="154" t="str">
        <f>IFERROR(VLOOKUP(☆入力!G41,選定!$C$3:$AG$100,11,FALSE),"")</f>
        <v/>
      </c>
      <c r="C35" s="122" t="str">
        <f>IFERROR(VLOOKUP(☆入力!G41,選定!$C$3:$AG$100,1,FALSE),"")</f>
        <v/>
      </c>
      <c r="D35" s="155">
        <f>☆入力!L41</f>
        <v>0</v>
      </c>
      <c r="E35" s="151" t="str">
        <f>IFERROR(VLOOKUP(☆入力!G41,選定!$C$3:$AG$100,7,FALSE),"")</f>
        <v/>
      </c>
      <c r="F35" s="1179" t="str">
        <f t="shared" si="0"/>
        <v/>
      </c>
      <c r="G35" s="1180"/>
    </row>
    <row r="36" spans="1:7" ht="10.5" hidden="1" customHeight="1" outlineLevel="1">
      <c r="A36" s="154">
        <v>27</v>
      </c>
      <c r="B36" s="154" t="str">
        <f>IFERROR(VLOOKUP(☆入力!G42,選定!$C$3:$AG$100,11,FALSE),"")</f>
        <v/>
      </c>
      <c r="C36" s="122" t="str">
        <f>IFERROR(VLOOKUP(☆入力!G42,選定!$C$3:$AG$100,1,FALSE),"")</f>
        <v/>
      </c>
      <c r="D36" s="155">
        <f>☆入力!L42</f>
        <v>0</v>
      </c>
      <c r="E36" s="151" t="str">
        <f>IFERROR(VLOOKUP(☆入力!G42,選定!$C$3:$AG$100,7,FALSE),"")</f>
        <v/>
      </c>
      <c r="F36" s="1179" t="str">
        <f t="shared" si="0"/>
        <v/>
      </c>
      <c r="G36" s="1180"/>
    </row>
    <row r="37" spans="1:7" ht="10.5" hidden="1" customHeight="1" outlineLevel="1">
      <c r="A37" s="154">
        <v>28</v>
      </c>
      <c r="B37" s="154" t="str">
        <f>IFERROR(VLOOKUP(☆入力!G43,選定!$C$3:$AG$100,11,FALSE),"")</f>
        <v/>
      </c>
      <c r="C37" s="122" t="str">
        <f>IFERROR(VLOOKUP(☆入力!G43,選定!$C$3:$AG$100,1,FALSE),"")</f>
        <v/>
      </c>
      <c r="D37" s="155">
        <f>☆入力!L43</f>
        <v>0</v>
      </c>
      <c r="E37" s="151" t="str">
        <f>IFERROR(VLOOKUP(☆入力!G43,選定!$C$3:$AG$100,7,FALSE),"")</f>
        <v/>
      </c>
      <c r="F37" s="1179" t="str">
        <f t="shared" si="0"/>
        <v/>
      </c>
      <c r="G37" s="1180"/>
    </row>
    <row r="38" spans="1:7" ht="10.5" hidden="1" customHeight="1" outlineLevel="1">
      <c r="A38" s="154">
        <v>29</v>
      </c>
      <c r="B38" s="154" t="str">
        <f>IFERROR(VLOOKUP(☆入力!G44,選定!$C$3:$AG$100,11,FALSE),"")</f>
        <v/>
      </c>
      <c r="C38" s="122" t="str">
        <f>IFERROR(VLOOKUP(☆入力!G44,選定!$C$3:$AG$100,1,FALSE),"")</f>
        <v/>
      </c>
      <c r="D38" s="155">
        <f>☆入力!L44</f>
        <v>0</v>
      </c>
      <c r="E38" s="151" t="str">
        <f>IFERROR(VLOOKUP(☆入力!G44,選定!$C$3:$AG$100,7,FALSE),"")</f>
        <v/>
      </c>
      <c r="F38" s="1179" t="str">
        <f t="shared" si="0"/>
        <v/>
      </c>
      <c r="G38" s="1180"/>
    </row>
    <row r="39" spans="1:7" ht="10.5" hidden="1" customHeight="1" outlineLevel="1">
      <c r="A39" s="160">
        <v>30</v>
      </c>
      <c r="B39" s="160" t="str">
        <f>IFERROR(VLOOKUP(☆入力!G45,選定!$C$3:$AG$100,11,FALSE),"")</f>
        <v/>
      </c>
      <c r="C39" s="645" t="str">
        <f>IFERROR(VLOOKUP(☆入力!G45,選定!$C$3:$AG$100,1,FALSE),"")</f>
        <v/>
      </c>
      <c r="D39" s="162">
        <f>☆入力!L45</f>
        <v>0</v>
      </c>
      <c r="E39" s="646" t="str">
        <f>IFERROR(VLOOKUP(☆入力!G45,選定!$C$3:$AG$100,7,FALSE),"")</f>
        <v/>
      </c>
      <c r="F39" s="1181" t="str">
        <f t="shared" si="0"/>
        <v/>
      </c>
      <c r="G39" s="1182"/>
    </row>
    <row r="40" spans="1:7" ht="10.5" customHeight="1" collapsed="1">
      <c r="A40" s="647"/>
      <c r="B40" s="647"/>
      <c r="C40" s="648"/>
      <c r="D40" s="649"/>
      <c r="E40" s="652" t="s">
        <v>385</v>
      </c>
      <c r="F40" s="1225">
        <f>SUM(F10:G39)</f>
        <v>0</v>
      </c>
      <c r="G40" s="1225"/>
    </row>
    <row r="41" spans="1:7" ht="10.5" customHeight="1">
      <c r="A41" s="113"/>
      <c r="B41" s="113"/>
      <c r="C41" s="114"/>
      <c r="D41" s="115"/>
      <c r="E41" s="115"/>
      <c r="F41" s="116"/>
      <c r="G41" s="116"/>
    </row>
    <row r="42" spans="1:7" ht="10.5" customHeight="1">
      <c r="A42" s="1126" t="s">
        <v>386</v>
      </c>
      <c r="B42" s="1127"/>
      <c r="C42" s="1128"/>
      <c r="D42" s="473" t="s">
        <v>200</v>
      </c>
      <c r="E42" s="473" t="s">
        <v>368</v>
      </c>
      <c r="F42" s="1114" t="s">
        <v>369</v>
      </c>
      <c r="G42" s="1114"/>
    </row>
    <row r="43" spans="1:7" ht="10.5" customHeight="1">
      <c r="A43" s="1129" t="s">
        <v>387</v>
      </c>
      <c r="B43" s="1130"/>
      <c r="C43" s="1131"/>
      <c r="D43" s="151">
        <f>VLOOKUP(☆入力!L14,LED計算式!M21:N27,2,TRUE)</f>
        <v>1</v>
      </c>
      <c r="E43" s="151">
        <v>20000</v>
      </c>
      <c r="F43" s="1183">
        <f t="shared" ref="F43:F49" si="1">IFERROR(E43*D43,"")</f>
        <v>20000</v>
      </c>
      <c r="G43" s="1183"/>
    </row>
    <row r="44" spans="1:7" ht="10.5" customHeight="1">
      <c r="A44" s="1133" t="s">
        <v>388</v>
      </c>
      <c r="B44" s="1134"/>
      <c r="C44" s="1135"/>
      <c r="D44" s="153">
        <f>LED計算式!O36</f>
        <v>0</v>
      </c>
      <c r="E44" s="153">
        <v>3000</v>
      </c>
      <c r="F44" s="1113">
        <f t="shared" si="1"/>
        <v>0</v>
      </c>
      <c r="G44" s="1113"/>
    </row>
    <row r="45" spans="1:7" ht="10.5" customHeight="1" outlineLevel="1">
      <c r="A45" s="1172" t="s">
        <v>404</v>
      </c>
      <c r="B45" s="1173"/>
      <c r="C45" s="1174"/>
      <c r="D45" s="153">
        <f>LED計算式!O37</f>
        <v>0</v>
      </c>
      <c r="E45" s="153">
        <v>5000</v>
      </c>
      <c r="F45" s="1113">
        <f t="shared" si="1"/>
        <v>0</v>
      </c>
      <c r="G45" s="1113"/>
    </row>
    <row r="46" spans="1:7" ht="10.5" hidden="1" customHeight="1" outlineLevel="1">
      <c r="A46" s="1172" t="s">
        <v>402</v>
      </c>
      <c r="B46" s="1173"/>
      <c r="C46" s="1174"/>
      <c r="D46" s="153">
        <f>LED計算式!O39</f>
        <v>0</v>
      </c>
      <c r="E46" s="153">
        <v>600</v>
      </c>
      <c r="F46" s="1113">
        <f t="shared" si="1"/>
        <v>0</v>
      </c>
      <c r="G46" s="1113"/>
    </row>
    <row r="47" spans="1:7" ht="10.5" customHeight="1">
      <c r="A47" s="1133" t="s">
        <v>393</v>
      </c>
      <c r="B47" s="1134"/>
      <c r="C47" s="1135"/>
      <c r="D47" s="153">
        <f>☆入力!L14</f>
        <v>0</v>
      </c>
      <c r="E47" s="153">
        <v>1000</v>
      </c>
      <c r="F47" s="1113">
        <f t="shared" si="1"/>
        <v>0</v>
      </c>
      <c r="G47" s="1113"/>
    </row>
    <row r="48" spans="1:7" ht="10.5" customHeight="1">
      <c r="A48" s="1133"/>
      <c r="B48" s="1134"/>
      <c r="C48" s="1135"/>
      <c r="D48" s="153"/>
      <c r="E48" s="153"/>
      <c r="F48" s="1113">
        <f t="shared" si="1"/>
        <v>0</v>
      </c>
      <c r="G48" s="1113"/>
    </row>
    <row r="49" spans="1:8" ht="10.5" customHeight="1">
      <c r="A49" s="1136">
        <f>☆入力!AH12</f>
        <v>0</v>
      </c>
      <c r="B49" s="1137"/>
      <c r="C49" s="1138"/>
      <c r="D49" s="161" t="str">
        <f>IF(☆入力!AH12&lt;&gt;"","1","")</f>
        <v/>
      </c>
      <c r="E49" s="162">
        <f>☆入力!AJ12</f>
        <v>0</v>
      </c>
      <c r="F49" s="1168" t="str">
        <f t="shared" si="1"/>
        <v/>
      </c>
      <c r="G49" s="1168"/>
    </row>
    <row r="50" spans="1:8" ht="10.5" customHeight="1">
      <c r="A50" s="106"/>
      <c r="B50" s="106"/>
      <c r="C50" s="106"/>
      <c r="D50" s="106"/>
      <c r="E50" s="652" t="s">
        <v>395</v>
      </c>
      <c r="F50" s="1225">
        <f>SUM(F43:G49)</f>
        <v>20000</v>
      </c>
      <c r="G50" s="1225"/>
    </row>
    <row r="51" spans="1:8" ht="10.5" customHeight="1">
      <c r="D51" s="106"/>
      <c r="E51" s="106"/>
      <c r="F51" s="106"/>
      <c r="G51" s="106"/>
    </row>
    <row r="52" spans="1:8" ht="10.5" customHeight="1">
      <c r="D52" s="106"/>
      <c r="E52" s="653" t="s">
        <v>396</v>
      </c>
      <c r="F52" s="1215">
        <f>ROUNDDOWN(F40+F50,0)</f>
        <v>20000</v>
      </c>
      <c r="G52" s="1215"/>
    </row>
    <row r="53" spans="1:8" ht="10.5" customHeight="1">
      <c r="D53" s="106"/>
      <c r="E53" s="653" t="s">
        <v>384</v>
      </c>
      <c r="F53" s="1215">
        <f ca="1">(☆入力!AL14+代理店入力用!D5)-SUM(F40,F43:G49)</f>
        <v>-20000</v>
      </c>
      <c r="G53" s="1215"/>
    </row>
    <row r="54" spans="1:8" ht="10.5" customHeight="1" thickBot="1">
      <c r="A54" s="1132" t="s">
        <v>372</v>
      </c>
      <c r="B54" s="1132"/>
      <c r="C54" s="1132"/>
      <c r="D54" s="106"/>
      <c r="E54" s="650" t="s">
        <v>405</v>
      </c>
      <c r="F54" s="651"/>
      <c r="G54" s="651">
        <f ca="1">SUM(F52:G53)</f>
        <v>0</v>
      </c>
    </row>
    <row r="55" spans="1:8" ht="10.5" customHeight="1" thickTop="1">
      <c r="A55" s="1216" t="str">
        <f>☆入力!AH4</f>
        <v>生産終了品などがあった場合、同メーカーもしくは他メーカーの同等品に変更される場合がございます。</v>
      </c>
      <c r="B55" s="1217"/>
      <c r="C55" s="1218"/>
      <c r="D55" s="106"/>
      <c r="E55" s="117"/>
      <c r="F55" s="644"/>
      <c r="G55" s="644"/>
    </row>
    <row r="56" spans="1:8" ht="10.15" customHeight="1" thickBot="1">
      <c r="A56" s="1219"/>
      <c r="B56" s="1220"/>
      <c r="C56" s="1221"/>
      <c r="D56" s="106"/>
    </row>
    <row r="57" spans="1:8" ht="10.15" customHeight="1">
      <c r="A57" s="1219" t="str">
        <f>☆入力!AH5</f>
        <v>新しい照明器具が、既設よりも一回り小さくなるケースがあり、その際は外壁塗装面が露出する</v>
      </c>
      <c r="B57" s="1220"/>
      <c r="C57" s="1221"/>
      <c r="E57" s="1151" t="s">
        <v>364</v>
      </c>
      <c r="F57" s="1143">
        <f ca="1">VLOOKUP(E57,I11:J12,2,FALSE)</f>
        <v>0</v>
      </c>
      <c r="G57" s="1144"/>
    </row>
    <row r="58" spans="1:8" ht="10.15" customHeight="1" thickBot="1">
      <c r="A58" s="1219"/>
      <c r="B58" s="1220"/>
      <c r="C58" s="1221"/>
      <c r="E58" s="1152"/>
      <c r="F58" s="1145"/>
      <c r="G58" s="1146"/>
    </row>
    <row r="59" spans="1:8" ht="10.15" customHeight="1">
      <c r="A59" s="1219" t="str">
        <f>☆入力!AH6</f>
        <v>可能性がございます。</v>
      </c>
      <c r="B59" s="1220"/>
      <c r="C59" s="1221"/>
      <c r="E59" s="1147" t="s">
        <v>360</v>
      </c>
      <c r="F59" s="1149">
        <f ca="1">VLOOKUP(E59,I9:J10,2,FALSE)</f>
        <v>0</v>
      </c>
      <c r="G59" s="1139" t="str">
        <f>"×"&amp;LED計算式!AD2&amp;"ヵ月"</f>
        <v>×120ヵ月</v>
      </c>
    </row>
    <row r="60" spans="1:8" ht="10.15" customHeight="1" thickBot="1">
      <c r="A60" s="1222"/>
      <c r="B60" s="1223"/>
      <c r="C60" s="1224"/>
      <c r="E60" s="1148"/>
      <c r="F60" s="1150"/>
      <c r="G60" s="1140"/>
    </row>
    <row r="61" spans="1:8">
      <c r="E61" s="232"/>
      <c r="G61" s="76">
        <v>8</v>
      </c>
      <c r="H61" s="383"/>
    </row>
  </sheetData>
  <mergeCells count="65">
    <mergeCell ref="F9:G9"/>
    <mergeCell ref="A1:C2"/>
    <mergeCell ref="A3:C4"/>
    <mergeCell ref="E4:G4"/>
    <mergeCell ref="E5:G5"/>
    <mergeCell ref="E6:G6"/>
    <mergeCell ref="F21:G21"/>
    <mergeCell ref="F10:G10"/>
    <mergeCell ref="F11:G11"/>
    <mergeCell ref="F12:G12"/>
    <mergeCell ref="F13:G13"/>
    <mergeCell ref="F14:G14"/>
    <mergeCell ref="F15:G15"/>
    <mergeCell ref="F16:G16"/>
    <mergeCell ref="F17:G17"/>
    <mergeCell ref="F18:G18"/>
    <mergeCell ref="F19:G19"/>
    <mergeCell ref="F20:G20"/>
    <mergeCell ref="F33:G33"/>
    <mergeCell ref="F22:G22"/>
    <mergeCell ref="F23:G23"/>
    <mergeCell ref="F24:G24"/>
    <mergeCell ref="F25:G25"/>
    <mergeCell ref="F26:G26"/>
    <mergeCell ref="F27:G27"/>
    <mergeCell ref="F28:G28"/>
    <mergeCell ref="F29:G29"/>
    <mergeCell ref="F30:G30"/>
    <mergeCell ref="F31:G31"/>
    <mergeCell ref="F32:G32"/>
    <mergeCell ref="F40:G40"/>
    <mergeCell ref="A42:C42"/>
    <mergeCell ref="F42:G42"/>
    <mergeCell ref="F34:G34"/>
    <mergeCell ref="F35:G35"/>
    <mergeCell ref="F36:G36"/>
    <mergeCell ref="F37:G37"/>
    <mergeCell ref="F38:G38"/>
    <mergeCell ref="F39:G39"/>
    <mergeCell ref="A46:C46"/>
    <mergeCell ref="F46:G46"/>
    <mergeCell ref="A43:C43"/>
    <mergeCell ref="F43:G43"/>
    <mergeCell ref="A44:C44"/>
    <mergeCell ref="F44:G44"/>
    <mergeCell ref="A45:C45"/>
    <mergeCell ref="F45:G45"/>
    <mergeCell ref="F50:G50"/>
    <mergeCell ref="F52:G52"/>
    <mergeCell ref="E57:E58"/>
    <mergeCell ref="F57:G58"/>
    <mergeCell ref="A47:C47"/>
    <mergeCell ref="F47:G47"/>
    <mergeCell ref="A48:C48"/>
    <mergeCell ref="F48:G48"/>
    <mergeCell ref="A49:C49"/>
    <mergeCell ref="F49:G49"/>
    <mergeCell ref="E59:E60"/>
    <mergeCell ref="F59:F60"/>
    <mergeCell ref="G59:G60"/>
    <mergeCell ref="F53:G53"/>
    <mergeCell ref="A54:C54"/>
    <mergeCell ref="A55:C56"/>
    <mergeCell ref="A57:C58"/>
    <mergeCell ref="A59:C60"/>
  </mergeCells>
  <phoneticPr fontId="2"/>
  <conditionalFormatting sqref="A55">
    <cfRule type="cellIs" dxfId="57" priority="2" operator="equal">
      <formula>0</formula>
    </cfRule>
  </conditionalFormatting>
  <conditionalFormatting sqref="A52:C53">
    <cfRule type="cellIs" dxfId="56" priority="3" operator="equal">
      <formula>0</formula>
    </cfRule>
  </conditionalFormatting>
  <conditionalFormatting sqref="A55:C60">
    <cfRule type="cellIs" dxfId="55" priority="1" operator="equal">
      <formula>0</formula>
    </cfRule>
  </conditionalFormatting>
  <conditionalFormatting sqref="B10:B41">
    <cfRule type="cellIs" dxfId="54" priority="4" operator="equal">
      <formula>0</formula>
    </cfRule>
  </conditionalFormatting>
  <dataValidations count="2">
    <dataValidation type="list" allowBlank="1" showInputMessage="1" showErrorMessage="1" sqref="E59:E60" xr:uid="{8844E98F-FFFE-42F9-9085-158F00915F42}">
      <formula1>$I$9:$I$10</formula1>
    </dataValidation>
    <dataValidation type="list" allowBlank="1" showInputMessage="1" showErrorMessage="1" sqref="E57:E58" xr:uid="{075435C3-4155-470E-9873-18FC6378671C}">
      <formula1>$I$11:$I$12</formula1>
    </dataValidation>
  </dataValidations>
  <printOptions horizontalCentered="1" verticalCentered="1"/>
  <pageMargins left="0" right="0" top="0" bottom="0" header="0" footer="0"/>
  <pageSetup paperSize="9" scale="95" orientation="landscape"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0EDE-9506-40F8-829C-A636CEB0D14B}">
  <sheetPr>
    <tabColor rgb="FF00B050"/>
  </sheetPr>
  <dimension ref="A1:O44"/>
  <sheetViews>
    <sheetView view="pageBreakPreview" zoomScale="70" zoomScaleNormal="85" zoomScaleSheetLayoutView="70" workbookViewId="0">
      <selection activeCell="N40" sqref="N40"/>
    </sheetView>
  </sheetViews>
  <sheetFormatPr defaultColWidth="9" defaultRowHeight="12" outlineLevelRow="1"/>
  <cols>
    <col min="1" max="1" width="5.75" style="28" customWidth="1"/>
    <col min="2" max="2" width="10.75" style="28" customWidth="1"/>
    <col min="3" max="3" width="32.625" style="28" customWidth="1"/>
    <col min="4" max="4" width="5.75" style="28" customWidth="1"/>
    <col min="5" max="5" width="19.125" style="28" customWidth="1"/>
    <col min="6" max="6" width="11.25" style="28" customWidth="1"/>
    <col min="7" max="7" width="10.625" style="28" customWidth="1"/>
    <col min="8" max="13" width="9" style="28"/>
    <col min="14" max="14" width="20.25" style="28" customWidth="1"/>
    <col min="15" max="15" width="10" style="28" bestFit="1" customWidth="1"/>
    <col min="16" max="16384" width="9" style="28"/>
  </cols>
  <sheetData>
    <row r="1" spans="1:15" ht="15" customHeight="1">
      <c r="A1" s="1047" t="s">
        <v>352</v>
      </c>
      <c r="B1" s="1047"/>
      <c r="C1" s="1047"/>
      <c r="J1" s="28" t="s">
        <v>406</v>
      </c>
      <c r="K1" s="1257">
        <f ca="1">TODAY()</f>
        <v>46080</v>
      </c>
      <c r="L1" s="1257"/>
    </row>
    <row r="2" spans="1:15" ht="15" customHeight="1" thickBot="1">
      <c r="A2" s="1047"/>
      <c r="B2" s="1047"/>
      <c r="C2" s="1047"/>
      <c r="F2" s="107"/>
      <c r="G2" s="108"/>
    </row>
    <row r="3" spans="1:15" ht="15" customHeight="1" thickTop="1" thickBot="1">
      <c r="H3" s="1268" t="s">
        <v>407</v>
      </c>
      <c r="I3" s="1269"/>
      <c r="K3" s="1266" t="s">
        <v>408</v>
      </c>
      <c r="L3" s="1267"/>
    </row>
    <row r="4" spans="1:15" ht="15" customHeight="1" thickTop="1" thickBot="1">
      <c r="A4" s="1259">
        <f>☆入力!C5</f>
        <v>0</v>
      </c>
      <c r="B4" s="1259"/>
      <c r="C4" s="1259"/>
      <c r="H4" s="1270">
        <f ca="1">F39</f>
        <v>0</v>
      </c>
      <c r="I4" s="1271"/>
      <c r="J4" s="1233" t="s">
        <v>409</v>
      </c>
      <c r="K4" s="1229">
        <f>④前後a!BA29/120</f>
        <v>0</v>
      </c>
      <c r="L4" s="1230"/>
      <c r="N4" s="379"/>
      <c r="O4" s="380"/>
    </row>
    <row r="5" spans="1:15" ht="15" customHeight="1" thickTop="1" thickBot="1">
      <c r="A5" s="1260"/>
      <c r="B5" s="1260"/>
      <c r="C5" s="1260"/>
      <c r="H5" s="1270"/>
      <c r="I5" s="1271"/>
      <c r="J5" s="1234"/>
      <c r="K5" s="1229"/>
      <c r="L5" s="1230"/>
      <c r="N5" s="379"/>
      <c r="O5" s="380"/>
    </row>
    <row r="6" spans="1:15" ht="15" customHeight="1" thickTop="1" thickBot="1">
      <c r="E6" s="1065" t="str">
        <f>IF(代理店入力用!N3="",①表紙!I25,代理店入力用!N3)</f>
        <v>株式会社ニッショー</v>
      </c>
      <c r="F6" s="1065"/>
      <c r="G6" s="1065"/>
      <c r="N6" s="28" t="s">
        <v>363</v>
      </c>
      <c r="O6" s="381">
        <f ca="1">F39</f>
        <v>0</v>
      </c>
    </row>
    <row r="7" spans="1:15" ht="15" customHeight="1" thickTop="1" thickBot="1">
      <c r="A7" s="109" t="s">
        <v>354</v>
      </c>
      <c r="B7" s="109"/>
      <c r="C7" s="109"/>
      <c r="E7" s="1066" t="str">
        <f>IF(代理店入力用!N5="",①表紙!I26,①表紙!A26)</f>
        <v>〒151-0071　東京都渋谷区本町2-6-3 D'sVARIE初台ビル3F</v>
      </c>
      <c r="F7" s="1066"/>
      <c r="G7" s="1066"/>
      <c r="K7" s="1235" t="s">
        <v>410</v>
      </c>
      <c r="L7" s="1236"/>
      <c r="N7" s="28" t="s">
        <v>364</v>
      </c>
      <c r="O7" s="381">
        <f ca="1">O6*1.1</f>
        <v>0</v>
      </c>
    </row>
    <row r="8" spans="1:15" ht="15" customHeight="1" thickTop="1" thickBot="1">
      <c r="A8" s="109" t="s">
        <v>355</v>
      </c>
      <c r="B8" s="109"/>
      <c r="C8" s="109"/>
      <c r="E8" s="1066" t="str">
        <f>IF(代理店入力用!N6="",①表紙!I27,①表紙!A27)</f>
        <v>TEL：　管理担当営業所へお問い合わせ下さい。</v>
      </c>
      <c r="F8" s="1066"/>
      <c r="G8" s="1066"/>
      <c r="J8" s="1233" t="s">
        <v>411</v>
      </c>
      <c r="K8" s="1231" t="str">
        <f ca="1">IFERROR((H4/K4)/12,"0")</f>
        <v>0</v>
      </c>
      <c r="L8" s="1232"/>
    </row>
    <row r="9" spans="1:15" ht="15" customHeight="1" thickTop="1" thickBot="1">
      <c r="J9" s="1234"/>
      <c r="K9" s="1231"/>
      <c r="L9" s="1232"/>
    </row>
    <row r="10" spans="1:15" ht="15" customHeight="1" thickTop="1">
      <c r="A10" s="1261" t="s">
        <v>358</v>
      </c>
      <c r="B10" s="1262"/>
      <c r="C10" s="110" t="s">
        <v>359</v>
      </c>
      <c r="E10" s="1059" t="s">
        <v>364</v>
      </c>
      <c r="F10" s="1061">
        <f ca="1">VLOOKUP(E10,N6:O7,2,FALSE)</f>
        <v>0</v>
      </c>
      <c r="G10" s="1062"/>
    </row>
    <row r="11" spans="1:15" ht="15" customHeight="1" thickBot="1">
      <c r="A11" s="1263" t="s">
        <v>361</v>
      </c>
      <c r="B11" s="1264"/>
      <c r="C11" s="111" t="s">
        <v>362</v>
      </c>
      <c r="E11" s="1060"/>
      <c r="F11" s="1063"/>
      <c r="G11" s="1064"/>
    </row>
    <row r="12" spans="1:15" ht="15" customHeight="1">
      <c r="E12" s="232"/>
      <c r="M12" s="383" t="s">
        <v>412</v>
      </c>
    </row>
    <row r="13" spans="1:15">
      <c r="A13" s="471" t="s">
        <v>366</v>
      </c>
      <c r="B13" s="470" t="s">
        <v>413</v>
      </c>
      <c r="C13" s="470" t="s">
        <v>414</v>
      </c>
      <c r="D13" s="471" t="s">
        <v>200</v>
      </c>
      <c r="E13" s="471" t="s">
        <v>383</v>
      </c>
      <c r="F13" s="1046" t="s">
        <v>369</v>
      </c>
      <c r="G13" s="1046"/>
    </row>
    <row r="14" spans="1:15">
      <c r="A14" s="163">
        <v>1</v>
      </c>
      <c r="B14" s="163">
        <f>☆入力!C16</f>
        <v>0</v>
      </c>
      <c r="C14" s="318" t="str">
        <f>IFERROR(VLOOKUP(☆入力!G16,選定!$C$3:$AG$100,11,FALSE)&amp;"　"&amp;VLOOKUP(☆入力!G16,選定!$C$3:$AG$100,1,FALSE),"")</f>
        <v/>
      </c>
      <c r="D14" s="164">
        <f>☆入力!L16</f>
        <v>0</v>
      </c>
      <c r="E14" s="164" t="str">
        <f>IFERROR(VLOOKUP(☆入力!G16,選定!$C$3:$AG$100,7,FALSE),"")</f>
        <v/>
      </c>
      <c r="F14" s="1265" t="str">
        <f>IFERROR(E14*D14,"")</f>
        <v/>
      </c>
      <c r="G14" s="1265"/>
    </row>
    <row r="15" spans="1:15">
      <c r="A15" s="165">
        <v>2</v>
      </c>
      <c r="B15" s="165">
        <f>☆入力!C17</f>
        <v>0</v>
      </c>
      <c r="C15" s="319" t="str">
        <f>IFERROR(VLOOKUP(☆入力!G17,選定!$C$3:$AG$100,11,FALSE)&amp;"　"&amp;VLOOKUP(☆入力!G17,選定!$C$3:$AG$100,1,FALSE),"")</f>
        <v/>
      </c>
      <c r="D15" s="166">
        <f>☆入力!L17</f>
        <v>0</v>
      </c>
      <c r="E15" s="166" t="str">
        <f>IFERROR(VLOOKUP(☆入力!G17,選定!$C$3:$AG$100,7,FALSE),"")</f>
        <v/>
      </c>
      <c r="F15" s="1240" t="str">
        <f t="shared" ref="F15:F26" si="0">IFERROR(E15*D15,"")</f>
        <v/>
      </c>
      <c r="G15" s="1240"/>
    </row>
    <row r="16" spans="1:15">
      <c r="A16" s="165">
        <v>3</v>
      </c>
      <c r="B16" s="165">
        <f>☆入力!C18</f>
        <v>0</v>
      </c>
      <c r="C16" s="319" t="str">
        <f>IFERROR(VLOOKUP(☆入力!G18,選定!$C$3:$AG$100,11,FALSE)&amp;"　"&amp;VLOOKUP(☆入力!G18,選定!$C$3:$AG$100,1,FALSE),"")</f>
        <v/>
      </c>
      <c r="D16" s="166">
        <f>☆入力!L18</f>
        <v>0</v>
      </c>
      <c r="E16" s="166" t="str">
        <f>IFERROR(VLOOKUP(☆入力!G18,選定!$C$3:$AG$100,7,FALSE),"")</f>
        <v/>
      </c>
      <c r="F16" s="1240" t="str">
        <f t="shared" si="0"/>
        <v/>
      </c>
      <c r="G16" s="1240"/>
    </row>
    <row r="17" spans="1:7">
      <c r="A17" s="165">
        <v>4</v>
      </c>
      <c r="B17" s="165">
        <f>☆入力!C19</f>
        <v>0</v>
      </c>
      <c r="C17" s="319" t="str">
        <f>IFERROR(VLOOKUP(☆入力!G19,選定!$C$3:$AG$100,11,FALSE)&amp;"　"&amp;VLOOKUP(☆入力!G19,選定!$C$3:$AG$100,1,FALSE),"")</f>
        <v/>
      </c>
      <c r="D17" s="166">
        <f>☆入力!L19</f>
        <v>0</v>
      </c>
      <c r="E17" s="166" t="str">
        <f>IFERROR(VLOOKUP(☆入力!G19,選定!$C$3:$AG$100,7,FALSE),"")</f>
        <v/>
      </c>
      <c r="F17" s="1240" t="str">
        <f t="shared" si="0"/>
        <v/>
      </c>
      <c r="G17" s="1240"/>
    </row>
    <row r="18" spans="1:7">
      <c r="A18" s="165">
        <v>5</v>
      </c>
      <c r="B18" s="165">
        <f>☆入力!C20</f>
        <v>0</v>
      </c>
      <c r="C18" s="319" t="str">
        <f>IFERROR(VLOOKUP(☆入力!G20,選定!$C$3:$AG$100,11,FALSE)&amp;"　"&amp;VLOOKUP(☆入力!G20,選定!$C$3:$AG$100,1,FALSE),"")</f>
        <v/>
      </c>
      <c r="D18" s="166">
        <f>☆入力!L20</f>
        <v>0</v>
      </c>
      <c r="E18" s="166" t="str">
        <f>IFERROR(VLOOKUP(☆入力!G20,選定!$C$3:$AG$100,7,FALSE),"")</f>
        <v/>
      </c>
      <c r="F18" s="1240" t="str">
        <f t="shared" si="0"/>
        <v/>
      </c>
      <c r="G18" s="1240"/>
    </row>
    <row r="19" spans="1:7">
      <c r="A19" s="165">
        <v>6</v>
      </c>
      <c r="B19" s="165">
        <f>☆入力!C21</f>
        <v>0</v>
      </c>
      <c r="C19" s="319" t="str">
        <f>IFERROR(VLOOKUP(☆入力!G21,選定!$C$3:$AG$100,11,FALSE)&amp;"　"&amp;VLOOKUP(☆入力!G21,選定!$C$3:$AG$100,1,FALSE),"")</f>
        <v/>
      </c>
      <c r="D19" s="166">
        <f>☆入力!L21</f>
        <v>0</v>
      </c>
      <c r="E19" s="166" t="str">
        <f>IFERROR(VLOOKUP(☆入力!G21,選定!$C$3:$AG$100,7,FALSE),"")</f>
        <v/>
      </c>
      <c r="F19" s="1240" t="str">
        <f t="shared" si="0"/>
        <v/>
      </c>
      <c r="G19" s="1240"/>
    </row>
    <row r="20" spans="1:7">
      <c r="A20" s="165">
        <v>7</v>
      </c>
      <c r="B20" s="165">
        <f>☆入力!C22</f>
        <v>0</v>
      </c>
      <c r="C20" s="319" t="str">
        <f>IFERROR(VLOOKUP(☆入力!G22,選定!$C$3:$AG$100,11,FALSE)&amp;"　"&amp;VLOOKUP(☆入力!G22,選定!$C$3:$AG$100,1,FALSE),"")</f>
        <v/>
      </c>
      <c r="D20" s="166">
        <f>☆入力!L22</f>
        <v>0</v>
      </c>
      <c r="E20" s="166" t="str">
        <f>IFERROR(VLOOKUP(☆入力!G22,選定!$C$3:$AG$100,7,FALSE),"")</f>
        <v/>
      </c>
      <c r="F20" s="1240" t="str">
        <f t="shared" si="0"/>
        <v/>
      </c>
      <c r="G20" s="1240"/>
    </row>
    <row r="21" spans="1:7">
      <c r="A21" s="165">
        <v>8</v>
      </c>
      <c r="B21" s="165">
        <f>☆入力!C23</f>
        <v>0</v>
      </c>
      <c r="C21" s="319" t="str">
        <f>IFERROR(VLOOKUP(☆入力!G23,選定!$C$3:$AG$100,11,FALSE)&amp;"　"&amp;VLOOKUP(☆入力!G23,選定!$C$3:$AG$100,1,FALSE),"")</f>
        <v/>
      </c>
      <c r="D21" s="166">
        <f>☆入力!L23</f>
        <v>0</v>
      </c>
      <c r="E21" s="166" t="str">
        <f>IFERROR(VLOOKUP(☆入力!G23,選定!$C$3:$AG$100,7,FALSE),"")</f>
        <v/>
      </c>
      <c r="F21" s="1240" t="str">
        <f>IFERROR(E21*D21,"")</f>
        <v/>
      </c>
      <c r="G21" s="1240"/>
    </row>
    <row r="22" spans="1:7">
      <c r="A22" s="165">
        <v>9</v>
      </c>
      <c r="B22" s="165">
        <f>☆入力!C24</f>
        <v>0</v>
      </c>
      <c r="C22" s="319" t="str">
        <f>IFERROR(VLOOKUP(☆入力!G24,選定!$C$3:$AG$100,11,FALSE)&amp;"　"&amp;VLOOKUP(☆入力!G24,選定!$C$3:$AG$100,1,FALSE),"")</f>
        <v/>
      </c>
      <c r="D22" s="166">
        <f>☆入力!L24</f>
        <v>0</v>
      </c>
      <c r="E22" s="166" t="str">
        <f>IFERROR(VLOOKUP(☆入力!G24,選定!$C$3:$AG$100,7,FALSE),"")</f>
        <v/>
      </c>
      <c r="F22" s="1240" t="str">
        <f>IFERROR(E22*D22,"")</f>
        <v/>
      </c>
      <c r="G22" s="1240"/>
    </row>
    <row r="23" spans="1:7">
      <c r="A23" s="167">
        <v>10</v>
      </c>
      <c r="B23" s="167">
        <f>☆入力!C25</f>
        <v>0</v>
      </c>
      <c r="C23" s="320" t="str">
        <f>IFERROR(VLOOKUP(☆入力!G25,選定!$C$3:$AG$100,11,FALSE)&amp;"　"&amp;VLOOKUP(☆入力!G25,選定!$C$3:$AG$100,1,FALSE),"")</f>
        <v/>
      </c>
      <c r="D23" s="181">
        <f>☆入力!L25</f>
        <v>0</v>
      </c>
      <c r="E23" s="181" t="str">
        <f>IFERROR(VLOOKUP(☆入力!G25,選定!$C$3:$AG$100,7,FALSE),"")</f>
        <v/>
      </c>
      <c r="F23" s="1238" t="str">
        <f>IFERROR(E23*D23,"")</f>
        <v/>
      </c>
      <c r="G23" s="1238"/>
    </row>
    <row r="24" spans="1:7">
      <c r="E24" s="213" t="s">
        <v>415</v>
      </c>
      <c r="F24" s="1239">
        <f>ROUNDDOWN(SUM(F14:G23),0)</f>
        <v>0</v>
      </c>
      <c r="G24" s="1239"/>
    </row>
    <row r="25" spans="1:7" ht="12" customHeight="1">
      <c r="A25" s="1044" t="s">
        <v>386</v>
      </c>
      <c r="B25" s="1258"/>
      <c r="C25" s="1045"/>
      <c r="D25" s="471" t="s">
        <v>200</v>
      </c>
      <c r="E25" s="476" t="s">
        <v>368</v>
      </c>
      <c r="F25" s="1256" t="s">
        <v>369</v>
      </c>
      <c r="G25" s="1256"/>
    </row>
    <row r="26" spans="1:7" ht="12" customHeight="1">
      <c r="A26" s="1241" t="s">
        <v>387</v>
      </c>
      <c r="B26" s="1242"/>
      <c r="C26" s="1243"/>
      <c r="D26" s="166">
        <f>VLOOKUP(☆入力!L14,LED計算式!M21:N26,2,TRUE)</f>
        <v>1</v>
      </c>
      <c r="E26" s="166">
        <v>20000</v>
      </c>
      <c r="F26" s="1240">
        <f t="shared" si="0"/>
        <v>20000</v>
      </c>
      <c r="G26" s="1240"/>
    </row>
    <row r="27" spans="1:7" ht="12" customHeight="1">
      <c r="A27" s="1073" t="s">
        <v>388</v>
      </c>
      <c r="B27" s="1244"/>
      <c r="C27" s="1074"/>
      <c r="D27" s="166">
        <f>LED計算式!O36</f>
        <v>0</v>
      </c>
      <c r="E27" s="336">
        <v>3000</v>
      </c>
      <c r="F27" s="1240">
        <f t="shared" ref="F27:F34" si="1">IFERROR(E27*D27,"")</f>
        <v>0</v>
      </c>
      <c r="G27" s="1240"/>
    </row>
    <row r="28" spans="1:7" ht="12" customHeight="1" outlineLevel="1">
      <c r="A28" s="1073" t="s">
        <v>416</v>
      </c>
      <c r="B28" s="1244"/>
      <c r="C28" s="1074"/>
      <c r="D28" s="166">
        <f>LED計算式!O37</f>
        <v>0</v>
      </c>
      <c r="E28" s="336">
        <v>5000</v>
      </c>
      <c r="F28" s="1240">
        <f t="shared" si="1"/>
        <v>0</v>
      </c>
      <c r="G28" s="1240"/>
    </row>
    <row r="29" spans="1:7" ht="12" customHeight="1" outlineLevel="1">
      <c r="A29" s="1073" t="s">
        <v>417</v>
      </c>
      <c r="B29" s="1244"/>
      <c r="C29" s="1074"/>
      <c r="D29" s="166">
        <f>LED計算式!O38</f>
        <v>0</v>
      </c>
      <c r="E29" s="336">
        <v>2000</v>
      </c>
      <c r="F29" s="1240">
        <f t="shared" si="1"/>
        <v>0</v>
      </c>
      <c r="G29" s="1240"/>
    </row>
    <row r="30" spans="1:7" ht="12" customHeight="1" outlineLevel="1">
      <c r="A30" s="1073" t="s">
        <v>391</v>
      </c>
      <c r="B30" s="1244"/>
      <c r="C30" s="1074"/>
      <c r="D30" s="166">
        <f>LED計算式!O39</f>
        <v>0</v>
      </c>
      <c r="E30" s="336">
        <v>600</v>
      </c>
      <c r="F30" s="1240">
        <f t="shared" si="1"/>
        <v>0</v>
      </c>
      <c r="G30" s="1240"/>
    </row>
    <row r="31" spans="1:7" ht="12" customHeight="1">
      <c r="A31" s="1073" t="s">
        <v>392</v>
      </c>
      <c r="B31" s="1244"/>
      <c r="C31" s="1074"/>
      <c r="D31" s="166">
        <f>COUNTA(☆入力!AG16:AG45)</f>
        <v>1</v>
      </c>
      <c r="E31" s="166">
        <v>3000</v>
      </c>
      <c r="F31" s="1240">
        <f t="shared" si="1"/>
        <v>3000</v>
      </c>
      <c r="G31" s="1240"/>
    </row>
    <row r="32" spans="1:7" ht="12" customHeight="1">
      <c r="A32" s="1073" t="s">
        <v>393</v>
      </c>
      <c r="B32" s="1244"/>
      <c r="C32" s="1074"/>
      <c r="D32" s="166">
        <f>☆入力!L14</f>
        <v>0</v>
      </c>
      <c r="E32" s="166">
        <v>1000</v>
      </c>
      <c r="F32" s="1240">
        <f t="shared" si="1"/>
        <v>0</v>
      </c>
      <c r="G32" s="1240"/>
    </row>
    <row r="33" spans="1:7" ht="12" customHeight="1">
      <c r="A33" s="1073" t="s">
        <v>394</v>
      </c>
      <c r="B33" s="1244"/>
      <c r="C33" s="1074"/>
      <c r="D33" s="166">
        <f>COUNTA(☆入力!AG16:AG45)</f>
        <v>1</v>
      </c>
      <c r="E33" s="166">
        <v>5000</v>
      </c>
      <c r="F33" s="1240">
        <f t="shared" si="1"/>
        <v>5000</v>
      </c>
      <c r="G33" s="1240"/>
    </row>
    <row r="34" spans="1:7" ht="12" customHeight="1">
      <c r="A34" s="1080">
        <f>☆入力!AH12</f>
        <v>0</v>
      </c>
      <c r="B34" s="1245"/>
      <c r="C34" s="1081"/>
      <c r="D34" s="218" t="str">
        <f>IF(☆入力!AH12&lt;&gt;"","1","")</f>
        <v/>
      </c>
      <c r="E34" s="181">
        <f>☆入力!AJ12</f>
        <v>0</v>
      </c>
      <c r="F34" s="1238" t="str">
        <f t="shared" si="1"/>
        <v/>
      </c>
      <c r="G34" s="1238"/>
    </row>
    <row r="35" spans="1:7">
      <c r="E35" s="213" t="s">
        <v>418</v>
      </c>
      <c r="F35" s="1239">
        <f>ROUNDDOWN(SUM(F26:G34),0)</f>
        <v>28000</v>
      </c>
      <c r="G35" s="1239"/>
    </row>
    <row r="36" spans="1:7">
      <c r="E36" s="212"/>
      <c r="F36" s="214"/>
      <c r="G36" s="214"/>
    </row>
    <row r="37" spans="1:7">
      <c r="E37" s="213" t="s">
        <v>419</v>
      </c>
      <c r="F37" s="1237">
        <f>F24+F35</f>
        <v>28000</v>
      </c>
      <c r="G37" s="1237"/>
    </row>
    <row r="38" spans="1:7">
      <c r="E38" s="215" t="s">
        <v>403</v>
      </c>
      <c r="F38" s="1237">
        <f ca="1">(☆入力!AL14+代理店入力用!D5)-SUM(F24,F35)</f>
        <v>-28000</v>
      </c>
      <c r="G38" s="1237"/>
    </row>
    <row r="39" spans="1:7" ht="12.75" thickBot="1">
      <c r="E39" s="216" t="s">
        <v>43</v>
      </c>
      <c r="F39" s="1246">
        <f ca="1">F37+F38</f>
        <v>0</v>
      </c>
      <c r="G39" s="1246"/>
    </row>
    <row r="40" spans="1:7" ht="12.75" thickTop="1"/>
    <row r="41" spans="1:7">
      <c r="B41" s="1540" t="s">
        <v>372</v>
      </c>
      <c r="C41" s="1540"/>
      <c r="D41" s="1540"/>
      <c r="E41" s="1540"/>
      <c r="F41" s="1540"/>
    </row>
    <row r="42" spans="1:7">
      <c r="B42" s="1247" t="str">
        <f>☆入力!AH4</f>
        <v>生産終了品などがあった場合、同メーカーもしくは他メーカーの同等品に変更される場合がございます。</v>
      </c>
      <c r="C42" s="1248"/>
      <c r="D42" s="1248"/>
      <c r="E42" s="1249"/>
      <c r="F42" s="356"/>
    </row>
    <row r="43" spans="1:7">
      <c r="B43" s="1250" t="str">
        <f>☆入力!AH5</f>
        <v>新しい照明器具が、既設よりも一回り小さくなるケースがあり、その際は外壁塗装面が露出する</v>
      </c>
      <c r="C43" s="1251"/>
      <c r="D43" s="1251"/>
      <c r="E43" s="1252"/>
      <c r="F43" s="356"/>
    </row>
    <row r="44" spans="1:7">
      <c r="B44" s="1253" t="str">
        <f>☆入力!AH6</f>
        <v>可能性がございます。</v>
      </c>
      <c r="C44" s="1254"/>
      <c r="D44" s="1254"/>
      <c r="E44" s="1255"/>
      <c r="F44" s="356"/>
    </row>
  </sheetData>
  <mergeCells count="58">
    <mergeCell ref="E6:G6"/>
    <mergeCell ref="E7:G7"/>
    <mergeCell ref="E8:G8"/>
    <mergeCell ref="K1:L1"/>
    <mergeCell ref="A25:C25"/>
    <mergeCell ref="A1:C2"/>
    <mergeCell ref="A4:C5"/>
    <mergeCell ref="E10:E11"/>
    <mergeCell ref="F10:G11"/>
    <mergeCell ref="A10:B10"/>
    <mergeCell ref="A11:B11"/>
    <mergeCell ref="F13:G13"/>
    <mergeCell ref="F14:G14"/>
    <mergeCell ref="K3:L3"/>
    <mergeCell ref="H3:I3"/>
    <mergeCell ref="H4:I5"/>
    <mergeCell ref="F15:G15"/>
    <mergeCell ref="F19:G19"/>
    <mergeCell ref="F20:G20"/>
    <mergeCell ref="F25:G25"/>
    <mergeCell ref="F26:G26"/>
    <mergeCell ref="F18:G18"/>
    <mergeCell ref="F16:G16"/>
    <mergeCell ref="F17:G17"/>
    <mergeCell ref="F21:G21"/>
    <mergeCell ref="F22:G22"/>
    <mergeCell ref="B41:F41"/>
    <mergeCell ref="F39:G39"/>
    <mergeCell ref="B42:E42"/>
    <mergeCell ref="B43:E43"/>
    <mergeCell ref="B44:E44"/>
    <mergeCell ref="A26:C26"/>
    <mergeCell ref="A27:C27"/>
    <mergeCell ref="A28:C28"/>
    <mergeCell ref="F27:G27"/>
    <mergeCell ref="F37:G37"/>
    <mergeCell ref="A34:C34"/>
    <mergeCell ref="A29:C29"/>
    <mergeCell ref="A30:C30"/>
    <mergeCell ref="A31:C31"/>
    <mergeCell ref="A32:C32"/>
    <mergeCell ref="A33:C33"/>
    <mergeCell ref="F38:G38"/>
    <mergeCell ref="F34:G34"/>
    <mergeCell ref="F35:G35"/>
    <mergeCell ref="F23:G23"/>
    <mergeCell ref="F28:G28"/>
    <mergeCell ref="F29:G29"/>
    <mergeCell ref="F30:G30"/>
    <mergeCell ref="F24:G24"/>
    <mergeCell ref="F31:G31"/>
    <mergeCell ref="F32:G32"/>
    <mergeCell ref="F33:G33"/>
    <mergeCell ref="K4:L5"/>
    <mergeCell ref="K8:L9"/>
    <mergeCell ref="J4:J5"/>
    <mergeCell ref="J8:J9"/>
    <mergeCell ref="K7:L7"/>
  </mergeCells>
  <phoneticPr fontId="2"/>
  <conditionalFormatting sqref="B14:B23">
    <cfRule type="cellIs" dxfId="53" priority="1" operator="equal">
      <formula>0</formula>
    </cfRule>
  </conditionalFormatting>
  <conditionalFormatting sqref="B42:B44">
    <cfRule type="cellIs" dxfId="52" priority="2" operator="equal">
      <formula>0</formula>
    </cfRule>
  </conditionalFormatting>
  <dataValidations count="1">
    <dataValidation type="list" allowBlank="1" showInputMessage="1" showErrorMessage="1" sqref="E10:E11" xr:uid="{2BF3FE39-89A8-4ED9-B5FF-C5CF9DE4B624}">
      <formula1>$N$6:$N$7</formula1>
    </dataValidation>
  </dataValidations>
  <printOptions horizontalCentered="1" verticalCentered="1"/>
  <pageMargins left="0.39370078740157483" right="0.39370078740157483" top="0.59055118110236227" bottom="0.59055118110236227" header="0.31496062992125984" footer="0.31496062992125984"/>
  <pageSetup paperSize="9" scale="88" orientation="landscape" horizontalDpi="300" verticalDpi="3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50E2F-008F-4429-9CE4-D0DC29DFCD2B}">
  <sheetPr>
    <tabColor rgb="FF00B0F0"/>
  </sheetPr>
  <dimension ref="A1:AY35"/>
  <sheetViews>
    <sheetView view="pageBreakPreview" topLeftCell="A4" zoomScale="50" zoomScaleNormal="85" zoomScaleSheetLayoutView="50" workbookViewId="0">
      <selection activeCell="A32" sqref="A32"/>
    </sheetView>
  </sheetViews>
  <sheetFormatPr defaultColWidth="3.625" defaultRowHeight="18.75" customHeight="1"/>
  <cols>
    <col min="1" max="1" width="3.625" style="4"/>
    <col min="2" max="2" width="3.625" style="4" customWidth="1"/>
    <col min="3" max="4" width="3.625" style="4"/>
    <col min="5" max="7" width="3.625" style="4" customWidth="1"/>
    <col min="8" max="16384" width="3.625" style="4"/>
  </cols>
  <sheetData>
    <row r="1" spans="1:51" ht="38.25">
      <c r="A1" s="1275" t="s">
        <v>420</v>
      </c>
      <c r="B1" s="1275"/>
      <c r="C1" s="1275"/>
      <c r="D1" s="1275"/>
      <c r="E1" s="1275"/>
      <c r="F1" s="1275"/>
      <c r="G1" s="1275"/>
      <c r="H1" s="1275"/>
      <c r="I1" s="1275"/>
      <c r="J1" s="1275"/>
      <c r="K1" s="1275"/>
      <c r="L1" s="1275"/>
      <c r="M1" s="1275"/>
      <c r="N1" s="1275"/>
      <c r="O1" s="1275"/>
      <c r="P1" s="1275"/>
      <c r="Q1" s="1275"/>
      <c r="R1" s="1275"/>
      <c r="S1" s="1275"/>
      <c r="T1" s="1275"/>
      <c r="U1" s="1275"/>
      <c r="V1" s="1275"/>
      <c r="W1" s="1275"/>
      <c r="X1" s="1275"/>
      <c r="Y1" s="1275"/>
      <c r="Z1" s="1275"/>
      <c r="AA1" s="1275"/>
      <c r="AB1" s="1275"/>
      <c r="AC1" s="1275"/>
      <c r="AD1" s="1275"/>
      <c r="AE1" s="1275"/>
      <c r="AF1" s="1275"/>
      <c r="AG1" s="1275"/>
      <c r="AH1" s="1275"/>
      <c r="AI1" s="1275"/>
      <c r="AJ1" s="1275"/>
      <c r="AK1" s="1275"/>
      <c r="AL1" s="1275"/>
      <c r="AM1" s="1275"/>
      <c r="AN1" s="1275"/>
      <c r="AO1" s="1275"/>
      <c r="AP1" s="1275"/>
      <c r="AQ1" s="1275"/>
      <c r="AR1" s="1275"/>
      <c r="AS1" s="1275"/>
      <c r="AT1" s="1275"/>
      <c r="AU1" s="1275"/>
      <c r="AV1" s="1275"/>
      <c r="AW1" s="1275"/>
      <c r="AX1" s="1275"/>
      <c r="AY1" s="1275"/>
    </row>
    <row r="2" spans="1:51" ht="22.15" customHeight="1">
      <c r="A2" s="1276" t="s">
        <v>421</v>
      </c>
      <c r="B2" s="1276"/>
      <c r="C2" s="1276"/>
      <c r="D2" s="1276"/>
      <c r="E2" s="1276"/>
      <c r="F2" s="1276"/>
      <c r="G2" s="1276"/>
      <c r="H2" s="1276"/>
      <c r="I2" s="1276"/>
      <c r="J2" s="1276"/>
      <c r="K2" s="1276"/>
      <c r="L2" s="1276"/>
      <c r="M2" s="1276"/>
      <c r="N2" s="1276"/>
      <c r="O2" s="1276"/>
      <c r="P2" s="1276"/>
      <c r="Q2" s="1276"/>
      <c r="R2" s="1276"/>
      <c r="S2" s="1276"/>
      <c r="T2" s="1276"/>
      <c r="U2" s="1276"/>
      <c r="V2" s="1276"/>
      <c r="W2" s="1276"/>
      <c r="X2" s="1276"/>
      <c r="Y2" s="1276"/>
      <c r="Z2" s="1276"/>
      <c r="AA2" s="1276"/>
      <c r="AB2" s="1276"/>
      <c r="AC2" s="1276"/>
      <c r="AD2" s="477"/>
      <c r="AF2" s="1276" t="s">
        <v>422</v>
      </c>
      <c r="AG2" s="1276"/>
      <c r="AH2" s="1276"/>
      <c r="AI2" s="1276"/>
      <c r="AJ2" s="1276"/>
      <c r="AK2" s="1276"/>
      <c r="AL2" s="1276"/>
      <c r="AM2" s="1276"/>
      <c r="AN2" s="1276"/>
      <c r="AO2" s="1276"/>
      <c r="AP2" s="1276"/>
      <c r="AQ2" s="1276"/>
      <c r="AR2" s="1276"/>
      <c r="AS2" s="1276"/>
      <c r="AT2" s="1276"/>
      <c r="AU2" s="1276"/>
      <c r="AV2" s="1276"/>
      <c r="AW2" s="1276"/>
      <c r="AX2" s="1276"/>
      <c r="AY2" s="86"/>
    </row>
    <row r="3" spans="1:51" ht="22.15" customHeight="1" thickBot="1">
      <c r="A3" s="1277"/>
      <c r="B3" s="1277"/>
      <c r="C3" s="1277"/>
      <c r="D3" s="1277"/>
      <c r="E3" s="1277"/>
      <c r="F3" s="1277"/>
      <c r="G3" s="1277"/>
      <c r="H3" s="1277"/>
      <c r="I3" s="1277"/>
      <c r="J3" s="1277"/>
      <c r="K3" s="1277"/>
      <c r="L3" s="1277"/>
      <c r="M3" s="1277"/>
      <c r="N3" s="1277"/>
      <c r="O3" s="1277"/>
      <c r="P3" s="1277"/>
      <c r="Q3" s="1277"/>
      <c r="R3" s="1277"/>
      <c r="S3" s="1277"/>
      <c r="T3" s="1277"/>
      <c r="U3" s="1277"/>
      <c r="V3" s="1277"/>
      <c r="W3" s="1277"/>
      <c r="X3" s="1277"/>
      <c r="Y3" s="1277"/>
      <c r="Z3" s="1277"/>
      <c r="AA3" s="1277"/>
      <c r="AB3" s="1277"/>
      <c r="AC3" s="1277"/>
      <c r="AD3" s="477"/>
      <c r="AF3" s="1278"/>
      <c r="AG3" s="1278"/>
      <c r="AH3" s="1278"/>
      <c r="AI3" s="1278"/>
      <c r="AJ3" s="1278"/>
      <c r="AK3" s="1278"/>
      <c r="AL3" s="1278"/>
      <c r="AM3" s="1278"/>
      <c r="AN3" s="1278"/>
      <c r="AO3" s="1278"/>
      <c r="AP3" s="1278"/>
      <c r="AQ3" s="1278"/>
      <c r="AR3" s="1278"/>
      <c r="AS3" s="1278"/>
      <c r="AT3" s="1278"/>
      <c r="AU3" s="1278"/>
      <c r="AV3" s="1278"/>
      <c r="AW3" s="1278"/>
      <c r="AX3" s="1278"/>
      <c r="AY3" s="86"/>
    </row>
    <row r="4" spans="1:51" ht="22.15" customHeight="1" thickTop="1" thickBot="1">
      <c r="A4" s="68"/>
      <c r="B4" s="68"/>
      <c r="C4" s="69"/>
      <c r="AE4" s="63"/>
      <c r="AG4" s="68"/>
      <c r="AH4" s="68"/>
      <c r="AI4" s="68"/>
      <c r="AJ4" s="68"/>
      <c r="AK4" s="68"/>
      <c r="AL4" s="68"/>
      <c r="AM4" s="68"/>
      <c r="AN4" s="68"/>
      <c r="AO4" s="68"/>
      <c r="AP4" s="68"/>
      <c r="AQ4" s="68"/>
      <c r="AR4" s="68"/>
      <c r="AS4" s="68"/>
      <c r="AT4" s="68"/>
      <c r="AU4" s="68"/>
      <c r="AV4" s="68"/>
      <c r="AW4" s="68"/>
      <c r="AX4" s="68"/>
      <c r="AY4" s="68"/>
    </row>
    <row r="5" spans="1:51" ht="22.15" customHeight="1" thickTop="1">
      <c r="A5" s="1279" t="s">
        <v>423</v>
      </c>
      <c r="B5" s="1279"/>
      <c r="C5" s="1279"/>
      <c r="D5" s="1279"/>
      <c r="E5" s="1279"/>
      <c r="F5" s="1279"/>
      <c r="G5" s="1279"/>
      <c r="H5" s="1279"/>
      <c r="I5" s="1279"/>
      <c r="J5" s="1279"/>
      <c r="K5" s="1279"/>
      <c r="L5" s="1279"/>
      <c r="M5" s="1279"/>
      <c r="N5" s="1280">
        <f ca="1">⑧見積書!J10</f>
        <v>0</v>
      </c>
      <c r="O5" s="1281"/>
      <c r="P5" s="1281"/>
      <c r="Q5" s="1281"/>
      <c r="R5" s="1282"/>
      <c r="S5" s="1286" t="s">
        <v>424</v>
      </c>
      <c r="T5" s="1286"/>
      <c r="U5" s="1287">
        <f>LED計算式!AD2</f>
        <v>120</v>
      </c>
      <c r="V5" s="1287"/>
      <c r="W5" s="1287"/>
      <c r="X5" s="1287"/>
      <c r="Y5" s="1286" t="s">
        <v>411</v>
      </c>
      <c r="Z5" s="1288">
        <f ca="1">N5*U5</f>
        <v>0</v>
      </c>
      <c r="AA5" s="1288"/>
      <c r="AB5" s="1288"/>
      <c r="AC5" s="1288"/>
      <c r="AD5" s="98"/>
      <c r="AE5" s="63"/>
      <c r="AF5" s="1289" t="s">
        <v>425</v>
      </c>
      <c r="AG5" s="1289"/>
      <c r="AH5" s="1289"/>
      <c r="AI5" s="1289"/>
      <c r="AJ5" s="1289"/>
      <c r="AK5" s="1289"/>
      <c r="AL5" s="1289"/>
      <c r="AM5" s="1289"/>
      <c r="AN5" s="1289"/>
      <c r="AO5" s="1289"/>
      <c r="AP5" s="1289"/>
      <c r="AQ5" s="1289"/>
      <c r="AR5" s="1290">
        <f ca="1">⑧見積書!J12</f>
        <v>0</v>
      </c>
      <c r="AS5" s="1291"/>
      <c r="AT5" s="1291"/>
      <c r="AU5" s="1291"/>
      <c r="AV5" s="1291"/>
      <c r="AW5" s="1291"/>
      <c r="AX5" s="1292"/>
      <c r="AY5" s="85"/>
    </row>
    <row r="6" spans="1:51" ht="22.15" customHeight="1" thickBot="1">
      <c r="A6" s="1279"/>
      <c r="B6" s="1279"/>
      <c r="C6" s="1279"/>
      <c r="D6" s="1279"/>
      <c r="E6" s="1279"/>
      <c r="F6" s="1279"/>
      <c r="G6" s="1279"/>
      <c r="H6" s="1279"/>
      <c r="I6" s="1279"/>
      <c r="J6" s="1279"/>
      <c r="K6" s="1279"/>
      <c r="L6" s="1279"/>
      <c r="M6" s="1279"/>
      <c r="N6" s="1283"/>
      <c r="O6" s="1284"/>
      <c r="P6" s="1284"/>
      <c r="Q6" s="1284"/>
      <c r="R6" s="1285"/>
      <c r="S6" s="1286"/>
      <c r="T6" s="1286"/>
      <c r="U6" s="1287"/>
      <c r="V6" s="1287"/>
      <c r="W6" s="1287"/>
      <c r="X6" s="1287"/>
      <c r="Y6" s="1286"/>
      <c r="Z6" s="1288"/>
      <c r="AA6" s="1288"/>
      <c r="AB6" s="1288"/>
      <c r="AC6" s="1288"/>
      <c r="AD6" s="98"/>
      <c r="AE6" s="63"/>
      <c r="AF6" s="1289"/>
      <c r="AG6" s="1289"/>
      <c r="AH6" s="1289"/>
      <c r="AI6" s="1289"/>
      <c r="AJ6" s="1289"/>
      <c r="AK6" s="1289"/>
      <c r="AL6" s="1289"/>
      <c r="AM6" s="1289"/>
      <c r="AN6" s="1289"/>
      <c r="AO6" s="1289"/>
      <c r="AP6" s="1289"/>
      <c r="AQ6" s="1289"/>
      <c r="AR6" s="1293"/>
      <c r="AS6" s="1294"/>
      <c r="AT6" s="1294"/>
      <c r="AU6" s="1294"/>
      <c r="AV6" s="1294"/>
      <c r="AW6" s="1294"/>
      <c r="AX6" s="1295"/>
      <c r="AY6" s="85"/>
    </row>
    <row r="7" spans="1:51" ht="22.15" customHeight="1" thickTop="1">
      <c r="B7" s="88" t="s">
        <v>426</v>
      </c>
      <c r="F7" s="15"/>
      <c r="G7" s="15"/>
      <c r="H7" s="15"/>
      <c r="I7" s="15"/>
      <c r="J7" s="15"/>
      <c r="K7" s="15"/>
      <c r="L7" s="15"/>
      <c r="M7" s="15"/>
      <c r="N7" s="1272" t="s">
        <v>427</v>
      </c>
      <c r="O7" s="1272"/>
      <c r="P7" s="1272"/>
      <c r="Q7" s="1272"/>
      <c r="R7" s="1272"/>
      <c r="S7" s="74"/>
      <c r="T7" s="83"/>
      <c r="U7" s="83"/>
      <c r="V7" s="83"/>
      <c r="W7" s="478"/>
      <c r="Z7" s="1273" t="s">
        <v>428</v>
      </c>
      <c r="AA7" s="1273"/>
      <c r="AB7" s="1273"/>
      <c r="AC7" s="1273"/>
      <c r="AD7" s="99"/>
      <c r="AE7" s="63"/>
      <c r="AF7" s="105"/>
      <c r="AG7" s="88" t="s">
        <v>426</v>
      </c>
      <c r="AI7" s="105"/>
      <c r="AJ7" s="105"/>
      <c r="AK7" s="105"/>
      <c r="AL7" s="105"/>
      <c r="AM7" s="105"/>
      <c r="AN7" s="105"/>
      <c r="AO7" s="105"/>
      <c r="AP7" s="105"/>
      <c r="AQ7" s="105"/>
      <c r="AR7" s="1274" t="s">
        <v>427</v>
      </c>
      <c r="AS7" s="1274"/>
      <c r="AT7" s="1274"/>
      <c r="AU7" s="1274"/>
      <c r="AV7" s="1274"/>
      <c r="AW7" s="1274"/>
      <c r="AX7" s="1274"/>
      <c r="AY7" s="8"/>
    </row>
    <row r="8" spans="1:51" ht="22.15" customHeight="1">
      <c r="AE8" s="63"/>
      <c r="AG8" s="11"/>
      <c r="AH8" s="11"/>
      <c r="AI8" s="9"/>
      <c r="AJ8" s="9"/>
      <c r="AK8" s="9"/>
      <c r="AL8" s="9"/>
      <c r="AM8" s="9"/>
      <c r="AN8" s="9"/>
      <c r="AO8" s="9"/>
      <c r="AP8" s="9"/>
      <c r="AQ8" s="7"/>
      <c r="AR8" s="7"/>
      <c r="AS8" s="7"/>
      <c r="AT8" s="7"/>
      <c r="AU8" s="7"/>
      <c r="AV8" s="7"/>
      <c r="AW8" s="8"/>
      <c r="AX8" s="8"/>
      <c r="AY8" s="8"/>
    </row>
    <row r="9" spans="1:51" ht="22.15" customHeight="1">
      <c r="A9" s="53" t="s">
        <v>429</v>
      </c>
      <c r="B9" s="10"/>
      <c r="C9" s="10"/>
      <c r="AE9" s="63"/>
      <c r="AF9" s="53" t="s">
        <v>430</v>
      </c>
      <c r="AG9" s="11"/>
      <c r="AH9" s="11"/>
      <c r="AI9" s="9"/>
      <c r="AJ9" s="9"/>
      <c r="AK9" s="9"/>
      <c r="AL9" s="9"/>
      <c r="AM9" s="9"/>
      <c r="AN9" s="9"/>
      <c r="AO9" s="9"/>
      <c r="AP9" s="9"/>
      <c r="AQ9" s="9"/>
      <c r="AR9" s="9"/>
      <c r="AS9" s="9"/>
      <c r="AT9" s="9"/>
      <c r="AU9" s="10"/>
      <c r="AV9" s="10"/>
      <c r="AW9" s="10"/>
      <c r="AX9" s="10"/>
      <c r="AY9" s="10"/>
    </row>
    <row r="10" spans="1:51" ht="21.6" customHeight="1">
      <c r="A10" s="8"/>
      <c r="B10" s="8"/>
      <c r="C10" s="8"/>
      <c r="AE10" s="63"/>
      <c r="AG10" s="8"/>
      <c r="AH10" s="8"/>
      <c r="AI10" s="7"/>
      <c r="AJ10" s="7"/>
      <c r="AK10" s="7"/>
      <c r="AL10" s="7"/>
      <c r="AM10" s="7"/>
      <c r="AN10" s="7"/>
      <c r="AO10" s="7"/>
      <c r="AP10" s="7"/>
      <c r="AQ10" s="7"/>
      <c r="AR10" s="7"/>
      <c r="AS10" s="7"/>
      <c r="AT10" s="7"/>
      <c r="AU10" s="8"/>
      <c r="AV10" s="8"/>
      <c r="AW10" s="8"/>
      <c r="AX10" s="8"/>
      <c r="AY10" s="8"/>
    </row>
    <row r="11" spans="1:51" ht="22.15" customHeight="1">
      <c r="A11" s="8"/>
      <c r="B11" s="8"/>
      <c r="C11" s="8"/>
      <c r="AE11" s="63"/>
      <c r="AG11" s="8"/>
      <c r="AH11" s="8"/>
      <c r="AI11" s="7"/>
      <c r="AJ11" s="7"/>
      <c r="AK11" s="7"/>
      <c r="AL11" s="7"/>
      <c r="AM11" s="7"/>
      <c r="AN11" s="7"/>
      <c r="AO11" s="7"/>
      <c r="AP11" s="7"/>
      <c r="AQ11" s="7"/>
      <c r="AR11" s="7"/>
      <c r="AS11" s="7"/>
      <c r="AT11" s="7"/>
      <c r="AU11" s="8"/>
      <c r="AV11" s="8"/>
      <c r="AW11" s="8"/>
      <c r="AX11" s="8"/>
      <c r="AY11" s="8"/>
    </row>
    <row r="12" spans="1:51" ht="22.15" customHeight="1">
      <c r="A12" s="8"/>
      <c r="B12" s="8"/>
      <c r="C12" s="8"/>
      <c r="AE12" s="63"/>
      <c r="AG12" s="8"/>
      <c r="AH12" s="8"/>
      <c r="AI12" s="7"/>
      <c r="AJ12" s="7"/>
      <c r="AK12" s="7"/>
      <c r="AL12" s="7"/>
      <c r="AM12" s="7"/>
      <c r="AN12" s="7"/>
      <c r="AO12" s="7"/>
      <c r="AP12" s="7"/>
      <c r="AQ12" s="7"/>
      <c r="AR12" s="7"/>
      <c r="AS12" s="7"/>
      <c r="AT12" s="7"/>
      <c r="AU12" s="8"/>
      <c r="AV12" s="8"/>
      <c r="AW12" s="8"/>
      <c r="AX12" s="8"/>
      <c r="AY12" s="8"/>
    </row>
    <row r="13" spans="1:51" ht="22.15" customHeight="1">
      <c r="A13" s="8"/>
      <c r="B13" s="8"/>
      <c r="C13" s="8"/>
      <c r="AE13" s="63"/>
      <c r="AG13" s="8"/>
      <c r="AH13" s="8"/>
      <c r="AI13" s="7"/>
      <c r="AJ13" s="7"/>
      <c r="AK13" s="7"/>
      <c r="AL13" s="7"/>
      <c r="AM13" s="7"/>
      <c r="AN13" s="7"/>
      <c r="AO13" s="7"/>
      <c r="AP13" s="7"/>
      <c r="AQ13" s="7"/>
      <c r="AR13" s="7"/>
      <c r="AS13" s="7"/>
      <c r="AT13" s="7"/>
      <c r="AU13" s="8"/>
      <c r="AV13" s="8"/>
      <c r="AW13" s="8"/>
      <c r="AX13" s="8"/>
      <c r="AY13" s="8"/>
    </row>
    <row r="14" spans="1:51" ht="22.15" customHeight="1">
      <c r="A14" s="70"/>
      <c r="B14" s="8"/>
      <c r="C14" s="8"/>
      <c r="AE14" s="63"/>
      <c r="AG14" s="18"/>
      <c r="AH14" s="18"/>
      <c r="AI14" s="18"/>
      <c r="AJ14" s="70"/>
      <c r="AK14" s="70"/>
      <c r="AL14" s="70"/>
      <c r="AM14" s="70"/>
      <c r="AN14" s="7"/>
      <c r="AO14" s="7"/>
      <c r="AP14" s="7"/>
      <c r="AQ14" s="70"/>
      <c r="AR14" s="70"/>
      <c r="AS14" s="70"/>
      <c r="AT14" s="70"/>
      <c r="AU14" s="7"/>
      <c r="AV14" s="8"/>
      <c r="AW14" s="7"/>
      <c r="AX14" s="70"/>
      <c r="AY14" s="70"/>
    </row>
    <row r="15" spans="1:51" ht="22.15" customHeight="1">
      <c r="A15" s="70"/>
      <c r="B15" s="8"/>
      <c r="C15" s="8"/>
      <c r="AE15" s="63"/>
      <c r="AG15" s="18"/>
      <c r="AH15" s="18"/>
      <c r="AI15" s="18"/>
      <c r="AJ15" s="70"/>
      <c r="AK15" s="70"/>
      <c r="AL15" s="70"/>
      <c r="AM15" s="70"/>
      <c r="AN15" s="7"/>
      <c r="AO15" s="7"/>
      <c r="AP15" s="7"/>
      <c r="AQ15" s="70"/>
      <c r="AR15" s="70"/>
      <c r="AS15" s="70"/>
      <c r="AT15" s="70"/>
      <c r="AU15" s="7"/>
      <c r="AV15" s="8"/>
      <c r="AW15" s="7"/>
      <c r="AX15" s="70"/>
      <c r="AY15" s="70"/>
    </row>
    <row r="16" spans="1:51" ht="22.15" customHeight="1">
      <c r="B16" s="7"/>
      <c r="C16" s="7"/>
      <c r="AE16" s="63"/>
      <c r="AI16" s="60"/>
      <c r="AJ16" s="60"/>
      <c r="AK16" s="60"/>
      <c r="AL16" s="60"/>
      <c r="AM16" s="60"/>
      <c r="AN16" s="60"/>
      <c r="AO16" s="60"/>
      <c r="AP16" s="60"/>
      <c r="AQ16" s="60"/>
      <c r="AR16" s="60"/>
      <c r="AS16" s="60"/>
      <c r="AT16" s="60"/>
    </row>
    <row r="17" spans="1:51" ht="22.15" customHeight="1">
      <c r="A17" s="72"/>
      <c r="B17" s="7"/>
      <c r="C17" s="7"/>
      <c r="AE17" s="63"/>
      <c r="AI17" s="60"/>
      <c r="AJ17" s="71"/>
      <c r="AK17" s="71"/>
      <c r="AL17" s="71"/>
      <c r="AM17" s="71"/>
      <c r="AN17" s="71"/>
      <c r="AO17" s="7"/>
      <c r="AP17" s="7"/>
      <c r="AQ17" s="72"/>
      <c r="AR17" s="72"/>
      <c r="AS17" s="72"/>
      <c r="AT17" s="72"/>
      <c r="AU17" s="7"/>
      <c r="AV17" s="8"/>
      <c r="AW17" s="7"/>
      <c r="AX17" s="72"/>
      <c r="AY17" s="72"/>
    </row>
    <row r="18" spans="1:51" ht="22.15" customHeight="1">
      <c r="A18" s="72"/>
      <c r="B18" s="8"/>
      <c r="C18" s="8"/>
      <c r="AE18" s="63"/>
      <c r="AG18" s="8"/>
      <c r="AH18" s="8"/>
      <c r="AI18" s="7"/>
      <c r="AJ18" s="71"/>
      <c r="AK18" s="71"/>
      <c r="AL18" s="71"/>
      <c r="AM18" s="71"/>
      <c r="AN18" s="71"/>
      <c r="AO18" s="7"/>
      <c r="AP18" s="7"/>
      <c r="AQ18" s="72"/>
      <c r="AR18" s="72"/>
      <c r="AS18" s="72"/>
      <c r="AT18" s="72"/>
      <c r="AU18" s="7"/>
      <c r="AV18" s="8"/>
      <c r="AW18" s="7"/>
      <c r="AX18" s="72"/>
      <c r="AY18" s="72"/>
    </row>
    <row r="19" spans="1:51" s="19" customFormat="1" ht="22.15" customHeight="1">
      <c r="C19" s="20"/>
      <c r="U19" s="73"/>
      <c r="V19" s="73"/>
      <c r="W19" s="73"/>
      <c r="X19" s="73"/>
      <c r="Y19" s="73"/>
      <c r="Z19" s="73"/>
      <c r="AE19" s="87"/>
    </row>
    <row r="20" spans="1:51" s="19" customFormat="1" ht="22.15" customHeight="1">
      <c r="C20" s="20"/>
      <c r="U20" s="73"/>
      <c r="V20" s="73"/>
      <c r="W20" s="73"/>
      <c r="X20" s="73"/>
      <c r="Y20" s="73"/>
      <c r="Z20" s="73"/>
      <c r="AE20" s="87"/>
    </row>
    <row r="21" spans="1:51" s="19" customFormat="1" ht="22.15" customHeight="1">
      <c r="C21" s="20"/>
      <c r="T21" s="73"/>
      <c r="U21" s="73"/>
      <c r="V21" s="73"/>
      <c r="W21" s="73"/>
      <c r="X21" s="73"/>
      <c r="Y21" s="73"/>
      <c r="Z21" s="73"/>
      <c r="AE21" s="87"/>
    </row>
    <row r="22" spans="1:51" ht="22.15" customHeight="1">
      <c r="A22" s="68"/>
      <c r="B22" s="68"/>
      <c r="C22" s="69"/>
      <c r="AE22" s="63"/>
      <c r="AH22" s="68"/>
      <c r="AI22" s="68"/>
      <c r="AJ22" s="68"/>
      <c r="AK22" s="68"/>
      <c r="AL22" s="68"/>
      <c r="AM22" s="68"/>
      <c r="AN22" s="68"/>
      <c r="AO22" s="68"/>
      <c r="AP22" s="68"/>
      <c r="AQ22" s="68"/>
      <c r="AR22" s="68"/>
      <c r="AS22" s="68"/>
      <c r="AT22" s="68"/>
      <c r="AU22" s="68"/>
      <c r="AV22" s="68"/>
      <c r="AW22" s="68"/>
      <c r="AX22" s="68"/>
      <c r="AY22" s="68"/>
    </row>
    <row r="23" spans="1:51" ht="22.15" customHeight="1">
      <c r="A23" s="68"/>
      <c r="B23" s="68"/>
      <c r="C23" s="69"/>
      <c r="AE23" s="63"/>
      <c r="AG23" s="68"/>
      <c r="AH23" s="68"/>
      <c r="AI23" s="68"/>
      <c r="AJ23" s="68"/>
      <c r="AK23" s="68"/>
      <c r="AL23" s="68"/>
      <c r="AM23" s="68"/>
      <c r="AN23" s="68"/>
      <c r="AO23" s="68"/>
      <c r="AP23" s="68"/>
      <c r="AQ23" s="68"/>
      <c r="AR23" s="68"/>
      <c r="AS23" s="68"/>
      <c r="AT23" s="68"/>
      <c r="AU23" s="68"/>
      <c r="AV23" s="68"/>
      <c r="AW23" s="68"/>
      <c r="AX23" s="68"/>
      <c r="AY23" s="68"/>
    </row>
    <row r="24" spans="1:51" ht="22.15" customHeight="1">
      <c r="A24" s="68"/>
      <c r="B24" s="68"/>
      <c r="C24" s="69"/>
      <c r="AE24" s="63"/>
      <c r="AG24" s="68"/>
      <c r="AH24" s="68"/>
      <c r="AI24" s="68"/>
      <c r="AJ24" s="68"/>
      <c r="AK24" s="68"/>
      <c r="AL24" s="68"/>
      <c r="AM24" s="68"/>
      <c r="AN24" s="68"/>
      <c r="AO24" s="68"/>
      <c r="AP24" s="68"/>
      <c r="AQ24" s="68"/>
      <c r="AR24" s="68"/>
      <c r="AS24" s="68"/>
      <c r="AT24" s="68"/>
      <c r="AU24" s="68"/>
      <c r="AV24" s="68"/>
      <c r="AW24" s="68"/>
      <c r="AX24" s="68"/>
      <c r="AY24" s="68"/>
    </row>
    <row r="25" spans="1:51" ht="22.15" customHeight="1">
      <c r="A25" s="8"/>
      <c r="B25" s="8"/>
      <c r="C25" s="8"/>
      <c r="AE25" s="63"/>
      <c r="AI25" s="7"/>
      <c r="AJ25" s="7"/>
      <c r="AK25" s="7"/>
      <c r="AL25" s="7"/>
      <c r="AM25" s="7"/>
      <c r="AN25" s="7"/>
      <c r="AO25" s="7"/>
      <c r="AP25" s="7"/>
      <c r="AQ25" s="7"/>
      <c r="AR25" s="7"/>
      <c r="AS25" s="7"/>
      <c r="AT25" s="7"/>
      <c r="AU25" s="8"/>
      <c r="AV25" s="8"/>
      <c r="AW25" s="8"/>
      <c r="AX25" s="8"/>
      <c r="AY25" s="8"/>
    </row>
    <row r="26" spans="1:51" ht="22.15" customHeight="1" thickBot="1">
      <c r="A26" s="1297" t="s">
        <v>431</v>
      </c>
      <c r="B26" s="1297"/>
      <c r="C26" s="1297"/>
      <c r="D26" s="1297"/>
      <c r="E26" s="1297"/>
      <c r="F26" s="1297"/>
      <c r="G26" s="1297"/>
      <c r="H26" s="1297"/>
      <c r="I26" s="1297"/>
      <c r="J26" s="1297"/>
      <c r="K26" s="1297"/>
      <c r="L26" s="1297"/>
      <c r="M26" s="1297"/>
      <c r="N26" s="1297"/>
      <c r="O26" s="1297"/>
      <c r="P26" s="1297"/>
      <c r="Q26" s="1297"/>
      <c r="R26" s="1297"/>
      <c r="S26" s="1297"/>
      <c r="T26" s="1297"/>
      <c r="U26" s="1297"/>
      <c r="V26" s="1297"/>
      <c r="W26" s="1297"/>
      <c r="X26" s="1297"/>
      <c r="Y26" s="1297"/>
      <c r="Z26" s="1297"/>
      <c r="AA26" s="1297"/>
      <c r="AB26" s="1297"/>
      <c r="AC26" s="1297"/>
      <c r="AD26" s="1298"/>
      <c r="AE26" s="63"/>
      <c r="AN26" s="14"/>
      <c r="AO26" s="14"/>
      <c r="AP26" s="14"/>
      <c r="AQ26" s="14"/>
      <c r="AR26" s="14"/>
      <c r="AS26" s="14"/>
      <c r="AT26" s="14"/>
      <c r="AU26" s="14"/>
      <c r="AV26" s="14"/>
      <c r="AW26" s="14"/>
      <c r="AX26" s="14"/>
      <c r="AY26" s="14"/>
    </row>
    <row r="27" spans="1:51" ht="22.15" customHeight="1" thickTop="1" thickBot="1">
      <c r="A27" s="14"/>
      <c r="B27" s="14"/>
      <c r="C27" s="14"/>
      <c r="D27" s="14"/>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63"/>
      <c r="AG27" s="1318" t="s">
        <v>407</v>
      </c>
      <c r="AH27" s="1319"/>
      <c r="AI27" s="1319"/>
      <c r="AJ27" s="1319"/>
      <c r="AK27" s="1319"/>
      <c r="AL27" s="1319"/>
      <c r="AM27" s="1319"/>
      <c r="AN27" s="1320"/>
      <c r="AO27" s="7"/>
      <c r="AP27" s="7"/>
      <c r="AQ27" s="1321" t="s">
        <v>432</v>
      </c>
      <c r="AR27" s="1322"/>
      <c r="AS27" s="1322"/>
      <c r="AT27" s="1322"/>
      <c r="AU27" s="1322"/>
      <c r="AV27" s="1322"/>
      <c r="AW27" s="1323"/>
      <c r="AX27" s="14"/>
      <c r="AY27" s="14"/>
    </row>
    <row r="28" spans="1:51" ht="22.15" customHeight="1" thickTop="1" thickBot="1">
      <c r="A28" s="14" t="str">
        <f>"◆設置から"&amp;LED計算式!AD1&amp;"年間での交換費用を含めたCF改善金額・・・・・・・"</f>
        <v>◆設置から10年間での交換費用を含めたCF改善金額・・・・・・・</v>
      </c>
      <c r="V28" s="1310">
        <f ca="1">LED計算式!J23*LED計算式!AD2</f>
        <v>0</v>
      </c>
      <c r="W28" s="1311"/>
      <c r="X28" s="1311"/>
      <c r="Y28" s="1311"/>
      <c r="Z28" s="1311"/>
      <c r="AA28" s="1311"/>
      <c r="AB28" s="1311"/>
      <c r="AC28" s="1312"/>
      <c r="AD28" s="100"/>
      <c r="AE28" s="63"/>
      <c r="AG28" s="1290">
        <f ca="1">AR5</f>
        <v>0</v>
      </c>
      <c r="AH28" s="1291"/>
      <c r="AI28" s="1291"/>
      <c r="AJ28" s="1291"/>
      <c r="AK28" s="1291"/>
      <c r="AL28" s="1291"/>
      <c r="AM28" s="1291"/>
      <c r="AN28" s="1292"/>
      <c r="AO28" s="1313" t="s">
        <v>409</v>
      </c>
      <c r="AP28" s="1314"/>
      <c r="AQ28" s="971">
        <f>④前後a!BA29/120</f>
        <v>0</v>
      </c>
      <c r="AR28" s="972"/>
      <c r="AS28" s="972"/>
      <c r="AT28" s="972"/>
      <c r="AU28" s="972"/>
      <c r="AV28" s="972"/>
      <c r="AW28" s="973"/>
      <c r="AX28" s="14"/>
      <c r="AY28" s="14"/>
    </row>
    <row r="29" spans="1:51" ht="22.15" customHeight="1" thickTop="1" thickBot="1">
      <c r="AE29" s="63"/>
      <c r="AG29" s="1293"/>
      <c r="AH29" s="1294"/>
      <c r="AI29" s="1294"/>
      <c r="AJ29" s="1294"/>
      <c r="AK29" s="1294"/>
      <c r="AL29" s="1294"/>
      <c r="AM29" s="1294"/>
      <c r="AN29" s="1295"/>
      <c r="AO29" s="1313"/>
      <c r="AP29" s="1314"/>
      <c r="AQ29" s="974"/>
      <c r="AR29" s="975"/>
      <c r="AS29" s="975"/>
      <c r="AT29" s="975"/>
      <c r="AU29" s="975"/>
      <c r="AV29" s="975"/>
      <c r="AW29" s="976"/>
      <c r="AX29" s="10"/>
      <c r="AY29" s="10"/>
    </row>
    <row r="30" spans="1:51" ht="22.15" customHeight="1" thickTop="1" thickBot="1">
      <c r="A30" s="14" t="str">
        <f>"◆"&amp;LED計算式!AD1+1&amp;"年目以降の交換費用を含めたCF改善金額・・・・・・・・・・"</f>
        <v>◆11年目以降の交換費用を含めたCF改善金額・・・・・・・・・・</v>
      </c>
      <c r="V30" s="1310">
        <f>LED計算式!K23*LED計算式!AE2</f>
        <v>0</v>
      </c>
      <c r="W30" s="1311"/>
      <c r="X30" s="1311"/>
      <c r="Y30" s="1311"/>
      <c r="Z30" s="1311"/>
      <c r="AA30" s="1311"/>
      <c r="AB30" s="1311"/>
      <c r="AC30" s="1312"/>
      <c r="AD30" s="100"/>
      <c r="AE30" s="63"/>
    </row>
    <row r="31" spans="1:51" ht="22.15" customHeight="1" thickTop="1" thickBot="1">
      <c r="B31" s="14"/>
      <c r="C31" s="14"/>
      <c r="D31" s="14"/>
      <c r="E31" s="90"/>
      <c r="F31" s="90"/>
      <c r="G31" s="90"/>
      <c r="H31" s="90"/>
      <c r="I31" s="90"/>
      <c r="J31" s="90"/>
      <c r="K31" s="90"/>
      <c r="L31" s="90"/>
      <c r="M31" s="90"/>
      <c r="N31" s="90"/>
      <c r="O31" s="90"/>
      <c r="P31" s="90"/>
      <c r="Q31" s="90"/>
      <c r="R31" s="90"/>
      <c r="S31" s="90"/>
      <c r="T31" s="90"/>
      <c r="U31" s="90"/>
      <c r="V31" s="90"/>
      <c r="W31" s="90"/>
      <c r="X31" s="90"/>
      <c r="Y31" s="90"/>
      <c r="Z31" s="90"/>
      <c r="AA31" s="90"/>
      <c r="AB31" s="90"/>
      <c r="AC31" s="90"/>
      <c r="AD31" s="90"/>
      <c r="AE31" s="63"/>
      <c r="AQ31" s="1315" t="s">
        <v>410</v>
      </c>
      <c r="AR31" s="1316"/>
      <c r="AS31" s="1316"/>
      <c r="AT31" s="1316"/>
      <c r="AU31" s="1316"/>
      <c r="AV31" s="1316"/>
      <c r="AW31" s="1317"/>
    </row>
    <row r="32" spans="1:51" ht="22.15" customHeight="1" thickTop="1" thickBot="1">
      <c r="A32" s="14" t="s">
        <v>433</v>
      </c>
      <c r="B32" s="17"/>
      <c r="C32" s="17"/>
      <c r="D32" s="14"/>
      <c r="E32" s="90"/>
      <c r="F32" s="90"/>
      <c r="G32" s="90"/>
      <c r="H32" s="90"/>
      <c r="I32" s="90"/>
      <c r="J32" s="90"/>
      <c r="K32" s="90"/>
      <c r="L32" s="90"/>
      <c r="M32" s="90"/>
      <c r="N32" s="90"/>
      <c r="O32" s="90"/>
      <c r="P32" s="90"/>
      <c r="Q32" s="90"/>
      <c r="R32" s="90"/>
      <c r="S32" s="90"/>
      <c r="T32" s="90"/>
      <c r="U32" s="90"/>
      <c r="V32" s="1299">
        <f ca="1">V28+V30</f>
        <v>0</v>
      </c>
      <c r="W32" s="1300"/>
      <c r="X32" s="1300"/>
      <c r="Y32" s="1300"/>
      <c r="Z32" s="1300"/>
      <c r="AA32" s="1300"/>
      <c r="AB32" s="1300"/>
      <c r="AC32" s="1301"/>
      <c r="AD32" s="101"/>
      <c r="AE32" s="63"/>
      <c r="AO32" s="1302" t="s">
        <v>344</v>
      </c>
      <c r="AP32" s="1302"/>
      <c r="AQ32" s="1303" t="str">
        <f ca="1">IFERROR((AG28/AQ28)/12,"0")</f>
        <v>0</v>
      </c>
      <c r="AR32" s="1304"/>
      <c r="AS32" s="1304"/>
      <c r="AT32" s="1304"/>
      <c r="AU32" s="1304"/>
      <c r="AV32" s="1304"/>
      <c r="AW32" s="1305"/>
    </row>
    <row r="33" spans="2:51" ht="22.15" customHeight="1" thickTop="1" thickBot="1">
      <c r="B33" s="14"/>
      <c r="C33" s="14"/>
      <c r="D33" s="14"/>
      <c r="E33" s="90"/>
      <c r="F33" s="90"/>
      <c r="G33" s="90"/>
      <c r="H33" s="90"/>
      <c r="I33" s="90"/>
      <c r="J33" s="90"/>
      <c r="K33" s="90"/>
      <c r="L33" s="90"/>
      <c r="M33" s="90"/>
      <c r="N33" s="90"/>
      <c r="O33" s="90"/>
      <c r="P33" s="90"/>
      <c r="Q33" s="90"/>
      <c r="R33" s="90"/>
      <c r="S33" s="90"/>
      <c r="T33" s="90"/>
      <c r="U33" s="90"/>
      <c r="V33" s="90"/>
      <c r="W33" s="90"/>
      <c r="X33" s="90"/>
      <c r="Y33" s="90"/>
      <c r="Z33" s="90"/>
      <c r="AA33" s="90"/>
      <c r="AB33" s="90"/>
      <c r="AC33" s="90"/>
      <c r="AD33" s="90"/>
      <c r="AE33" s="63"/>
      <c r="AO33" s="1302"/>
      <c r="AP33" s="1302"/>
      <c r="AQ33" s="1306"/>
      <c r="AR33" s="1307"/>
      <c r="AS33" s="1307"/>
      <c r="AT33" s="1307"/>
      <c r="AU33" s="1307"/>
      <c r="AV33" s="1307"/>
      <c r="AW33" s="1308"/>
    </row>
    <row r="34" spans="2:51" ht="22.15" customHeight="1" thickTop="1">
      <c r="AJ34" s="60"/>
      <c r="AK34" s="60"/>
      <c r="AL34" s="60"/>
      <c r="AM34" s="60"/>
      <c r="AN34" s="60"/>
      <c r="AO34" s="60"/>
      <c r="AP34" s="60"/>
      <c r="AQ34" s="1309" t="str">
        <f ca="1">IFERROR(AG28/AQ28,"0")</f>
        <v>0</v>
      </c>
      <c r="AR34" s="1309"/>
      <c r="AS34" s="1309"/>
      <c r="AT34" s="1309"/>
      <c r="AU34" s="1309"/>
      <c r="AV34" s="1309"/>
      <c r="AW34" s="1309"/>
      <c r="AX34" s="1296">
        <v>9</v>
      </c>
      <c r="AY34" s="1296"/>
    </row>
    <row r="35" spans="2:51" ht="22.15" customHeight="1">
      <c r="AI35" s="60"/>
      <c r="AJ35" s="60"/>
      <c r="AK35" s="60"/>
      <c r="AL35" s="60"/>
      <c r="AM35" s="60"/>
      <c r="AN35" s="60"/>
      <c r="AO35" s="60"/>
      <c r="AP35" s="60"/>
      <c r="AQ35" s="60"/>
      <c r="AR35" s="60"/>
      <c r="AS35" s="60"/>
      <c r="AT35" s="60"/>
    </row>
  </sheetData>
  <mergeCells count="28">
    <mergeCell ref="AX34:AY34"/>
    <mergeCell ref="A26:AD26"/>
    <mergeCell ref="V32:AC32"/>
    <mergeCell ref="AO32:AP33"/>
    <mergeCell ref="AQ32:AW33"/>
    <mergeCell ref="AQ34:AW34"/>
    <mergeCell ref="V28:AC28"/>
    <mergeCell ref="AG28:AN29"/>
    <mergeCell ref="AO28:AP29"/>
    <mergeCell ref="AQ28:AW29"/>
    <mergeCell ref="V30:AC30"/>
    <mergeCell ref="AQ31:AW31"/>
    <mergeCell ref="AG27:AN27"/>
    <mergeCell ref="AQ27:AW27"/>
    <mergeCell ref="N7:R7"/>
    <mergeCell ref="Z7:AC7"/>
    <mergeCell ref="AR7:AX7"/>
    <mergeCell ref="A1:AY1"/>
    <mergeCell ref="A2:AC3"/>
    <mergeCell ref="AF2:AX3"/>
    <mergeCell ref="A5:M6"/>
    <mergeCell ref="N5:R6"/>
    <mergeCell ref="S5:T6"/>
    <mergeCell ref="U5:X6"/>
    <mergeCell ref="Y5:Y6"/>
    <mergeCell ref="Z5:AC6"/>
    <mergeCell ref="AF5:AQ6"/>
    <mergeCell ref="AR5:AX6"/>
  </mergeCells>
  <phoneticPr fontId="2"/>
  <conditionalFormatting sqref="A10:A15">
    <cfRule type="cellIs" dxfId="51" priority="9" operator="equal">
      <formula>0</formula>
    </cfRule>
  </conditionalFormatting>
  <conditionalFormatting sqref="B10:C15 AJ17 AO17:AO18 AV17:AV18 B18:C18 C19">
    <cfRule type="cellIs" dxfId="50" priority="10" operator="equal">
      <formula>0</formula>
    </cfRule>
  </conditionalFormatting>
  <conditionalFormatting sqref="AI10:AY15 AI18">
    <cfRule type="cellIs" dxfId="49" priority="8" operator="equal">
      <formula>0</formula>
    </cfRule>
  </conditionalFormatting>
  <conditionalFormatting sqref="AO27:AQ27 AO28 AQ31:AQ32 AO32">
    <cfRule type="cellIs" dxfId="48" priority="2" operator="equal">
      <formula>0</formula>
    </cfRule>
  </conditionalFormatting>
  <conditionalFormatting sqref="AP14">
    <cfRule type="cellIs" dxfId="47" priority="6" operator="equal">
      <formula>0</formula>
    </cfRule>
  </conditionalFormatting>
  <conditionalFormatting sqref="AP17">
    <cfRule type="cellIs" dxfId="46" priority="4" operator="equal">
      <formula>0</formula>
    </cfRule>
  </conditionalFormatting>
  <conditionalFormatting sqref="AQ8 AW8:AY8">
    <cfRule type="cellIs" dxfId="45" priority="7" operator="equal">
      <formula>0</formula>
    </cfRule>
  </conditionalFormatting>
  <conditionalFormatting sqref="AR7">
    <cfRule type="cellIs" dxfId="44" priority="1" operator="equal">
      <formula>0</formula>
    </cfRule>
  </conditionalFormatting>
  <conditionalFormatting sqref="AW14">
    <cfRule type="cellIs" dxfId="43" priority="5" operator="equal">
      <formula>0</formula>
    </cfRule>
  </conditionalFormatting>
  <conditionalFormatting sqref="AW17">
    <cfRule type="cellIs" dxfId="42" priority="3" operator="equal">
      <formula>0</formula>
    </cfRule>
  </conditionalFormatting>
  <printOptions horizontalCentered="1" verticalCentered="1"/>
  <pageMargins left="0" right="0" top="0" bottom="0" header="0" footer="0"/>
  <pageSetup paperSize="9" scale="68"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77C67-3599-4954-8209-2CA6A9DADC93}">
  <sheetPr>
    <tabColor rgb="FFFF99CC"/>
  </sheetPr>
  <dimension ref="A1:AY39"/>
  <sheetViews>
    <sheetView view="pageBreakPreview" zoomScale="50" zoomScaleNormal="85" zoomScaleSheetLayoutView="50" workbookViewId="0">
      <selection activeCell="AM30" sqref="AM30"/>
    </sheetView>
  </sheetViews>
  <sheetFormatPr defaultColWidth="3.625" defaultRowHeight="18.75" customHeight="1"/>
  <cols>
    <col min="1" max="1" width="3.625" style="4"/>
    <col min="2" max="2" width="3.625" style="4" customWidth="1"/>
    <col min="3" max="4" width="3.625" style="4"/>
    <col min="5" max="6" width="3.625" style="4" customWidth="1"/>
    <col min="7" max="23" width="3.625" style="4"/>
    <col min="24" max="24" width="3.625" style="4" customWidth="1"/>
    <col min="25" max="16384" width="3.625" style="4"/>
  </cols>
  <sheetData>
    <row r="1" spans="1:51" ht="38.25">
      <c r="A1" s="1340" t="s">
        <v>434</v>
      </c>
      <c r="B1" s="1340"/>
      <c r="C1" s="1340"/>
      <c r="D1" s="1340"/>
      <c r="E1" s="1340"/>
      <c r="F1" s="1340"/>
      <c r="G1" s="1340"/>
      <c r="H1" s="1340"/>
      <c r="I1" s="1340"/>
      <c r="J1" s="1340"/>
      <c r="K1" s="1340"/>
      <c r="L1" s="1340"/>
      <c r="M1" s="1340"/>
      <c r="N1" s="1340"/>
      <c r="O1" s="1340"/>
      <c r="P1" s="1340"/>
      <c r="Q1" s="1340"/>
      <c r="R1" s="1340"/>
      <c r="S1" s="1340"/>
      <c r="T1" s="1340"/>
      <c r="U1" s="1340"/>
      <c r="V1" s="1340"/>
      <c r="W1" s="1340"/>
      <c r="X1" s="1340"/>
      <c r="Y1" s="1340"/>
      <c r="Z1" s="1340"/>
      <c r="AA1" s="1340"/>
      <c r="AB1" s="1340"/>
      <c r="AC1" s="1340"/>
      <c r="AD1" s="1340"/>
      <c r="AE1" s="1340"/>
      <c r="AF1" s="1340"/>
      <c r="AG1" s="1340"/>
      <c r="AH1" s="1340"/>
      <c r="AI1" s="1340"/>
      <c r="AJ1" s="1340"/>
      <c r="AK1" s="1340"/>
      <c r="AL1" s="1340"/>
      <c r="AM1" s="1340"/>
      <c r="AN1" s="1340"/>
      <c r="AO1" s="1340"/>
      <c r="AP1" s="1340"/>
      <c r="AQ1" s="1340"/>
      <c r="AR1" s="1340"/>
      <c r="AS1" s="1340"/>
      <c r="AT1" s="1340"/>
      <c r="AU1" s="1340"/>
      <c r="AV1" s="1340"/>
      <c r="AW1" s="1340"/>
      <c r="AX1" s="1340"/>
      <c r="AY1" s="1340"/>
    </row>
    <row r="2" spans="1:51" ht="22.5">
      <c r="A2" s="1349" t="s">
        <v>435</v>
      </c>
      <c r="B2" s="1349"/>
      <c r="C2" s="1349"/>
      <c r="D2" s="1349"/>
      <c r="E2" s="1349"/>
      <c r="F2" s="1349"/>
      <c r="G2" s="1349"/>
      <c r="H2" s="1349"/>
      <c r="I2" s="1349"/>
      <c r="J2" s="1349"/>
      <c r="K2" s="1349"/>
      <c r="L2" s="1349"/>
      <c r="M2" s="1349"/>
      <c r="N2" s="1349"/>
      <c r="O2" s="1349"/>
      <c r="P2" s="1349"/>
      <c r="Q2" s="1349"/>
      <c r="R2" s="1349"/>
      <c r="S2" s="1349"/>
      <c r="T2" s="1349"/>
      <c r="U2" s="1349"/>
      <c r="V2" s="1349"/>
      <c r="W2" s="1349"/>
      <c r="X2" s="1349"/>
      <c r="Y2" s="1349"/>
      <c r="Z2" s="1349"/>
      <c r="AA2" s="1349"/>
      <c r="AB2" s="1349"/>
      <c r="AC2" s="1349"/>
      <c r="AD2" s="1349"/>
      <c r="AE2" s="1349"/>
      <c r="AF2" s="1349"/>
      <c r="AG2" s="1349"/>
      <c r="AH2" s="1349"/>
      <c r="AI2" s="1349"/>
      <c r="AJ2" s="1349"/>
      <c r="AK2" s="1349"/>
      <c r="AL2" s="1349"/>
      <c r="AM2" s="1349"/>
      <c r="AN2" s="1349"/>
      <c r="AO2" s="1349"/>
      <c r="AP2" s="1349"/>
      <c r="AQ2" s="1349"/>
      <c r="AR2" s="1349"/>
      <c r="AS2" s="1349"/>
      <c r="AT2" s="1349"/>
      <c r="AU2" s="1349"/>
      <c r="AV2" s="1349"/>
      <c r="AW2" s="1349"/>
      <c r="AX2" s="1349"/>
      <c r="AY2" s="1349"/>
    </row>
    <row r="3" spans="1:51" ht="22.15" customHeight="1">
      <c r="A3" s="1276" t="s">
        <v>421</v>
      </c>
      <c r="B3" s="1276"/>
      <c r="C3" s="1276"/>
      <c r="D3" s="1276"/>
      <c r="E3" s="1276"/>
      <c r="F3" s="1276"/>
      <c r="G3" s="1276"/>
      <c r="H3" s="1276"/>
      <c r="I3" s="1276"/>
      <c r="J3" s="1276"/>
      <c r="K3" s="1276"/>
      <c r="L3" s="1276"/>
      <c r="M3" s="1276"/>
      <c r="N3" s="1276"/>
      <c r="O3" s="1276"/>
      <c r="P3" s="1276"/>
      <c r="Q3" s="1276"/>
      <c r="R3" s="1276"/>
      <c r="S3" s="1276"/>
      <c r="T3" s="1276"/>
      <c r="U3" s="1276"/>
      <c r="V3" s="1276"/>
      <c r="W3" s="1276"/>
      <c r="X3" s="1276"/>
      <c r="Y3" s="1276"/>
      <c r="Z3" s="1276"/>
      <c r="AA3" s="1276"/>
      <c r="AB3" s="1276"/>
      <c r="AC3" s="1276"/>
      <c r="AD3" s="477"/>
      <c r="AF3" s="1276" t="s">
        <v>422</v>
      </c>
      <c r="AG3" s="1276"/>
      <c r="AH3" s="1276"/>
      <c r="AI3" s="1276"/>
      <c r="AJ3" s="1276"/>
      <c r="AK3" s="1276"/>
      <c r="AL3" s="1276"/>
      <c r="AM3" s="1276"/>
      <c r="AN3" s="1276"/>
      <c r="AO3" s="1276"/>
      <c r="AP3" s="1276"/>
      <c r="AQ3" s="1276"/>
      <c r="AR3" s="1276"/>
      <c r="AS3" s="1276"/>
      <c r="AT3" s="1276"/>
      <c r="AU3" s="1276"/>
      <c r="AV3" s="1276"/>
      <c r="AW3" s="1276"/>
      <c r="AX3" s="1276"/>
      <c r="AY3" s="86"/>
    </row>
    <row r="4" spans="1:51" ht="22.15" customHeight="1" thickBot="1">
      <c r="A4" s="1276"/>
      <c r="B4" s="1276"/>
      <c r="C4" s="1276"/>
      <c r="D4" s="1276"/>
      <c r="E4" s="1276"/>
      <c r="F4" s="1276"/>
      <c r="G4" s="1276"/>
      <c r="H4" s="1276"/>
      <c r="I4" s="1276"/>
      <c r="J4" s="1276"/>
      <c r="K4" s="1276"/>
      <c r="L4" s="1276"/>
      <c r="M4" s="1276"/>
      <c r="N4" s="1276"/>
      <c r="O4" s="1276"/>
      <c r="P4" s="1276"/>
      <c r="Q4" s="1276"/>
      <c r="R4" s="1276"/>
      <c r="S4" s="1276"/>
      <c r="T4" s="1276"/>
      <c r="U4" s="1276"/>
      <c r="V4" s="1276"/>
      <c r="W4" s="1276"/>
      <c r="X4" s="1276"/>
      <c r="Y4" s="1276"/>
      <c r="Z4" s="1276"/>
      <c r="AA4" s="1276"/>
      <c r="AB4" s="1276"/>
      <c r="AC4" s="1276"/>
      <c r="AD4" s="477"/>
      <c r="AF4" s="1276"/>
      <c r="AG4" s="1276"/>
      <c r="AH4" s="1276"/>
      <c r="AI4" s="1276"/>
      <c r="AJ4" s="1276"/>
      <c r="AK4" s="1276"/>
      <c r="AL4" s="1276"/>
      <c r="AM4" s="1276"/>
      <c r="AN4" s="1276"/>
      <c r="AO4" s="1276"/>
      <c r="AP4" s="1276"/>
      <c r="AQ4" s="1276"/>
      <c r="AR4" s="1276"/>
      <c r="AS4" s="1276"/>
      <c r="AT4" s="1276"/>
      <c r="AU4" s="1276"/>
      <c r="AV4" s="1276"/>
      <c r="AW4" s="1276"/>
      <c r="AX4" s="1276"/>
      <c r="AY4" s="86"/>
    </row>
    <row r="5" spans="1:51" ht="22.15" customHeight="1" thickTop="1">
      <c r="A5" s="188"/>
      <c r="B5" s="147"/>
      <c r="C5" s="148"/>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89"/>
      <c r="AE5" s="63"/>
      <c r="AF5" s="194"/>
      <c r="AG5" s="147"/>
      <c r="AH5" s="147"/>
      <c r="AI5" s="147"/>
      <c r="AJ5" s="147"/>
      <c r="AK5" s="147"/>
      <c r="AL5" s="147"/>
      <c r="AM5" s="147"/>
      <c r="AN5" s="147"/>
      <c r="AO5" s="147"/>
      <c r="AP5" s="147"/>
      <c r="AQ5" s="147"/>
      <c r="AR5" s="147"/>
      <c r="AS5" s="147"/>
      <c r="AT5" s="147"/>
      <c r="AU5" s="147"/>
      <c r="AV5" s="147"/>
      <c r="AW5" s="147"/>
      <c r="AX5" s="147"/>
      <c r="AY5" s="195"/>
    </row>
    <row r="6" spans="1:51" ht="22.15" customHeight="1" thickBot="1">
      <c r="A6" s="190"/>
      <c r="B6" s="68"/>
      <c r="C6" s="69"/>
      <c r="I6" s="1296" t="s">
        <v>436</v>
      </c>
      <c r="J6" s="1296"/>
      <c r="K6" s="1296"/>
      <c r="L6" s="1296"/>
      <c r="M6" s="1296"/>
      <c r="Q6" s="1296" t="s">
        <v>437</v>
      </c>
      <c r="R6" s="1296"/>
      <c r="S6" s="1296"/>
      <c r="T6" s="1296"/>
      <c r="U6" s="1296"/>
      <c r="V6" s="1296"/>
      <c r="W6" s="1296"/>
      <c r="AC6" s="191"/>
      <c r="AE6" s="63"/>
      <c r="AF6" s="192"/>
      <c r="AG6" s="68"/>
      <c r="AH6" s="1296" t="s">
        <v>436</v>
      </c>
      <c r="AI6" s="1296"/>
      <c r="AJ6" s="1296"/>
      <c r="AK6" s="1296"/>
      <c r="AL6" s="1296"/>
      <c r="AM6" s="68"/>
      <c r="AN6" s="68"/>
      <c r="AO6" s="68"/>
      <c r="AP6" s="68"/>
      <c r="AQ6" s="68"/>
      <c r="AR6" s="1296" t="s">
        <v>437</v>
      </c>
      <c r="AS6" s="1296"/>
      <c r="AT6" s="1296"/>
      <c r="AU6" s="1296"/>
      <c r="AV6" s="1296"/>
      <c r="AW6" s="1296"/>
      <c r="AX6" s="1296"/>
      <c r="AY6" s="196"/>
    </row>
    <row r="7" spans="1:51" ht="22.15" customHeight="1" thickTop="1">
      <c r="A7" s="190"/>
      <c r="B7" s="68"/>
      <c r="C7" s="69"/>
      <c r="I7" s="1347">
        <f ca="1">⑨シミュレーション!N5</f>
        <v>0</v>
      </c>
      <c r="J7" s="1347"/>
      <c r="K7" s="1347"/>
      <c r="L7" s="1347"/>
      <c r="M7" s="1347"/>
      <c r="R7" s="1341">
        <f ca="1">ROUNDDOWN(AR7*LED計算式!AC2,0)</f>
        <v>0</v>
      </c>
      <c r="S7" s="1342"/>
      <c r="T7" s="1342"/>
      <c r="U7" s="1342"/>
      <c r="V7" s="1343"/>
      <c r="AC7" s="191"/>
      <c r="AE7" s="63"/>
      <c r="AF7" s="192"/>
      <c r="AG7" s="1348">
        <f ca="1">⑨シミュレーション!AR5</f>
        <v>0</v>
      </c>
      <c r="AH7" s="1348"/>
      <c r="AI7" s="1348"/>
      <c r="AJ7" s="1348"/>
      <c r="AK7" s="1348"/>
      <c r="AL7" s="1348"/>
      <c r="AM7" s="1348"/>
      <c r="AN7" s="68"/>
      <c r="AO7" s="68"/>
      <c r="AP7" s="68"/>
      <c r="AQ7" s="68"/>
      <c r="AR7" s="1328">
        <f ca="1">AG7*(100%-☆入力!AR12)</f>
        <v>0</v>
      </c>
      <c r="AS7" s="1329"/>
      <c r="AT7" s="1329"/>
      <c r="AU7" s="1329"/>
      <c r="AV7" s="1329"/>
      <c r="AW7" s="1329"/>
      <c r="AX7" s="1330"/>
      <c r="AY7" s="196"/>
    </row>
    <row r="8" spans="1:51" ht="22.15" customHeight="1" thickBot="1">
      <c r="A8" s="190"/>
      <c r="B8" s="68"/>
      <c r="C8" s="69"/>
      <c r="I8" s="1347"/>
      <c r="J8" s="1347"/>
      <c r="K8" s="1347"/>
      <c r="L8" s="1347"/>
      <c r="M8" s="1347"/>
      <c r="R8" s="1344"/>
      <c r="S8" s="1345"/>
      <c r="T8" s="1345"/>
      <c r="U8" s="1345"/>
      <c r="V8" s="1346"/>
      <c r="W8" s="4" t="s">
        <v>438</v>
      </c>
      <c r="AC8" s="191"/>
      <c r="AE8" s="63"/>
      <c r="AF8" s="192"/>
      <c r="AG8" s="1348"/>
      <c r="AH8" s="1348"/>
      <c r="AI8" s="1348"/>
      <c r="AJ8" s="1348"/>
      <c r="AK8" s="1348"/>
      <c r="AL8" s="1348"/>
      <c r="AM8" s="1348"/>
      <c r="AN8" s="68"/>
      <c r="AO8" s="68"/>
      <c r="AP8" s="68"/>
      <c r="AQ8" s="68"/>
      <c r="AR8" s="1331"/>
      <c r="AS8" s="1332"/>
      <c r="AT8" s="1332"/>
      <c r="AU8" s="1332"/>
      <c r="AV8" s="1332"/>
      <c r="AW8" s="1332"/>
      <c r="AX8" s="1333"/>
      <c r="AY8" s="196"/>
    </row>
    <row r="9" spans="1:51" ht="22.15" customHeight="1" thickTop="1">
      <c r="A9" s="1326" t="s">
        <v>439</v>
      </c>
      <c r="B9" s="1327"/>
      <c r="C9" s="1327"/>
      <c r="D9" s="1327"/>
      <c r="E9" s="1327"/>
      <c r="F9" s="1327"/>
      <c r="G9" s="1327"/>
      <c r="H9" s="1327"/>
      <c r="I9" s="1327"/>
      <c r="J9" s="1327"/>
      <c r="K9" s="1327"/>
      <c r="L9" s="1327"/>
      <c r="M9" s="1334">
        <f ca="1">I7-R7</f>
        <v>0</v>
      </c>
      <c r="N9" s="1335"/>
      <c r="O9" s="1335"/>
      <c r="P9" s="1335"/>
      <c r="Q9" s="1335"/>
      <c r="R9" s="1335"/>
      <c r="S9" s="878" t="s">
        <v>440</v>
      </c>
      <c r="T9" s="878"/>
      <c r="U9" s="878"/>
      <c r="V9" s="878"/>
      <c r="W9" s="878"/>
      <c r="X9" s="878"/>
      <c r="Y9" s="878"/>
      <c r="Z9" s="878"/>
      <c r="AA9" s="878"/>
      <c r="AB9" s="878"/>
      <c r="AC9" s="1338"/>
      <c r="AD9" s="98"/>
      <c r="AE9" s="63"/>
      <c r="AF9" s="1326" t="s">
        <v>441</v>
      </c>
      <c r="AG9" s="1327"/>
      <c r="AH9" s="1327"/>
      <c r="AI9" s="1327"/>
      <c r="AJ9" s="1327"/>
      <c r="AK9" s="1327"/>
      <c r="AL9" s="1327"/>
      <c r="AM9" s="1324">
        <f ca="1">AG7-AR7</f>
        <v>0</v>
      </c>
      <c r="AN9" s="1325"/>
      <c r="AO9" s="1325"/>
      <c r="AP9" s="1325"/>
      <c r="AQ9" s="1325"/>
      <c r="AR9" s="1325"/>
      <c r="AS9" s="878" t="s">
        <v>440</v>
      </c>
      <c r="AT9" s="878"/>
      <c r="AU9" s="878"/>
      <c r="AV9" s="878"/>
      <c r="AW9" s="878"/>
      <c r="AX9" s="878"/>
      <c r="AY9" s="1338"/>
    </row>
    <row r="10" spans="1:51" ht="22.15" customHeight="1">
      <c r="A10" s="1326"/>
      <c r="B10" s="1327"/>
      <c r="C10" s="1327"/>
      <c r="D10" s="1327"/>
      <c r="E10" s="1327"/>
      <c r="F10" s="1327"/>
      <c r="G10" s="1327"/>
      <c r="H10" s="1327"/>
      <c r="I10" s="1327"/>
      <c r="J10" s="1327"/>
      <c r="K10" s="1327"/>
      <c r="L10" s="1327"/>
      <c r="M10" s="1335"/>
      <c r="N10" s="1335"/>
      <c r="O10" s="1335"/>
      <c r="P10" s="1335"/>
      <c r="Q10" s="1335"/>
      <c r="R10" s="1335"/>
      <c r="S10" s="878"/>
      <c r="T10" s="878"/>
      <c r="U10" s="878"/>
      <c r="V10" s="878"/>
      <c r="W10" s="878"/>
      <c r="X10" s="878"/>
      <c r="Y10" s="878"/>
      <c r="Z10" s="878"/>
      <c r="AA10" s="878"/>
      <c r="AB10" s="878"/>
      <c r="AC10" s="1338"/>
      <c r="AD10" s="98"/>
      <c r="AE10" s="63"/>
      <c r="AF10" s="1326"/>
      <c r="AG10" s="1327"/>
      <c r="AH10" s="1327"/>
      <c r="AI10" s="1327"/>
      <c r="AJ10" s="1327"/>
      <c r="AK10" s="1327"/>
      <c r="AL10" s="1327"/>
      <c r="AM10" s="1325"/>
      <c r="AN10" s="1325"/>
      <c r="AO10" s="1325"/>
      <c r="AP10" s="1325"/>
      <c r="AQ10" s="1325"/>
      <c r="AR10" s="1325"/>
      <c r="AS10" s="878"/>
      <c r="AT10" s="878"/>
      <c r="AU10" s="878"/>
      <c r="AV10" s="878"/>
      <c r="AW10" s="878"/>
      <c r="AX10" s="878"/>
      <c r="AY10" s="1338"/>
    </row>
    <row r="11" spans="1:51" ht="22.15" customHeight="1" thickBot="1">
      <c r="A11" s="202"/>
      <c r="B11" s="203"/>
      <c r="C11" s="204"/>
      <c r="D11" s="1339">
        <f ca="1">M9</f>
        <v>0</v>
      </c>
      <c r="E11" s="1339"/>
      <c r="F11" s="1339"/>
      <c r="G11" s="1339"/>
      <c r="H11" s="1339"/>
      <c r="I11" s="1337" t="str">
        <f>"×"&amp;LED計算式!AD2&amp;"ヵ月="</f>
        <v>×120ヵ月=</v>
      </c>
      <c r="J11" s="1337"/>
      <c r="K11" s="1337"/>
      <c r="L11" s="1337"/>
      <c r="M11" s="1336">
        <f ca="1">D11*LED計算式!AD2</f>
        <v>0</v>
      </c>
      <c r="N11" s="1336"/>
      <c r="O11" s="1336"/>
      <c r="P11" s="1336"/>
      <c r="Q11" s="1336"/>
      <c r="R11" s="1336"/>
      <c r="S11" s="205" t="s">
        <v>442</v>
      </c>
      <c r="T11" s="206"/>
      <c r="U11" s="206"/>
      <c r="V11" s="206"/>
      <c r="W11" s="480"/>
      <c r="X11" s="204"/>
      <c r="Y11" s="204"/>
      <c r="Z11" s="207"/>
      <c r="AA11" s="207"/>
      <c r="AB11" s="207"/>
      <c r="AC11" s="208"/>
      <c r="AD11" s="99"/>
      <c r="AE11" s="63"/>
      <c r="AF11" s="198"/>
      <c r="AG11" s="199"/>
      <c r="AH11" s="193"/>
      <c r="AI11" s="200"/>
      <c r="AJ11" s="200"/>
      <c r="AK11" s="200"/>
      <c r="AL11" s="200"/>
      <c r="AM11" s="200"/>
      <c r="AN11" s="200"/>
      <c r="AO11" s="200"/>
      <c r="AP11" s="200"/>
      <c r="AQ11" s="200"/>
      <c r="AR11" s="201"/>
      <c r="AS11" s="201"/>
      <c r="AT11" s="201"/>
      <c r="AU11" s="201"/>
      <c r="AV11" s="201"/>
      <c r="AW11" s="201"/>
      <c r="AX11" s="201"/>
      <c r="AY11" s="197"/>
    </row>
    <row r="12" spans="1:51" ht="22.15" customHeight="1" thickTop="1">
      <c r="AE12" s="63"/>
      <c r="AG12" s="11"/>
      <c r="AH12" s="11"/>
      <c r="AI12" s="9"/>
      <c r="AJ12" s="9"/>
      <c r="AK12" s="9"/>
      <c r="AL12" s="9"/>
      <c r="AM12" s="9"/>
      <c r="AN12" s="9"/>
      <c r="AO12" s="9"/>
      <c r="AP12" s="9"/>
      <c r="AQ12" s="7"/>
      <c r="AR12" s="7"/>
      <c r="AS12" s="7"/>
      <c r="AT12" s="7"/>
      <c r="AU12" s="7"/>
      <c r="AV12" s="7"/>
      <c r="AW12" s="8"/>
      <c r="AX12" s="8"/>
      <c r="AY12" s="8"/>
    </row>
    <row r="13" spans="1:51" ht="22.15" customHeight="1">
      <c r="A13" s="53" t="s">
        <v>429</v>
      </c>
      <c r="B13" s="10"/>
      <c r="C13" s="10"/>
      <c r="AE13" s="63"/>
      <c r="AF13" s="53" t="s">
        <v>430</v>
      </c>
      <c r="AG13" s="11"/>
      <c r="AH13" s="11"/>
      <c r="AI13" s="9"/>
      <c r="AJ13" s="9"/>
      <c r="AK13" s="9"/>
      <c r="AL13" s="9"/>
      <c r="AM13" s="9"/>
      <c r="AN13" s="9"/>
      <c r="AO13" s="9"/>
      <c r="AP13" s="9"/>
      <c r="AQ13" s="9"/>
      <c r="AR13" s="9"/>
      <c r="AS13" s="9"/>
      <c r="AT13" s="9"/>
      <c r="AU13" s="10"/>
      <c r="AV13" s="10"/>
      <c r="AW13" s="10"/>
      <c r="AX13" s="10"/>
      <c r="AY13" s="10"/>
    </row>
    <row r="14" spans="1:51" ht="22.15" customHeight="1">
      <c r="A14" s="8"/>
      <c r="B14" s="8"/>
      <c r="C14" s="8"/>
      <c r="AE14" s="63"/>
      <c r="AG14" s="8"/>
      <c r="AH14" s="8"/>
      <c r="AI14" s="7"/>
      <c r="AJ14" s="7"/>
      <c r="AK14" s="7"/>
      <c r="AL14" s="7"/>
      <c r="AM14" s="7"/>
      <c r="AN14" s="7"/>
      <c r="AO14" s="7"/>
      <c r="AP14" s="7"/>
      <c r="AQ14" s="7"/>
      <c r="AR14" s="7"/>
      <c r="AS14" s="7"/>
      <c r="AT14" s="7"/>
      <c r="AU14" s="8"/>
      <c r="AV14" s="8"/>
      <c r="AW14" s="8"/>
      <c r="AX14" s="8"/>
      <c r="AY14" s="8"/>
    </row>
    <row r="15" spans="1:51" ht="22.15" customHeight="1">
      <c r="A15" s="8"/>
      <c r="B15" s="8"/>
      <c r="C15" s="8"/>
      <c r="AE15" s="63"/>
      <c r="AG15" s="8"/>
      <c r="AH15" s="8"/>
      <c r="AI15" s="7"/>
      <c r="AJ15" s="7"/>
      <c r="AK15" s="7"/>
      <c r="AL15" s="7"/>
      <c r="AM15" s="7"/>
      <c r="AN15" s="7"/>
      <c r="AO15" s="7"/>
      <c r="AP15" s="7"/>
      <c r="AQ15" s="7"/>
      <c r="AR15" s="7"/>
      <c r="AS15" s="7"/>
      <c r="AT15" s="7"/>
      <c r="AU15" s="8"/>
      <c r="AV15" s="8"/>
      <c r="AW15" s="8"/>
      <c r="AX15" s="8"/>
      <c r="AY15" s="8"/>
    </row>
    <row r="16" spans="1:51" ht="22.15" customHeight="1">
      <c r="A16" s="8"/>
      <c r="B16" s="8"/>
      <c r="C16" s="8"/>
      <c r="AE16" s="63"/>
      <c r="AG16" s="8"/>
      <c r="AH16" s="8"/>
      <c r="AI16" s="7"/>
      <c r="AJ16" s="7"/>
      <c r="AK16" s="7"/>
      <c r="AL16" s="7"/>
      <c r="AM16" s="7"/>
      <c r="AN16" s="7"/>
      <c r="AO16" s="7"/>
      <c r="AP16" s="7"/>
      <c r="AQ16" s="7"/>
      <c r="AR16" s="7"/>
      <c r="AS16" s="7"/>
      <c r="AT16" s="7"/>
      <c r="AU16" s="8"/>
      <c r="AV16" s="8"/>
      <c r="AW16" s="8"/>
      <c r="AX16" s="8"/>
      <c r="AY16" s="8"/>
    </row>
    <row r="17" spans="1:51" ht="22.15" customHeight="1">
      <c r="A17" s="8"/>
      <c r="B17" s="8"/>
      <c r="C17" s="8"/>
      <c r="AE17" s="63"/>
      <c r="AG17" s="8"/>
      <c r="AH17" s="8"/>
      <c r="AI17" s="7"/>
      <c r="AJ17" s="7"/>
      <c r="AK17" s="7"/>
      <c r="AL17" s="7"/>
      <c r="AM17" s="7"/>
      <c r="AN17" s="7"/>
      <c r="AO17" s="7"/>
      <c r="AP17" s="7"/>
      <c r="AQ17" s="7"/>
      <c r="AR17" s="7"/>
      <c r="AS17" s="7"/>
      <c r="AT17" s="7"/>
      <c r="AU17" s="8"/>
      <c r="AV17" s="8"/>
      <c r="AW17" s="8"/>
      <c r="AX17" s="8"/>
      <c r="AY17" s="8"/>
    </row>
    <row r="18" spans="1:51" ht="22.15" customHeight="1">
      <c r="A18" s="70"/>
      <c r="B18" s="8"/>
      <c r="C18" s="8"/>
      <c r="AE18" s="63"/>
      <c r="AG18" s="18"/>
      <c r="AH18" s="18"/>
      <c r="AI18" s="18"/>
      <c r="AJ18" s="70"/>
      <c r="AK18" s="70"/>
      <c r="AL18" s="70"/>
      <c r="AM18" s="70"/>
      <c r="AN18" s="7"/>
      <c r="AO18" s="7"/>
      <c r="AP18" s="7"/>
      <c r="AQ18" s="70"/>
      <c r="AR18" s="70"/>
      <c r="AS18" s="70"/>
      <c r="AT18" s="70"/>
      <c r="AU18" s="7"/>
      <c r="AV18" s="8"/>
      <c r="AW18" s="7"/>
      <c r="AX18" s="70"/>
      <c r="AY18" s="70"/>
    </row>
    <row r="19" spans="1:51" ht="22.15" customHeight="1">
      <c r="A19" s="70"/>
      <c r="B19" s="8"/>
      <c r="C19" s="8"/>
      <c r="AE19" s="63"/>
      <c r="AG19" s="18"/>
      <c r="AH19" s="18"/>
      <c r="AI19" s="18"/>
      <c r="AJ19" s="70"/>
      <c r="AK19" s="70"/>
      <c r="AL19" s="70"/>
      <c r="AM19" s="70"/>
      <c r="AN19" s="7"/>
      <c r="AO19" s="7"/>
      <c r="AP19" s="7"/>
      <c r="AQ19" s="70"/>
      <c r="AR19" s="70"/>
      <c r="AS19" s="70"/>
      <c r="AT19" s="70"/>
      <c r="AU19" s="7"/>
      <c r="AV19" s="8"/>
      <c r="AW19" s="7"/>
      <c r="AX19" s="70"/>
      <c r="AY19" s="70"/>
    </row>
    <row r="20" spans="1:51" ht="22.15" customHeight="1">
      <c r="B20" s="7"/>
      <c r="C20" s="7"/>
      <c r="AE20" s="63"/>
      <c r="AI20" s="60"/>
      <c r="AJ20" s="60"/>
      <c r="AK20" s="60"/>
      <c r="AL20" s="60"/>
      <c r="AM20" s="60"/>
      <c r="AN20" s="60"/>
      <c r="AO20" s="60"/>
      <c r="AP20" s="60"/>
      <c r="AQ20" s="60"/>
      <c r="AR20" s="60"/>
      <c r="AS20" s="60"/>
      <c r="AT20" s="60"/>
    </row>
    <row r="21" spans="1:51" ht="22.15" customHeight="1">
      <c r="A21" s="72"/>
      <c r="B21" s="7"/>
      <c r="C21" s="7"/>
      <c r="AE21" s="63"/>
      <c r="AI21" s="60"/>
      <c r="AJ21" s="71"/>
      <c r="AK21" s="71"/>
      <c r="AL21" s="71"/>
      <c r="AM21" s="71"/>
      <c r="AN21" s="71"/>
      <c r="AO21" s="7"/>
      <c r="AP21" s="7"/>
      <c r="AQ21" s="72"/>
      <c r="AR21" s="72"/>
      <c r="AS21" s="72"/>
      <c r="AT21" s="72"/>
      <c r="AU21" s="7"/>
      <c r="AV21" s="8"/>
      <c r="AW21" s="7"/>
      <c r="AX21" s="72"/>
      <c r="AY21" s="72"/>
    </row>
    <row r="22" spans="1:51" ht="22.15" customHeight="1">
      <c r="A22" s="72"/>
      <c r="B22" s="8"/>
      <c r="C22" s="8"/>
      <c r="AE22" s="63"/>
      <c r="AG22" s="8"/>
      <c r="AH22" s="8"/>
      <c r="AI22" s="7"/>
      <c r="AJ22" s="71"/>
      <c r="AK22" s="71"/>
      <c r="AL22" s="71"/>
      <c r="AM22" s="71"/>
      <c r="AN22" s="71"/>
      <c r="AO22" s="7"/>
      <c r="AP22" s="7"/>
      <c r="AQ22" s="72"/>
      <c r="AR22" s="72"/>
      <c r="AS22" s="72"/>
      <c r="AT22" s="72"/>
      <c r="AU22" s="7"/>
      <c r="AV22" s="8"/>
      <c r="AW22" s="7"/>
      <c r="AX22" s="72"/>
      <c r="AY22" s="72"/>
    </row>
    <row r="23" spans="1:51" s="19" customFormat="1" ht="22.15" customHeight="1">
      <c r="C23" s="20"/>
      <c r="U23" s="73"/>
      <c r="V23" s="73"/>
      <c r="W23" s="73"/>
      <c r="X23" s="73"/>
      <c r="Y23" s="73"/>
      <c r="Z23" s="73"/>
      <c r="AE23" s="87"/>
    </row>
    <row r="24" spans="1:51" s="19" customFormat="1" ht="22.15" customHeight="1">
      <c r="C24" s="20"/>
      <c r="U24" s="73"/>
      <c r="V24" s="73"/>
      <c r="W24" s="73"/>
      <c r="X24" s="73"/>
      <c r="Y24" s="73"/>
      <c r="Z24" s="73"/>
      <c r="AE24" s="87"/>
    </row>
    <row r="25" spans="1:51" s="19" customFormat="1" ht="22.15" customHeight="1">
      <c r="C25" s="20"/>
      <c r="T25" s="73"/>
      <c r="U25" s="73"/>
      <c r="V25" s="73"/>
      <c r="W25" s="73"/>
      <c r="X25" s="73"/>
      <c r="Y25" s="73"/>
      <c r="Z25" s="73"/>
      <c r="AE25" s="87"/>
    </row>
    <row r="26" spans="1:51" ht="22.15" customHeight="1">
      <c r="A26" s="68"/>
      <c r="B26" s="68"/>
      <c r="C26" s="69"/>
      <c r="AE26" s="63"/>
      <c r="AH26" s="68"/>
      <c r="AI26" s="68"/>
      <c r="AJ26" s="68"/>
      <c r="AK26" s="68"/>
      <c r="AL26" s="68"/>
      <c r="AM26" s="68"/>
      <c r="AN26" s="68"/>
      <c r="AO26" s="68"/>
      <c r="AP26" s="68"/>
      <c r="AQ26" s="68"/>
      <c r="AR26" s="68"/>
      <c r="AS26" s="68"/>
      <c r="AT26" s="68"/>
      <c r="AU26" s="68"/>
      <c r="AV26" s="68"/>
      <c r="AW26" s="68"/>
      <c r="AX26" s="68"/>
      <c r="AY26" s="68"/>
    </row>
    <row r="27" spans="1:51" ht="22.15" customHeight="1">
      <c r="A27" s="68"/>
      <c r="B27" s="68"/>
      <c r="C27" s="69"/>
      <c r="AE27" s="63"/>
      <c r="AG27" s="68"/>
      <c r="AH27" s="68"/>
      <c r="AI27" s="68"/>
      <c r="AJ27" s="68"/>
      <c r="AK27" s="68"/>
      <c r="AL27" s="68"/>
      <c r="AM27" s="68"/>
      <c r="AN27" s="68"/>
      <c r="AO27" s="68"/>
      <c r="AP27" s="68"/>
      <c r="AQ27" s="68"/>
      <c r="AR27" s="68"/>
      <c r="AS27" s="68"/>
      <c r="AT27" s="68"/>
      <c r="AU27" s="68"/>
      <c r="AV27" s="68"/>
      <c r="AW27" s="68"/>
      <c r="AX27" s="68"/>
      <c r="AY27" s="68"/>
    </row>
    <row r="28" spans="1:51" ht="22.15" customHeight="1">
      <c r="A28" s="68"/>
      <c r="B28" s="68"/>
      <c r="C28" s="69"/>
      <c r="AE28" s="63"/>
      <c r="AG28" s="68"/>
      <c r="AH28" s="68"/>
      <c r="AI28" s="68"/>
      <c r="AJ28" s="68"/>
      <c r="AK28" s="68"/>
      <c r="AL28" s="68"/>
      <c r="AM28" s="68"/>
      <c r="AN28" s="68"/>
      <c r="AO28" s="68"/>
      <c r="AP28" s="68"/>
      <c r="AQ28" s="68"/>
      <c r="AR28" s="68"/>
      <c r="AS28" s="68"/>
      <c r="AT28" s="68"/>
      <c r="AU28" s="68"/>
      <c r="AV28" s="68"/>
      <c r="AW28" s="68"/>
      <c r="AX28" s="68"/>
      <c r="AY28" s="68"/>
    </row>
    <row r="29" spans="1:51" ht="22.15" hidden="1" customHeight="1">
      <c r="A29" s="8"/>
      <c r="B29" s="8"/>
      <c r="C29" s="8"/>
      <c r="AE29" s="63"/>
      <c r="AI29" s="7"/>
      <c r="AJ29" s="7"/>
      <c r="AK29" s="7"/>
      <c r="AL29" s="7"/>
      <c r="AM29" s="7"/>
      <c r="AN29" s="7"/>
      <c r="AO29" s="7"/>
      <c r="AP29" s="7"/>
      <c r="AQ29" s="7"/>
      <c r="AR29" s="7"/>
      <c r="AS29" s="7"/>
      <c r="AT29" s="7"/>
      <c r="AU29" s="8"/>
      <c r="AV29" s="8"/>
      <c r="AW29" s="8"/>
      <c r="AX29" s="8"/>
      <c r="AY29" s="8"/>
    </row>
    <row r="30" spans="1:51" ht="22.15" customHeight="1" thickBot="1">
      <c r="A30" s="1297" t="s">
        <v>431</v>
      </c>
      <c r="B30" s="1297"/>
      <c r="C30" s="1297"/>
      <c r="D30" s="1297"/>
      <c r="E30" s="1297"/>
      <c r="F30" s="1297"/>
      <c r="G30" s="1297"/>
      <c r="H30" s="1297"/>
      <c r="I30" s="1297"/>
      <c r="J30" s="1297"/>
      <c r="K30" s="1297"/>
      <c r="L30" s="1297"/>
      <c r="M30" s="1297"/>
      <c r="N30" s="1297"/>
      <c r="O30" s="1297"/>
      <c r="P30" s="1297"/>
      <c r="Q30" s="1297"/>
      <c r="R30" s="1297"/>
      <c r="S30" s="1297"/>
      <c r="T30" s="1297"/>
      <c r="U30" s="1297"/>
      <c r="V30" s="1297"/>
      <c r="W30" s="1297"/>
      <c r="X30" s="1297"/>
      <c r="Y30" s="1297"/>
      <c r="Z30" s="1297"/>
      <c r="AA30" s="1297"/>
      <c r="AB30" s="1297"/>
      <c r="AC30" s="1297"/>
      <c r="AD30" s="1298"/>
      <c r="AE30" s="63"/>
      <c r="AN30" s="14"/>
      <c r="AO30" s="14"/>
      <c r="AP30" s="14"/>
      <c r="AQ30" s="14"/>
      <c r="AR30" s="14"/>
      <c r="AS30" s="14"/>
      <c r="AT30" s="14"/>
      <c r="AU30" s="14"/>
      <c r="AV30" s="14"/>
      <c r="AW30" s="14"/>
      <c r="AX30" s="14"/>
      <c r="AY30" s="14"/>
    </row>
    <row r="31" spans="1:51" ht="22.15" hidden="1" customHeight="1" thickTop="1" thickBot="1">
      <c r="A31" s="14"/>
      <c r="B31" s="14"/>
      <c r="C31" s="14"/>
      <c r="D31" s="14"/>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63"/>
      <c r="AG31" s="1318" t="s">
        <v>407</v>
      </c>
      <c r="AH31" s="1319"/>
      <c r="AI31" s="1319"/>
      <c r="AJ31" s="1319"/>
      <c r="AK31" s="1319"/>
      <c r="AL31" s="1319"/>
      <c r="AM31" s="1319"/>
      <c r="AN31" s="1320"/>
      <c r="AO31" s="7"/>
      <c r="AP31" s="7"/>
      <c r="AQ31" s="1321" t="s">
        <v>432</v>
      </c>
      <c r="AR31" s="1322"/>
      <c r="AS31" s="1322"/>
      <c r="AT31" s="1322"/>
      <c r="AU31" s="1322"/>
      <c r="AV31" s="1322"/>
      <c r="AW31" s="1323"/>
      <c r="AX31" s="14"/>
      <c r="AY31" s="14"/>
    </row>
    <row r="32" spans="1:51" ht="22.15" hidden="1" customHeight="1" thickTop="1" thickBot="1">
      <c r="A32" s="14" t="str">
        <f>"◆設置から"&amp;LED計算式!AD1&amp;"年間での交換費用を含めたCF改善金額・・・・・・・"</f>
        <v>◆設置から10年間での交換費用を含めたCF改善金額・・・・・・・</v>
      </c>
      <c r="V32" s="1310">
        <f ca="1">LED計算式!J23*LED計算式!AD2</f>
        <v>0</v>
      </c>
      <c r="W32" s="1311"/>
      <c r="X32" s="1311"/>
      <c r="Y32" s="1311"/>
      <c r="Z32" s="1311"/>
      <c r="AA32" s="1311"/>
      <c r="AB32" s="1311"/>
      <c r="AC32" s="1312"/>
      <c r="AD32" s="100"/>
      <c r="AE32" s="63"/>
      <c r="AG32" s="1290">
        <f ca="1">AR7</f>
        <v>0</v>
      </c>
      <c r="AH32" s="1291"/>
      <c r="AI32" s="1291"/>
      <c r="AJ32" s="1291"/>
      <c r="AK32" s="1291"/>
      <c r="AL32" s="1291"/>
      <c r="AM32" s="1291"/>
      <c r="AN32" s="1292"/>
      <c r="AO32" s="1313" t="s">
        <v>409</v>
      </c>
      <c r="AP32" s="1314"/>
      <c r="AQ32" s="971">
        <f>④前後a!BA29/120</f>
        <v>0</v>
      </c>
      <c r="AR32" s="972"/>
      <c r="AS32" s="972"/>
      <c r="AT32" s="972"/>
      <c r="AU32" s="972"/>
      <c r="AV32" s="972"/>
      <c r="AW32" s="973"/>
      <c r="AX32" s="14"/>
      <c r="AY32" s="14"/>
    </row>
    <row r="33" spans="1:51" ht="22.15" hidden="1" customHeight="1" thickTop="1" thickBot="1">
      <c r="AE33" s="63"/>
      <c r="AG33" s="1293"/>
      <c r="AH33" s="1294"/>
      <c r="AI33" s="1294"/>
      <c r="AJ33" s="1294"/>
      <c r="AK33" s="1294"/>
      <c r="AL33" s="1294"/>
      <c r="AM33" s="1294"/>
      <c r="AN33" s="1295"/>
      <c r="AO33" s="1313"/>
      <c r="AP33" s="1314"/>
      <c r="AQ33" s="974"/>
      <c r="AR33" s="975"/>
      <c r="AS33" s="975"/>
      <c r="AT33" s="975"/>
      <c r="AU33" s="975"/>
      <c r="AV33" s="975"/>
      <c r="AW33" s="976"/>
      <c r="AX33" s="10"/>
      <c r="AY33" s="10"/>
    </row>
    <row r="34" spans="1:51" ht="22.15" hidden="1" customHeight="1" thickTop="1" thickBot="1">
      <c r="A34" s="14" t="str">
        <f>"◆"&amp;LED計算式!AD1+1&amp;"年目以降の交換費用を含めたCF改善金額・・・・・・・・・・"</f>
        <v>◆11年目以降の交換費用を含めたCF改善金額・・・・・・・・・・</v>
      </c>
      <c r="V34" s="1310">
        <f>LED計算式!K23*LED計算式!AE2</f>
        <v>0</v>
      </c>
      <c r="W34" s="1311"/>
      <c r="X34" s="1311"/>
      <c r="Y34" s="1311"/>
      <c r="Z34" s="1311"/>
      <c r="AA34" s="1311"/>
      <c r="AB34" s="1311"/>
      <c r="AC34" s="1312"/>
      <c r="AD34" s="100"/>
      <c r="AE34" s="63"/>
    </row>
    <row r="35" spans="1:51" ht="22.15" customHeight="1" thickTop="1" thickBot="1">
      <c r="B35" s="14"/>
      <c r="C35" s="14"/>
      <c r="D35" s="14"/>
      <c r="E35" s="90"/>
      <c r="F35" s="90"/>
      <c r="G35" s="90"/>
      <c r="H35" s="90"/>
      <c r="I35" s="90"/>
      <c r="J35" s="90"/>
      <c r="K35" s="90"/>
      <c r="L35" s="90"/>
      <c r="M35" s="90"/>
      <c r="N35" s="90"/>
      <c r="O35" s="90"/>
      <c r="P35" s="90"/>
      <c r="Q35" s="90"/>
      <c r="R35" s="90"/>
      <c r="S35" s="90"/>
      <c r="T35" s="90"/>
      <c r="U35" s="90"/>
      <c r="V35" s="90"/>
      <c r="W35" s="90"/>
      <c r="X35" s="90"/>
      <c r="Y35" s="90"/>
      <c r="Z35" s="90"/>
      <c r="AA35" s="90"/>
      <c r="AB35" s="90"/>
      <c r="AC35" s="90"/>
      <c r="AD35" s="90"/>
      <c r="AE35" s="63"/>
      <c r="AQ35" s="1315" t="s">
        <v>410</v>
      </c>
      <c r="AR35" s="1316"/>
      <c r="AS35" s="1316"/>
      <c r="AT35" s="1316"/>
      <c r="AU35" s="1316"/>
      <c r="AV35" s="1316"/>
      <c r="AW35" s="1317"/>
    </row>
    <row r="36" spans="1:51" ht="22.15" customHeight="1" thickTop="1" thickBot="1">
      <c r="A36" s="14" t="s">
        <v>443</v>
      </c>
      <c r="B36" s="17"/>
      <c r="C36" s="17"/>
      <c r="D36" s="14"/>
      <c r="E36" s="90"/>
      <c r="F36" s="90"/>
      <c r="G36" s="90"/>
      <c r="H36" s="90"/>
      <c r="I36" s="90"/>
      <c r="J36" s="90"/>
      <c r="K36" s="90"/>
      <c r="L36" s="90"/>
      <c r="M36" s="90"/>
      <c r="N36" s="90"/>
      <c r="O36" s="90"/>
      <c r="P36" s="90"/>
      <c r="Q36" s="90"/>
      <c r="R36" s="90"/>
      <c r="S36" s="90"/>
      <c r="T36" s="90"/>
      <c r="U36" s="90"/>
      <c r="V36" s="1299">
        <f ca="1">V32+V34</f>
        <v>0</v>
      </c>
      <c r="W36" s="1300"/>
      <c r="X36" s="1300"/>
      <c r="Y36" s="1300"/>
      <c r="Z36" s="1300"/>
      <c r="AA36" s="1300"/>
      <c r="AB36" s="1300"/>
      <c r="AC36" s="1301"/>
      <c r="AD36" s="101"/>
      <c r="AE36" s="63"/>
      <c r="AO36" s="1302"/>
      <c r="AP36" s="1302"/>
      <c r="AQ36" s="1303" t="str">
        <f ca="1">IFERROR((AG32/AQ32)/12,"0")</f>
        <v>0</v>
      </c>
      <c r="AR36" s="1304"/>
      <c r="AS36" s="1304"/>
      <c r="AT36" s="1304"/>
      <c r="AU36" s="1304"/>
      <c r="AV36" s="1304"/>
      <c r="AW36" s="1305"/>
    </row>
    <row r="37" spans="1:51" ht="22.15" customHeight="1" thickTop="1" thickBot="1">
      <c r="B37" s="14"/>
      <c r="C37" s="14"/>
      <c r="D37" s="14"/>
      <c r="E37" s="90"/>
      <c r="F37" s="90"/>
      <c r="G37" s="90"/>
      <c r="H37" s="90"/>
      <c r="I37" s="90"/>
      <c r="J37" s="90"/>
      <c r="K37" s="90"/>
      <c r="L37" s="90"/>
      <c r="M37" s="90"/>
      <c r="N37" s="90"/>
      <c r="O37" s="90"/>
      <c r="P37" s="90"/>
      <c r="Q37" s="90"/>
      <c r="R37" s="90"/>
      <c r="S37" s="90"/>
      <c r="T37" s="90"/>
      <c r="U37" s="90"/>
      <c r="V37" s="90"/>
      <c r="W37" s="90"/>
      <c r="X37" s="90"/>
      <c r="Y37" s="90"/>
      <c r="Z37" s="90"/>
      <c r="AA37" s="90"/>
      <c r="AB37" s="90"/>
      <c r="AC37" s="90"/>
      <c r="AD37" s="90"/>
      <c r="AE37" s="63"/>
      <c r="AO37" s="1302"/>
      <c r="AP37" s="1302"/>
      <c r="AQ37" s="1306"/>
      <c r="AR37" s="1307"/>
      <c r="AS37" s="1307"/>
      <c r="AT37" s="1307"/>
      <c r="AU37" s="1307"/>
      <c r="AV37" s="1307"/>
      <c r="AW37" s="1308"/>
    </row>
    <row r="38" spans="1:51" ht="22.15" customHeight="1" thickTop="1">
      <c r="AE38" s="63"/>
      <c r="AJ38" s="60"/>
      <c r="AK38" s="60"/>
      <c r="AL38" s="60"/>
      <c r="AM38" s="60"/>
      <c r="AN38" s="60"/>
      <c r="AO38" s="60"/>
      <c r="AP38" s="60"/>
      <c r="AQ38" s="1309" t="str">
        <f ca="1">IFERROR(AG32/AQ32,"0")</f>
        <v>0</v>
      </c>
      <c r="AR38" s="1309"/>
      <c r="AS38" s="1309"/>
      <c r="AT38" s="1309"/>
      <c r="AU38" s="1309"/>
      <c r="AV38" s="1309"/>
      <c r="AW38" s="1309"/>
    </row>
    <row r="39" spans="1:51" ht="22.15" customHeight="1">
      <c r="AI39" s="60"/>
      <c r="AJ39" s="60"/>
      <c r="AK39" s="60"/>
      <c r="AL39" s="60"/>
      <c r="AM39" s="60"/>
      <c r="AN39" s="60"/>
      <c r="AO39" s="60"/>
      <c r="AP39" s="60"/>
      <c r="AQ39" s="60"/>
      <c r="AR39" s="60"/>
      <c r="AS39" s="60"/>
      <c r="AT39" s="60"/>
      <c r="AX39" s="1296" t="s">
        <v>444</v>
      </c>
      <c r="AY39" s="1296"/>
    </row>
  </sheetData>
  <mergeCells count="35">
    <mergeCell ref="AX39:AY39"/>
    <mergeCell ref="A1:AY1"/>
    <mergeCell ref="A3:AC4"/>
    <mergeCell ref="AF3:AX4"/>
    <mergeCell ref="R7:V8"/>
    <mergeCell ref="I7:M8"/>
    <mergeCell ref="AG7:AM8"/>
    <mergeCell ref="I6:M6"/>
    <mergeCell ref="Q6:W6"/>
    <mergeCell ref="AH6:AL6"/>
    <mergeCell ref="AR6:AX6"/>
    <mergeCell ref="AQ38:AW38"/>
    <mergeCell ref="A2:AY2"/>
    <mergeCell ref="V32:AC32"/>
    <mergeCell ref="AG32:AN33"/>
    <mergeCell ref="AO32:AP33"/>
    <mergeCell ref="AR7:AX8"/>
    <mergeCell ref="A30:AD30"/>
    <mergeCell ref="AG31:AN31"/>
    <mergeCell ref="AQ31:AW31"/>
    <mergeCell ref="M9:R10"/>
    <mergeCell ref="M11:R11"/>
    <mergeCell ref="I11:L11"/>
    <mergeCell ref="AS9:AY10"/>
    <mergeCell ref="A9:L10"/>
    <mergeCell ref="S9:AC10"/>
    <mergeCell ref="D11:H11"/>
    <mergeCell ref="V36:AC36"/>
    <mergeCell ref="AO36:AP37"/>
    <mergeCell ref="AM9:AR10"/>
    <mergeCell ref="AF9:AL10"/>
    <mergeCell ref="AQ36:AW37"/>
    <mergeCell ref="AQ32:AW33"/>
    <mergeCell ref="V34:AC34"/>
    <mergeCell ref="AQ35:AW35"/>
  </mergeCells>
  <phoneticPr fontId="2"/>
  <conditionalFormatting sqref="A14:A19">
    <cfRule type="cellIs" dxfId="41" priority="9" operator="equal">
      <formula>0</formula>
    </cfRule>
  </conditionalFormatting>
  <conditionalFormatting sqref="B14:C19 AJ21 AO21:AO22 AV21:AV22 B22:C22 C23">
    <cfRule type="cellIs" dxfId="40" priority="10" operator="equal">
      <formula>0</formula>
    </cfRule>
  </conditionalFormatting>
  <conditionalFormatting sqref="AI14:AY19 AI22">
    <cfRule type="cellIs" dxfId="39" priority="8" operator="equal">
      <formula>0</formula>
    </cfRule>
  </conditionalFormatting>
  <conditionalFormatting sqref="AO31:AQ31 AO32 AQ35:AQ36 AO36">
    <cfRule type="cellIs" dxfId="38" priority="2" operator="equal">
      <formula>0</formula>
    </cfRule>
  </conditionalFormatting>
  <conditionalFormatting sqref="AP18">
    <cfRule type="cellIs" dxfId="37" priority="6" operator="equal">
      <formula>0</formula>
    </cfRule>
  </conditionalFormatting>
  <conditionalFormatting sqref="AP21">
    <cfRule type="cellIs" dxfId="36" priority="4" operator="equal">
      <formula>0</formula>
    </cfRule>
  </conditionalFormatting>
  <conditionalFormatting sqref="AQ12 AW12:AY12">
    <cfRule type="cellIs" dxfId="35" priority="7" operator="equal">
      <formula>0</formula>
    </cfRule>
  </conditionalFormatting>
  <conditionalFormatting sqref="AR11">
    <cfRule type="cellIs" dxfId="34" priority="1" operator="equal">
      <formula>0</formula>
    </cfRule>
  </conditionalFormatting>
  <conditionalFormatting sqref="AW18">
    <cfRule type="cellIs" dxfId="33" priority="5" operator="equal">
      <formula>0</formula>
    </cfRule>
  </conditionalFormatting>
  <conditionalFormatting sqref="AW21">
    <cfRule type="cellIs" dxfId="32" priority="3" operator="equal">
      <formula>0</formula>
    </cfRule>
  </conditionalFormatting>
  <printOptions horizontalCentered="1" verticalCentered="1"/>
  <pageMargins left="0" right="0" top="0" bottom="0" header="0" footer="0"/>
  <pageSetup paperSize="9" scale="68"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DAC6F-9A4A-4C71-86CE-F0CBD4103119}">
  <sheetPr>
    <tabColor rgb="FF00B0F0"/>
  </sheetPr>
  <dimension ref="A1:AY35"/>
  <sheetViews>
    <sheetView view="pageBreakPreview" zoomScale="50" zoomScaleNormal="85" zoomScaleSheetLayoutView="50" workbookViewId="0">
      <selection activeCell="CO34" sqref="CO34"/>
    </sheetView>
  </sheetViews>
  <sheetFormatPr defaultColWidth="3.625" defaultRowHeight="18.75" customHeight="1"/>
  <cols>
    <col min="1" max="1" width="3.625" style="4"/>
    <col min="2" max="2" width="3.625" style="4" customWidth="1"/>
    <col min="3" max="4" width="3.625" style="4"/>
    <col min="5" max="6" width="3.625" style="4" customWidth="1"/>
    <col min="7" max="50" width="3.625" style="4"/>
    <col min="51" max="51" width="3.625" style="4" customWidth="1"/>
    <col min="52" max="16384" width="3.625" style="4"/>
  </cols>
  <sheetData>
    <row r="1" spans="1:51" ht="38.25">
      <c r="A1" s="1275" t="s">
        <v>420</v>
      </c>
      <c r="B1" s="1275"/>
      <c r="C1" s="1275"/>
      <c r="D1" s="1275"/>
      <c r="E1" s="1275"/>
      <c r="F1" s="1275"/>
      <c r="G1" s="1275"/>
      <c r="H1" s="1275"/>
      <c r="I1" s="1275"/>
      <c r="J1" s="1275"/>
      <c r="K1" s="1275"/>
      <c r="L1" s="1275"/>
      <c r="M1" s="1275"/>
      <c r="N1" s="1275"/>
      <c r="O1" s="1275"/>
      <c r="P1" s="1275"/>
      <c r="Q1" s="1275"/>
      <c r="R1" s="1275"/>
      <c r="S1" s="1275"/>
      <c r="T1" s="1275"/>
      <c r="U1" s="1275"/>
      <c r="V1" s="1275"/>
      <c r="W1" s="1275"/>
      <c r="X1" s="1275"/>
      <c r="Y1" s="1275"/>
      <c r="Z1" s="1275"/>
      <c r="AA1" s="1275"/>
      <c r="AB1" s="1275"/>
      <c r="AC1" s="1275"/>
      <c r="AD1" s="1275"/>
      <c r="AE1" s="1275"/>
      <c r="AF1" s="1275"/>
      <c r="AG1" s="1275"/>
      <c r="AH1" s="1275"/>
      <c r="AI1" s="1275"/>
      <c r="AJ1" s="1275"/>
      <c r="AK1" s="1275"/>
      <c r="AL1" s="1275"/>
      <c r="AM1" s="1275"/>
      <c r="AN1" s="1275"/>
      <c r="AO1" s="1275"/>
      <c r="AP1" s="1275"/>
      <c r="AQ1" s="1275"/>
      <c r="AR1" s="1275"/>
      <c r="AS1" s="1275"/>
      <c r="AT1" s="1275"/>
      <c r="AU1" s="1275"/>
      <c r="AV1" s="1275"/>
      <c r="AW1" s="1275"/>
      <c r="AX1" s="1275"/>
      <c r="AY1" s="1275"/>
    </row>
    <row r="2" spans="1:51" ht="22.15" customHeight="1">
      <c r="A2" s="1276" t="s">
        <v>421</v>
      </c>
      <c r="B2" s="1276"/>
      <c r="C2" s="1276"/>
      <c r="D2" s="1276"/>
      <c r="E2" s="1276"/>
      <c r="F2" s="1276"/>
      <c r="G2" s="1276"/>
      <c r="H2" s="1276"/>
      <c r="I2" s="1276"/>
      <c r="J2" s="1276"/>
      <c r="K2" s="1276"/>
      <c r="L2" s="1276"/>
      <c r="M2" s="1276"/>
      <c r="N2" s="1276"/>
      <c r="O2" s="1276"/>
      <c r="P2" s="1276"/>
      <c r="Q2" s="1276"/>
      <c r="R2" s="1276"/>
      <c r="S2" s="1276"/>
      <c r="T2" s="1276"/>
      <c r="U2" s="1276"/>
      <c r="V2" s="1276"/>
      <c r="W2" s="1276"/>
      <c r="X2" s="1276"/>
      <c r="Y2" s="1276"/>
      <c r="Z2" s="1276"/>
      <c r="AA2" s="1276"/>
      <c r="AB2" s="1276"/>
      <c r="AC2" s="1276"/>
      <c r="AD2" s="477"/>
      <c r="AF2" s="1276" t="s">
        <v>422</v>
      </c>
      <c r="AG2" s="1276"/>
      <c r="AH2" s="1276"/>
      <c r="AI2" s="1276"/>
      <c r="AJ2" s="1276"/>
      <c r="AK2" s="1276"/>
      <c r="AL2" s="1276"/>
      <c r="AM2" s="1276"/>
      <c r="AN2" s="1276"/>
      <c r="AO2" s="1276"/>
      <c r="AP2" s="1276"/>
      <c r="AQ2" s="1276"/>
      <c r="AR2" s="1276"/>
      <c r="AS2" s="1276"/>
      <c r="AT2" s="1276"/>
      <c r="AU2" s="1276"/>
      <c r="AV2" s="1276"/>
      <c r="AW2" s="1276"/>
      <c r="AX2" s="1276"/>
      <c r="AY2" s="86"/>
    </row>
    <row r="3" spans="1:51" ht="22.15" customHeight="1" thickBot="1">
      <c r="A3" s="1277"/>
      <c r="B3" s="1277"/>
      <c r="C3" s="1277"/>
      <c r="D3" s="1277"/>
      <c r="E3" s="1277"/>
      <c r="F3" s="1277"/>
      <c r="G3" s="1277"/>
      <c r="H3" s="1277"/>
      <c r="I3" s="1277"/>
      <c r="J3" s="1277"/>
      <c r="K3" s="1277"/>
      <c r="L3" s="1277"/>
      <c r="M3" s="1277"/>
      <c r="N3" s="1277"/>
      <c r="O3" s="1277"/>
      <c r="P3" s="1277"/>
      <c r="Q3" s="1277"/>
      <c r="R3" s="1277"/>
      <c r="S3" s="1277"/>
      <c r="T3" s="1277"/>
      <c r="U3" s="1277"/>
      <c r="V3" s="1277"/>
      <c r="W3" s="1277"/>
      <c r="X3" s="1277"/>
      <c r="Y3" s="1277"/>
      <c r="Z3" s="1277"/>
      <c r="AA3" s="1277"/>
      <c r="AB3" s="1277"/>
      <c r="AC3" s="1277"/>
      <c r="AD3" s="477"/>
      <c r="AF3" s="1278"/>
      <c r="AG3" s="1278"/>
      <c r="AH3" s="1278"/>
      <c r="AI3" s="1278"/>
      <c r="AJ3" s="1278"/>
      <c r="AK3" s="1278"/>
      <c r="AL3" s="1278"/>
      <c r="AM3" s="1278"/>
      <c r="AN3" s="1278"/>
      <c r="AO3" s="1278"/>
      <c r="AP3" s="1278"/>
      <c r="AQ3" s="1278"/>
      <c r="AR3" s="1278"/>
      <c r="AS3" s="1278"/>
      <c r="AT3" s="1278"/>
      <c r="AU3" s="1278"/>
      <c r="AV3" s="1278"/>
      <c r="AW3" s="1278"/>
      <c r="AX3" s="1278"/>
      <c r="AY3" s="86"/>
    </row>
    <row r="4" spans="1:51" ht="22.15" customHeight="1" thickTop="1" thickBot="1">
      <c r="A4" s="68"/>
      <c r="B4" s="68"/>
      <c r="C4" s="69"/>
      <c r="AE4" s="63"/>
      <c r="AG4" s="68"/>
      <c r="AH4" s="68"/>
      <c r="AI4" s="68"/>
      <c r="AJ4" s="68"/>
      <c r="AK4" s="68"/>
      <c r="AL4" s="68"/>
      <c r="AM4" s="68"/>
      <c r="AN4" s="68"/>
      <c r="AO4" s="68"/>
      <c r="AP4" s="68"/>
      <c r="AQ4" s="68"/>
      <c r="AR4" s="68"/>
      <c r="AS4" s="68"/>
      <c r="AT4" s="68"/>
      <c r="AU4" s="68"/>
      <c r="AV4" s="68"/>
      <c r="AW4" s="68"/>
      <c r="AX4" s="68"/>
      <c r="AY4" s="68"/>
    </row>
    <row r="5" spans="1:51" ht="22.15" customHeight="1" thickTop="1">
      <c r="A5" s="1279" t="s">
        <v>423</v>
      </c>
      <c r="B5" s="1279"/>
      <c r="C5" s="1279"/>
      <c r="D5" s="1279"/>
      <c r="E5" s="1279"/>
      <c r="F5" s="1279"/>
      <c r="G5" s="1279"/>
      <c r="H5" s="1279"/>
      <c r="I5" s="1279"/>
      <c r="J5" s="1279"/>
      <c r="K5" s="1279"/>
      <c r="L5" s="1279"/>
      <c r="M5" s="1279"/>
      <c r="N5" s="1280">
        <f ca="1">ROUNDDOWN((☆入力!AK14)*(100%-☆入力!AR11)+(代理店入力用!D5/54),0)</f>
        <v>0</v>
      </c>
      <c r="O5" s="1281"/>
      <c r="P5" s="1281"/>
      <c r="Q5" s="1281"/>
      <c r="R5" s="1282"/>
      <c r="S5" s="1286" t="s">
        <v>424</v>
      </c>
      <c r="T5" s="1286"/>
      <c r="U5" s="1287">
        <v>60</v>
      </c>
      <c r="V5" s="1287"/>
      <c r="W5" s="1287"/>
      <c r="X5" s="1287"/>
      <c r="Y5" s="1286" t="s">
        <v>411</v>
      </c>
      <c r="Z5" s="1288">
        <f ca="1">N5*U5</f>
        <v>0</v>
      </c>
      <c r="AA5" s="1288"/>
      <c r="AB5" s="1288"/>
      <c r="AC5" s="1288"/>
      <c r="AD5" s="98"/>
      <c r="AE5" s="63"/>
      <c r="AF5" s="1289" t="s">
        <v>425</v>
      </c>
      <c r="AG5" s="1289"/>
      <c r="AH5" s="1289"/>
      <c r="AI5" s="1289"/>
      <c r="AJ5" s="1289"/>
      <c r="AK5" s="1289"/>
      <c r="AL5" s="1289"/>
      <c r="AM5" s="1289"/>
      <c r="AN5" s="1289"/>
      <c r="AO5" s="1289"/>
      <c r="AP5" s="1289"/>
      <c r="AQ5" s="1289"/>
      <c r="AR5" s="1290">
        <f ca="1">ROUNDDOWN((☆入力!AL14)*(100%-☆入力!AR11)+代理店入力用!D5,0)</f>
        <v>0</v>
      </c>
      <c r="AS5" s="1291"/>
      <c r="AT5" s="1291"/>
      <c r="AU5" s="1291"/>
      <c r="AV5" s="1291"/>
      <c r="AW5" s="1291"/>
      <c r="AX5" s="1292"/>
      <c r="AY5" s="85"/>
    </row>
    <row r="6" spans="1:51" ht="22.15" customHeight="1" thickBot="1">
      <c r="A6" s="1279"/>
      <c r="B6" s="1279"/>
      <c r="C6" s="1279"/>
      <c r="D6" s="1279"/>
      <c r="E6" s="1279"/>
      <c r="F6" s="1279"/>
      <c r="G6" s="1279"/>
      <c r="H6" s="1279"/>
      <c r="I6" s="1279"/>
      <c r="J6" s="1279"/>
      <c r="K6" s="1279"/>
      <c r="L6" s="1279"/>
      <c r="M6" s="1279"/>
      <c r="N6" s="1283"/>
      <c r="O6" s="1284"/>
      <c r="P6" s="1284"/>
      <c r="Q6" s="1284"/>
      <c r="R6" s="1285"/>
      <c r="S6" s="1286"/>
      <c r="T6" s="1286"/>
      <c r="U6" s="1287"/>
      <c r="V6" s="1287"/>
      <c r="W6" s="1287"/>
      <c r="X6" s="1287"/>
      <c r="Y6" s="1286"/>
      <c r="Z6" s="1288"/>
      <c r="AA6" s="1288"/>
      <c r="AB6" s="1288"/>
      <c r="AC6" s="1288"/>
      <c r="AD6" s="98"/>
      <c r="AE6" s="63"/>
      <c r="AF6" s="1289"/>
      <c r="AG6" s="1289"/>
      <c r="AH6" s="1289"/>
      <c r="AI6" s="1289"/>
      <c r="AJ6" s="1289"/>
      <c r="AK6" s="1289"/>
      <c r="AL6" s="1289"/>
      <c r="AM6" s="1289"/>
      <c r="AN6" s="1289"/>
      <c r="AO6" s="1289"/>
      <c r="AP6" s="1289"/>
      <c r="AQ6" s="1289"/>
      <c r="AR6" s="1293"/>
      <c r="AS6" s="1294"/>
      <c r="AT6" s="1294"/>
      <c r="AU6" s="1294"/>
      <c r="AV6" s="1294"/>
      <c r="AW6" s="1294"/>
      <c r="AX6" s="1295"/>
      <c r="AY6" s="85"/>
    </row>
    <row r="7" spans="1:51" ht="22.15" customHeight="1" thickTop="1">
      <c r="B7" s="88" t="s">
        <v>426</v>
      </c>
      <c r="F7" s="15"/>
      <c r="G7" s="15"/>
      <c r="H7" s="15"/>
      <c r="I7" s="15"/>
      <c r="J7" s="15"/>
      <c r="K7" s="15"/>
      <c r="L7" s="15"/>
      <c r="M7" s="15"/>
      <c r="N7" s="1272" t="s">
        <v>445</v>
      </c>
      <c r="O7" s="1272"/>
      <c r="P7" s="1272"/>
      <c r="Q7" s="1272"/>
      <c r="R7" s="1272"/>
      <c r="S7" s="74"/>
      <c r="T7" s="83"/>
      <c r="U7" s="83"/>
      <c r="V7" s="83"/>
      <c r="W7" s="478"/>
      <c r="Z7" s="1273" t="s">
        <v>428</v>
      </c>
      <c r="AA7" s="1273"/>
      <c r="AB7" s="1273"/>
      <c r="AC7" s="1273"/>
      <c r="AD7" s="99"/>
      <c r="AE7" s="63"/>
      <c r="AF7" s="105"/>
      <c r="AG7" s="88" t="s">
        <v>426</v>
      </c>
      <c r="AI7" s="105"/>
      <c r="AJ7" s="105"/>
      <c r="AK7" s="105"/>
      <c r="AL7" s="105"/>
      <c r="AM7" s="105"/>
      <c r="AN7" s="105"/>
      <c r="AO7" s="105"/>
      <c r="AP7" s="105"/>
      <c r="AQ7" s="105"/>
      <c r="AR7" s="1274" t="s">
        <v>445</v>
      </c>
      <c r="AS7" s="1274"/>
      <c r="AT7" s="1274"/>
      <c r="AU7" s="1274"/>
      <c r="AV7" s="1274"/>
      <c r="AW7" s="1274"/>
      <c r="AX7" s="1274"/>
      <c r="AY7" s="8"/>
    </row>
    <row r="8" spans="1:51" ht="22.15" customHeight="1">
      <c r="AE8" s="63"/>
      <c r="AG8" s="11"/>
      <c r="AH8" s="11"/>
      <c r="AI8" s="9"/>
      <c r="AJ8" s="9"/>
      <c r="AK8" s="9"/>
      <c r="AL8" s="9"/>
      <c r="AM8" s="9"/>
      <c r="AN8" s="9"/>
      <c r="AO8" s="9"/>
      <c r="AP8" s="9"/>
      <c r="AQ8" s="7"/>
      <c r="AR8" s="7"/>
      <c r="AS8" s="7"/>
      <c r="AT8" s="7"/>
      <c r="AU8" s="7"/>
      <c r="AV8" s="7"/>
      <c r="AW8" s="8"/>
      <c r="AX8" s="8"/>
      <c r="AY8" s="8"/>
    </row>
    <row r="9" spans="1:51" ht="22.15" customHeight="1">
      <c r="A9" s="53" t="s">
        <v>429</v>
      </c>
      <c r="B9" s="10"/>
      <c r="C9" s="10"/>
      <c r="AE9" s="63"/>
      <c r="AF9" s="53" t="s">
        <v>430</v>
      </c>
      <c r="AG9" s="11"/>
      <c r="AH9" s="11"/>
      <c r="AI9" s="9"/>
      <c r="AJ9" s="9"/>
      <c r="AK9" s="9"/>
      <c r="AL9" s="9"/>
      <c r="AM9" s="9"/>
      <c r="AN9" s="9"/>
      <c r="AO9" s="9"/>
      <c r="AP9" s="9"/>
      <c r="AQ9" s="9"/>
      <c r="AR9" s="9"/>
      <c r="AS9" s="9"/>
      <c r="AT9" s="9"/>
      <c r="AU9" s="10"/>
      <c r="AV9" s="10"/>
      <c r="AW9" s="10"/>
      <c r="AX9" s="10"/>
      <c r="AY9" s="10"/>
    </row>
    <row r="10" spans="1:51" ht="22.15" customHeight="1">
      <c r="A10" s="8"/>
      <c r="B10" s="8"/>
      <c r="C10" s="8"/>
      <c r="AE10" s="63"/>
      <c r="AG10" s="8"/>
      <c r="AH10" s="8"/>
      <c r="AI10" s="7"/>
      <c r="AJ10" s="7"/>
      <c r="AK10" s="7"/>
      <c r="AL10" s="7"/>
      <c r="AM10" s="7"/>
      <c r="AN10" s="7"/>
      <c r="AO10" s="7"/>
      <c r="AP10" s="7"/>
      <c r="AQ10" s="7"/>
      <c r="AR10" s="7"/>
      <c r="AS10" s="7"/>
      <c r="AT10" s="7"/>
      <c r="AU10" s="8"/>
      <c r="AV10" s="8"/>
      <c r="AW10" s="8"/>
      <c r="AX10" s="8"/>
      <c r="AY10" s="8"/>
    </row>
    <row r="11" spans="1:51" ht="22.15" customHeight="1">
      <c r="A11" s="8"/>
      <c r="B11" s="8"/>
      <c r="C11" s="8"/>
      <c r="AE11" s="63"/>
      <c r="AG11" s="8"/>
      <c r="AH11" s="8"/>
      <c r="AI11" s="7"/>
      <c r="AJ11" s="7"/>
      <c r="AK11" s="7"/>
      <c r="AL11" s="7"/>
      <c r="AM11" s="7"/>
      <c r="AN11" s="7"/>
      <c r="AO11" s="7"/>
      <c r="AP11" s="7"/>
      <c r="AQ11" s="7"/>
      <c r="AR11" s="7"/>
      <c r="AS11" s="7"/>
      <c r="AT11" s="7"/>
      <c r="AU11" s="8"/>
      <c r="AV11" s="8"/>
      <c r="AW11" s="8"/>
      <c r="AX11" s="8"/>
      <c r="AY11" s="8"/>
    </row>
    <row r="12" spans="1:51" ht="22.15" customHeight="1">
      <c r="A12" s="8"/>
      <c r="B12" s="8"/>
      <c r="C12" s="8"/>
      <c r="AE12" s="63"/>
      <c r="AG12" s="8"/>
      <c r="AH12" s="8"/>
      <c r="AI12" s="7"/>
      <c r="AJ12" s="7"/>
      <c r="AK12" s="7"/>
      <c r="AL12" s="7"/>
      <c r="AM12" s="7"/>
      <c r="AN12" s="7"/>
      <c r="AO12" s="7"/>
      <c r="AP12" s="7"/>
      <c r="AQ12" s="7"/>
      <c r="AR12" s="7"/>
      <c r="AS12" s="7"/>
      <c r="AT12" s="7"/>
      <c r="AU12" s="8"/>
      <c r="AV12" s="8"/>
      <c r="AW12" s="8"/>
      <c r="AX12" s="8"/>
      <c r="AY12" s="8"/>
    </row>
    <row r="13" spans="1:51" ht="22.15" customHeight="1">
      <c r="A13" s="8"/>
      <c r="B13" s="8"/>
      <c r="C13" s="8"/>
      <c r="AE13" s="63"/>
      <c r="AG13" s="8"/>
      <c r="AH13" s="8"/>
      <c r="AI13" s="7"/>
      <c r="AJ13" s="7"/>
      <c r="AK13" s="7"/>
      <c r="AL13" s="7"/>
      <c r="AM13" s="7"/>
      <c r="AN13" s="7"/>
      <c r="AO13" s="7"/>
      <c r="AP13" s="7"/>
      <c r="AQ13" s="7"/>
      <c r="AR13" s="7"/>
      <c r="AS13" s="7"/>
      <c r="AT13" s="7"/>
      <c r="AU13" s="8"/>
      <c r="AV13" s="8"/>
      <c r="AW13" s="8"/>
      <c r="AX13" s="8"/>
      <c r="AY13" s="8"/>
    </row>
    <row r="14" spans="1:51" ht="22.15" customHeight="1">
      <c r="A14" s="70"/>
      <c r="B14" s="8"/>
      <c r="C14" s="8"/>
      <c r="AE14" s="63"/>
      <c r="AG14" s="18"/>
      <c r="AH14" s="18"/>
      <c r="AI14" s="18"/>
      <c r="AJ14" s="70"/>
      <c r="AK14" s="70"/>
      <c r="AL14" s="70"/>
      <c r="AM14" s="70"/>
      <c r="AN14" s="7"/>
      <c r="AO14" s="7"/>
      <c r="AP14" s="7"/>
      <c r="AQ14" s="70"/>
      <c r="AR14" s="70"/>
      <c r="AS14" s="70"/>
      <c r="AT14" s="70"/>
      <c r="AU14" s="7"/>
      <c r="AV14" s="8"/>
      <c r="AW14" s="7"/>
      <c r="AX14" s="70"/>
      <c r="AY14" s="70"/>
    </row>
    <row r="15" spans="1:51" ht="22.15" customHeight="1">
      <c r="A15" s="70"/>
      <c r="B15" s="8"/>
      <c r="C15" s="8"/>
      <c r="AE15" s="63"/>
      <c r="AG15" s="18"/>
      <c r="AH15" s="18"/>
      <c r="AI15" s="18"/>
      <c r="AJ15" s="70"/>
      <c r="AK15" s="70"/>
      <c r="AL15" s="70"/>
      <c r="AM15" s="70"/>
      <c r="AN15" s="7"/>
      <c r="AO15" s="7"/>
      <c r="AP15" s="7"/>
      <c r="AQ15" s="70"/>
      <c r="AR15" s="70"/>
      <c r="AS15" s="70"/>
      <c r="AT15" s="70"/>
      <c r="AU15" s="7"/>
      <c r="AV15" s="8"/>
      <c r="AW15" s="7"/>
      <c r="AX15" s="70"/>
      <c r="AY15" s="70"/>
    </row>
    <row r="16" spans="1:51" ht="22.15" customHeight="1">
      <c r="B16" s="7"/>
      <c r="C16" s="7"/>
      <c r="AE16" s="63"/>
      <c r="AI16" s="60"/>
      <c r="AJ16" s="60"/>
      <c r="AK16" s="60"/>
      <c r="AL16" s="60"/>
      <c r="AM16" s="60"/>
      <c r="AN16" s="60"/>
      <c r="AO16" s="60"/>
      <c r="AP16" s="60"/>
      <c r="AQ16" s="60"/>
      <c r="AR16" s="60"/>
      <c r="AS16" s="60"/>
      <c r="AT16" s="60"/>
    </row>
    <row r="17" spans="1:51" ht="22.15" customHeight="1">
      <c r="A17" s="72"/>
      <c r="B17" s="7"/>
      <c r="C17" s="7"/>
      <c r="AE17" s="63"/>
      <c r="AI17" s="60"/>
      <c r="AJ17" s="71"/>
      <c r="AK17" s="71"/>
      <c r="AL17" s="71"/>
      <c r="AM17" s="71"/>
      <c r="AN17" s="71"/>
      <c r="AO17" s="7"/>
      <c r="AP17" s="7"/>
      <c r="AQ17" s="72"/>
      <c r="AR17" s="72"/>
      <c r="AS17" s="72"/>
      <c r="AT17" s="72"/>
      <c r="AU17" s="7"/>
      <c r="AV17" s="8"/>
      <c r="AW17" s="7"/>
      <c r="AX17" s="72"/>
      <c r="AY17" s="72"/>
    </row>
    <row r="18" spans="1:51" ht="22.15" customHeight="1">
      <c r="A18" s="72"/>
      <c r="B18" s="8"/>
      <c r="C18" s="8"/>
      <c r="AE18" s="63"/>
      <c r="AG18" s="8"/>
      <c r="AH18" s="8"/>
      <c r="AI18" s="7"/>
      <c r="AJ18" s="71"/>
      <c r="AK18" s="71"/>
      <c r="AL18" s="71"/>
      <c r="AM18" s="71"/>
      <c r="AN18" s="71"/>
      <c r="AO18" s="7"/>
      <c r="AP18" s="7"/>
      <c r="AQ18" s="72"/>
      <c r="AR18" s="72"/>
      <c r="AS18" s="72"/>
      <c r="AT18" s="72"/>
      <c r="AU18" s="7"/>
      <c r="AV18" s="8"/>
      <c r="AW18" s="7"/>
      <c r="AX18" s="72"/>
      <c r="AY18" s="72"/>
    </row>
    <row r="19" spans="1:51" s="19" customFormat="1" ht="22.15" customHeight="1">
      <c r="C19" s="20"/>
      <c r="U19" s="73"/>
      <c r="V19" s="73"/>
      <c r="W19" s="73"/>
      <c r="X19" s="73"/>
      <c r="Y19" s="73"/>
      <c r="Z19" s="73"/>
      <c r="AE19" s="87"/>
    </row>
    <row r="20" spans="1:51" s="19" customFormat="1" ht="22.15" customHeight="1">
      <c r="C20" s="20"/>
      <c r="U20" s="73"/>
      <c r="V20" s="73"/>
      <c r="W20" s="73"/>
      <c r="X20" s="73"/>
      <c r="Y20" s="73"/>
      <c r="Z20" s="73"/>
      <c r="AE20" s="87"/>
    </row>
    <row r="21" spans="1:51" s="19" customFormat="1" ht="22.15" customHeight="1">
      <c r="C21" s="20"/>
      <c r="T21" s="73"/>
      <c r="U21" s="73"/>
      <c r="V21" s="73"/>
      <c r="W21" s="73"/>
      <c r="X21" s="73"/>
      <c r="Y21" s="73"/>
      <c r="Z21" s="73"/>
      <c r="AE21" s="87"/>
    </row>
    <row r="22" spans="1:51" ht="22.15" customHeight="1">
      <c r="A22" s="68"/>
      <c r="B22" s="68"/>
      <c r="C22" s="69"/>
      <c r="AE22" s="63"/>
      <c r="AH22" s="68"/>
      <c r="AI22" s="68"/>
      <c r="AJ22" s="68"/>
      <c r="AK22" s="68"/>
      <c r="AL22" s="68"/>
      <c r="AM22" s="68"/>
      <c r="AN22" s="68"/>
      <c r="AO22" s="68"/>
      <c r="AP22" s="68"/>
      <c r="AQ22" s="68"/>
      <c r="AR22" s="68"/>
      <c r="AS22" s="68"/>
      <c r="AT22" s="68"/>
      <c r="AU22" s="68"/>
      <c r="AV22" s="68"/>
      <c r="AW22" s="68"/>
      <c r="AX22" s="68"/>
      <c r="AY22" s="68"/>
    </row>
    <row r="23" spans="1:51" ht="22.15" customHeight="1">
      <c r="A23" s="68"/>
      <c r="B23" s="68"/>
      <c r="C23" s="69"/>
      <c r="AE23" s="63"/>
      <c r="AG23" s="68"/>
      <c r="AH23" s="68"/>
      <c r="AI23" s="68"/>
      <c r="AJ23" s="68"/>
      <c r="AK23" s="68"/>
      <c r="AL23" s="68"/>
      <c r="AM23" s="68"/>
      <c r="AN23" s="68"/>
      <c r="AO23" s="68"/>
      <c r="AP23" s="68"/>
      <c r="AQ23" s="68"/>
      <c r="AR23" s="68"/>
      <c r="AS23" s="68"/>
      <c r="AT23" s="68"/>
      <c r="AU23" s="68"/>
      <c r="AV23" s="68"/>
      <c r="AW23" s="68"/>
      <c r="AX23" s="68"/>
      <c r="AY23" s="68"/>
    </row>
    <row r="24" spans="1:51" ht="22.15" customHeight="1">
      <c r="A24" s="68"/>
      <c r="B24" s="68"/>
      <c r="C24" s="69"/>
      <c r="AE24" s="63"/>
      <c r="AG24" s="68"/>
      <c r="AH24" s="68"/>
      <c r="AI24" s="68"/>
      <c r="AJ24" s="68"/>
      <c r="AK24" s="68"/>
      <c r="AL24" s="68"/>
      <c r="AM24" s="68"/>
      <c r="AN24" s="68"/>
      <c r="AO24" s="68"/>
      <c r="AP24" s="68"/>
      <c r="AQ24" s="68"/>
      <c r="AR24" s="68"/>
      <c r="AS24" s="68"/>
      <c r="AT24" s="68"/>
      <c r="AU24" s="68"/>
      <c r="AV24" s="68"/>
      <c r="AW24" s="68"/>
      <c r="AX24" s="68"/>
      <c r="AY24" s="68"/>
    </row>
    <row r="25" spans="1:51" ht="22.15" customHeight="1">
      <c r="A25" s="8"/>
      <c r="B25" s="8"/>
      <c r="C25" s="8"/>
      <c r="AE25" s="63"/>
      <c r="AI25" s="7"/>
      <c r="AJ25" s="7"/>
      <c r="AK25" s="7"/>
      <c r="AL25" s="7"/>
      <c r="AM25" s="7"/>
      <c r="AN25" s="7"/>
      <c r="AO25" s="7"/>
      <c r="AP25" s="7"/>
      <c r="AQ25" s="7"/>
      <c r="AR25" s="7"/>
      <c r="AS25" s="7"/>
      <c r="AT25" s="7"/>
      <c r="AU25" s="8"/>
      <c r="AV25" s="8"/>
      <c r="AW25" s="8"/>
      <c r="AX25" s="8"/>
      <c r="AY25" s="8"/>
    </row>
    <row r="26" spans="1:51" ht="22.15" customHeight="1" thickBot="1">
      <c r="A26" s="1297" t="s">
        <v>431</v>
      </c>
      <c r="B26" s="1297"/>
      <c r="C26" s="1297"/>
      <c r="D26" s="1297"/>
      <c r="E26" s="1297"/>
      <c r="F26" s="1297"/>
      <c r="G26" s="1297"/>
      <c r="H26" s="1297"/>
      <c r="I26" s="1297"/>
      <c r="J26" s="1297"/>
      <c r="K26" s="1297"/>
      <c r="L26" s="1297"/>
      <c r="M26" s="1297"/>
      <c r="N26" s="1297"/>
      <c r="O26" s="1297"/>
      <c r="P26" s="1297"/>
      <c r="Q26" s="1297"/>
      <c r="R26" s="1297"/>
      <c r="S26" s="1297"/>
      <c r="T26" s="1297"/>
      <c r="U26" s="1297"/>
      <c r="V26" s="1297"/>
      <c r="W26" s="1297"/>
      <c r="X26" s="1297"/>
      <c r="Y26" s="1297"/>
      <c r="Z26" s="1297"/>
      <c r="AA26" s="1297"/>
      <c r="AB26" s="1297"/>
      <c r="AC26" s="1297"/>
      <c r="AD26" s="1298"/>
      <c r="AE26" s="63"/>
      <c r="AN26" s="14"/>
      <c r="AO26" s="14"/>
      <c r="AP26" s="14"/>
      <c r="AQ26" s="14"/>
      <c r="AR26" s="14"/>
      <c r="AS26" s="14"/>
      <c r="AT26" s="14"/>
      <c r="AU26" s="14"/>
      <c r="AV26" s="14"/>
      <c r="AW26" s="14"/>
      <c r="AX26" s="14"/>
      <c r="AY26" s="14"/>
    </row>
    <row r="27" spans="1:51" ht="22.15" customHeight="1" thickTop="1" thickBot="1">
      <c r="A27" s="14"/>
      <c r="B27" s="14"/>
      <c r="C27" s="14"/>
      <c r="D27" s="14"/>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63"/>
      <c r="AG27" s="1318" t="s">
        <v>407</v>
      </c>
      <c r="AH27" s="1319"/>
      <c r="AI27" s="1319"/>
      <c r="AJ27" s="1319"/>
      <c r="AK27" s="1319"/>
      <c r="AL27" s="1319"/>
      <c r="AM27" s="1319"/>
      <c r="AN27" s="1320"/>
      <c r="AO27" s="7"/>
      <c r="AP27" s="7"/>
      <c r="AQ27" s="1321" t="s">
        <v>432</v>
      </c>
      <c r="AR27" s="1322"/>
      <c r="AS27" s="1322"/>
      <c r="AT27" s="1322"/>
      <c r="AU27" s="1322"/>
      <c r="AV27" s="1322"/>
      <c r="AW27" s="1323"/>
      <c r="AX27" s="14"/>
      <c r="AY27" s="14"/>
    </row>
    <row r="28" spans="1:51" ht="22.15" customHeight="1" thickTop="1" thickBot="1">
      <c r="A28" s="14" t="s">
        <v>446</v>
      </c>
      <c r="V28" s="1310">
        <f ca="1">LED計算式!J23*60</f>
        <v>0</v>
      </c>
      <c r="W28" s="1311"/>
      <c r="X28" s="1311"/>
      <c r="Y28" s="1311"/>
      <c r="Z28" s="1311"/>
      <c r="AA28" s="1311"/>
      <c r="AB28" s="1311"/>
      <c r="AC28" s="1312"/>
      <c r="AD28" s="100"/>
      <c r="AE28" s="63"/>
      <c r="AG28" s="1290">
        <f ca="1">AR5</f>
        <v>0</v>
      </c>
      <c r="AH28" s="1291"/>
      <c r="AI28" s="1291"/>
      <c r="AJ28" s="1291"/>
      <c r="AK28" s="1291"/>
      <c r="AL28" s="1291"/>
      <c r="AM28" s="1291"/>
      <c r="AN28" s="1292"/>
      <c r="AO28" s="1313" t="s">
        <v>409</v>
      </c>
      <c r="AP28" s="1314"/>
      <c r="AQ28" s="971">
        <f>④前後a!BA29/120</f>
        <v>0</v>
      </c>
      <c r="AR28" s="972"/>
      <c r="AS28" s="972"/>
      <c r="AT28" s="972"/>
      <c r="AU28" s="972"/>
      <c r="AV28" s="972"/>
      <c r="AW28" s="973"/>
      <c r="AX28" s="14"/>
      <c r="AY28" s="14"/>
    </row>
    <row r="29" spans="1:51" ht="22.15" customHeight="1" thickTop="1" thickBot="1">
      <c r="AE29" s="63"/>
      <c r="AG29" s="1293"/>
      <c r="AH29" s="1294"/>
      <c r="AI29" s="1294"/>
      <c r="AJ29" s="1294"/>
      <c r="AK29" s="1294"/>
      <c r="AL29" s="1294"/>
      <c r="AM29" s="1294"/>
      <c r="AN29" s="1295"/>
      <c r="AO29" s="1313"/>
      <c r="AP29" s="1314"/>
      <c r="AQ29" s="974"/>
      <c r="AR29" s="975"/>
      <c r="AS29" s="975"/>
      <c r="AT29" s="975"/>
      <c r="AU29" s="975"/>
      <c r="AV29" s="975"/>
      <c r="AW29" s="976"/>
      <c r="AX29" s="10"/>
      <c r="AY29" s="10"/>
    </row>
    <row r="30" spans="1:51" ht="22.15" customHeight="1" thickTop="1" thickBot="1">
      <c r="A30" s="14" t="s">
        <v>447</v>
      </c>
      <c r="V30" s="1310">
        <f>LED計算式!K23*60</f>
        <v>0</v>
      </c>
      <c r="W30" s="1311"/>
      <c r="X30" s="1311"/>
      <c r="Y30" s="1311"/>
      <c r="Z30" s="1311"/>
      <c r="AA30" s="1311"/>
      <c r="AB30" s="1311"/>
      <c r="AC30" s="1312"/>
      <c r="AD30" s="100"/>
      <c r="AE30" s="63"/>
    </row>
    <row r="31" spans="1:51" ht="22.15" customHeight="1" thickTop="1" thickBot="1">
      <c r="B31" s="14"/>
      <c r="C31" s="14"/>
      <c r="D31" s="14"/>
      <c r="E31" s="90"/>
      <c r="F31" s="90"/>
      <c r="G31" s="90"/>
      <c r="H31" s="90"/>
      <c r="I31" s="90"/>
      <c r="J31" s="90"/>
      <c r="K31" s="90"/>
      <c r="L31" s="90"/>
      <c r="M31" s="90"/>
      <c r="N31" s="90"/>
      <c r="O31" s="90"/>
      <c r="P31" s="90"/>
      <c r="Q31" s="90"/>
      <c r="R31" s="90"/>
      <c r="S31" s="90"/>
      <c r="T31" s="90"/>
      <c r="U31" s="90"/>
      <c r="V31" s="90"/>
      <c r="W31" s="90"/>
      <c r="X31" s="90"/>
      <c r="Y31" s="90"/>
      <c r="Z31" s="90"/>
      <c r="AA31" s="90"/>
      <c r="AB31" s="90"/>
      <c r="AC31" s="90"/>
      <c r="AD31" s="90"/>
      <c r="AE31" s="63"/>
      <c r="AQ31" s="1315" t="s">
        <v>410</v>
      </c>
      <c r="AR31" s="1316"/>
      <c r="AS31" s="1316"/>
      <c r="AT31" s="1316"/>
      <c r="AU31" s="1316"/>
      <c r="AV31" s="1316"/>
      <c r="AW31" s="1317"/>
    </row>
    <row r="32" spans="1:51" ht="22.15" customHeight="1" thickTop="1" thickBot="1">
      <c r="A32" s="14" t="s">
        <v>443</v>
      </c>
      <c r="B32" s="17"/>
      <c r="C32" s="17"/>
      <c r="D32" s="14"/>
      <c r="E32" s="90"/>
      <c r="F32" s="90"/>
      <c r="G32" s="90"/>
      <c r="H32" s="90"/>
      <c r="I32" s="90"/>
      <c r="J32" s="90"/>
      <c r="K32" s="90"/>
      <c r="L32" s="90"/>
      <c r="M32" s="90"/>
      <c r="N32" s="90"/>
      <c r="O32" s="90"/>
      <c r="P32" s="90"/>
      <c r="Q32" s="90"/>
      <c r="R32" s="90"/>
      <c r="S32" s="90"/>
      <c r="T32" s="90"/>
      <c r="U32" s="90"/>
      <c r="V32" s="1299">
        <f ca="1">V28+V30</f>
        <v>0</v>
      </c>
      <c r="W32" s="1300"/>
      <c r="X32" s="1300"/>
      <c r="Y32" s="1300"/>
      <c r="Z32" s="1300"/>
      <c r="AA32" s="1300"/>
      <c r="AB32" s="1300"/>
      <c r="AC32" s="1301"/>
      <c r="AD32" s="101"/>
      <c r="AE32" s="63"/>
      <c r="AO32" s="1302" t="s">
        <v>344</v>
      </c>
      <c r="AP32" s="1302"/>
      <c r="AQ32" s="1303" t="str">
        <f ca="1">IFERROR((AG28/AQ28)/12,"0")</f>
        <v>0</v>
      </c>
      <c r="AR32" s="1304"/>
      <c r="AS32" s="1304"/>
      <c r="AT32" s="1304"/>
      <c r="AU32" s="1304"/>
      <c r="AV32" s="1304"/>
      <c r="AW32" s="1305"/>
    </row>
    <row r="33" spans="2:51" ht="22.15" customHeight="1" thickTop="1" thickBot="1">
      <c r="B33" s="14"/>
      <c r="C33" s="14"/>
      <c r="D33" s="14"/>
      <c r="E33" s="90"/>
      <c r="F33" s="90"/>
      <c r="G33" s="90"/>
      <c r="H33" s="90"/>
      <c r="I33" s="90"/>
      <c r="J33" s="90"/>
      <c r="K33" s="90"/>
      <c r="L33" s="90"/>
      <c r="M33" s="90"/>
      <c r="N33" s="90"/>
      <c r="O33" s="90"/>
      <c r="P33" s="90"/>
      <c r="Q33" s="90"/>
      <c r="R33" s="90"/>
      <c r="S33" s="90"/>
      <c r="T33" s="90"/>
      <c r="U33" s="90"/>
      <c r="V33" s="90"/>
      <c r="W33" s="90"/>
      <c r="X33" s="90"/>
      <c r="Y33" s="90"/>
      <c r="Z33" s="90"/>
      <c r="AA33" s="90"/>
      <c r="AB33" s="90"/>
      <c r="AC33" s="90"/>
      <c r="AD33" s="90"/>
      <c r="AE33" s="63"/>
      <c r="AO33" s="1302"/>
      <c r="AP33" s="1302"/>
      <c r="AQ33" s="1306"/>
      <c r="AR33" s="1307"/>
      <c r="AS33" s="1307"/>
      <c r="AT33" s="1307"/>
      <c r="AU33" s="1307"/>
      <c r="AV33" s="1307"/>
      <c r="AW33" s="1308"/>
    </row>
    <row r="34" spans="2:51" ht="22.15" customHeight="1" thickTop="1">
      <c r="AJ34" s="60"/>
      <c r="AK34" s="60"/>
      <c r="AL34" s="60"/>
      <c r="AM34" s="60"/>
      <c r="AN34" s="60"/>
      <c r="AO34" s="60"/>
      <c r="AP34" s="60"/>
      <c r="AQ34" s="1309" t="str">
        <f ca="1">IFERROR(AG28/AQ28,"0")</f>
        <v>0</v>
      </c>
      <c r="AR34" s="1309"/>
      <c r="AS34" s="1309"/>
      <c r="AT34" s="1309"/>
      <c r="AU34" s="1309"/>
      <c r="AV34" s="1309"/>
      <c r="AW34" s="1309"/>
      <c r="AY34" s="4">
        <v>6</v>
      </c>
    </row>
    <row r="35" spans="2:51" ht="22.15" customHeight="1">
      <c r="AI35" s="60"/>
      <c r="AJ35" s="60"/>
      <c r="AK35" s="60"/>
      <c r="AL35" s="60"/>
      <c r="AM35" s="60"/>
      <c r="AN35" s="60"/>
      <c r="AO35" s="60"/>
      <c r="AP35" s="60"/>
      <c r="AQ35" s="60"/>
      <c r="AR35" s="60"/>
      <c r="AS35" s="60"/>
      <c r="AT35" s="60"/>
    </row>
  </sheetData>
  <mergeCells count="27">
    <mergeCell ref="AF2:AX3"/>
    <mergeCell ref="A2:AC3"/>
    <mergeCell ref="AG27:AN27"/>
    <mergeCell ref="AQ27:AW27"/>
    <mergeCell ref="A1:AY1"/>
    <mergeCell ref="A5:M6"/>
    <mergeCell ref="N5:R6"/>
    <mergeCell ref="N7:R7"/>
    <mergeCell ref="U5:X6"/>
    <mergeCell ref="Z5:AC6"/>
    <mergeCell ref="Y5:Y6"/>
    <mergeCell ref="Z7:AC7"/>
    <mergeCell ref="A26:AD26"/>
    <mergeCell ref="AR7:AX7"/>
    <mergeCell ref="AF5:AQ6"/>
    <mergeCell ref="AR5:AX6"/>
    <mergeCell ref="S5:T6"/>
    <mergeCell ref="AG28:AN29"/>
    <mergeCell ref="AQ28:AW29"/>
    <mergeCell ref="AO28:AP29"/>
    <mergeCell ref="AO32:AP33"/>
    <mergeCell ref="AQ32:AW33"/>
    <mergeCell ref="AQ34:AW34"/>
    <mergeCell ref="AQ31:AW31"/>
    <mergeCell ref="V28:AC28"/>
    <mergeCell ref="V30:AC30"/>
    <mergeCell ref="V32:AC32"/>
  </mergeCells>
  <phoneticPr fontId="2"/>
  <conditionalFormatting sqref="A10:A15">
    <cfRule type="cellIs" dxfId="31" priority="43" operator="equal">
      <formula>0</formula>
    </cfRule>
  </conditionalFormatting>
  <conditionalFormatting sqref="B10:C15 AJ17 AO17:AO18 AV17:AV18 B18:C18 C19">
    <cfRule type="cellIs" dxfId="30" priority="44" operator="equal">
      <formula>0</formula>
    </cfRule>
  </conditionalFormatting>
  <conditionalFormatting sqref="AI10:AY15 AI18">
    <cfRule type="cellIs" dxfId="29" priority="42" operator="equal">
      <formula>0</formula>
    </cfRule>
  </conditionalFormatting>
  <conditionalFormatting sqref="AO27:AQ27 AO28 AQ31:AQ32 AO32">
    <cfRule type="cellIs" dxfId="28" priority="35" operator="equal">
      <formula>0</formula>
    </cfRule>
  </conditionalFormatting>
  <conditionalFormatting sqref="AP14">
    <cfRule type="cellIs" dxfId="27" priority="39" operator="equal">
      <formula>0</formula>
    </cfRule>
  </conditionalFormatting>
  <conditionalFormatting sqref="AP17">
    <cfRule type="cellIs" dxfId="26" priority="37" operator="equal">
      <formula>0</formula>
    </cfRule>
  </conditionalFormatting>
  <conditionalFormatting sqref="AQ8 AW8:AY8">
    <cfRule type="cellIs" dxfId="25" priority="41" operator="equal">
      <formula>0</formula>
    </cfRule>
  </conditionalFormatting>
  <conditionalFormatting sqref="AR7">
    <cfRule type="cellIs" dxfId="24" priority="1" operator="equal">
      <formula>0</formula>
    </cfRule>
  </conditionalFormatting>
  <conditionalFormatting sqref="AW14">
    <cfRule type="cellIs" dxfId="23" priority="38" operator="equal">
      <formula>0</formula>
    </cfRule>
  </conditionalFormatting>
  <conditionalFormatting sqref="AW17">
    <cfRule type="cellIs" dxfId="22" priority="36" operator="equal">
      <formula>0</formula>
    </cfRule>
  </conditionalFormatting>
  <printOptions horizontalCentered="1" verticalCentered="1"/>
  <pageMargins left="0" right="0" top="0" bottom="0" header="0" footer="0"/>
  <pageSetup paperSize="9" scale="72"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AED70-2180-47C1-9D5F-156F8B48BF9D}">
  <sheetPr>
    <tabColor rgb="FFFF99CC"/>
  </sheetPr>
  <dimension ref="A1:AY39"/>
  <sheetViews>
    <sheetView view="pageBreakPreview" zoomScale="50" zoomScaleNormal="85" zoomScaleSheetLayoutView="50" workbookViewId="0">
      <selection activeCell="CO34" sqref="CO34"/>
    </sheetView>
  </sheetViews>
  <sheetFormatPr defaultColWidth="3.625" defaultRowHeight="18.75" customHeight="1"/>
  <cols>
    <col min="1" max="1" width="3.625" style="4"/>
    <col min="2" max="2" width="3.625" style="4" customWidth="1"/>
    <col min="3" max="4" width="3.625" style="4"/>
    <col min="5" max="6" width="3.625" style="4" customWidth="1"/>
    <col min="7" max="16384" width="3.625" style="4"/>
  </cols>
  <sheetData>
    <row r="1" spans="1:51" ht="38.25">
      <c r="A1" s="1340" t="s">
        <v>434</v>
      </c>
      <c r="B1" s="1340"/>
      <c r="C1" s="1340"/>
      <c r="D1" s="1340"/>
      <c r="E1" s="1340"/>
      <c r="F1" s="1340"/>
      <c r="G1" s="1340"/>
      <c r="H1" s="1340"/>
      <c r="I1" s="1340"/>
      <c r="J1" s="1340"/>
      <c r="K1" s="1340"/>
      <c r="L1" s="1340"/>
      <c r="M1" s="1340"/>
      <c r="N1" s="1340"/>
      <c r="O1" s="1340"/>
      <c r="P1" s="1340"/>
      <c r="Q1" s="1340"/>
      <c r="R1" s="1340"/>
      <c r="S1" s="1340"/>
      <c r="T1" s="1340"/>
      <c r="U1" s="1340"/>
      <c r="V1" s="1340"/>
      <c r="W1" s="1340"/>
      <c r="X1" s="1340"/>
      <c r="Y1" s="1340"/>
      <c r="Z1" s="1340"/>
      <c r="AA1" s="1340"/>
      <c r="AB1" s="1340"/>
      <c r="AC1" s="1340"/>
      <c r="AD1" s="1340"/>
      <c r="AE1" s="1340"/>
      <c r="AF1" s="1340"/>
      <c r="AG1" s="1340"/>
      <c r="AH1" s="1340"/>
      <c r="AI1" s="1340"/>
      <c r="AJ1" s="1340"/>
      <c r="AK1" s="1340"/>
      <c r="AL1" s="1340"/>
      <c r="AM1" s="1340"/>
      <c r="AN1" s="1340"/>
      <c r="AO1" s="1340"/>
      <c r="AP1" s="1340"/>
      <c r="AQ1" s="1340"/>
      <c r="AR1" s="1340"/>
      <c r="AS1" s="1340"/>
      <c r="AT1" s="1340"/>
      <c r="AU1" s="1340"/>
      <c r="AV1" s="1340"/>
      <c r="AW1" s="1340"/>
      <c r="AX1" s="1340"/>
      <c r="AY1" s="1340"/>
    </row>
    <row r="2" spans="1:51" ht="22.5">
      <c r="A2" s="1349" t="s">
        <v>435</v>
      </c>
      <c r="B2" s="1349"/>
      <c r="C2" s="1349"/>
      <c r="D2" s="1349"/>
      <c r="E2" s="1349"/>
      <c r="F2" s="1349"/>
      <c r="G2" s="1349"/>
      <c r="H2" s="1349"/>
      <c r="I2" s="1349"/>
      <c r="J2" s="1349"/>
      <c r="K2" s="1349"/>
      <c r="L2" s="1349"/>
      <c r="M2" s="1349"/>
      <c r="N2" s="1349"/>
      <c r="O2" s="1349"/>
      <c r="P2" s="1349"/>
      <c r="Q2" s="1349"/>
      <c r="R2" s="1349"/>
      <c r="S2" s="1349"/>
      <c r="T2" s="1349"/>
      <c r="U2" s="1349"/>
      <c r="V2" s="1349"/>
      <c r="W2" s="1349"/>
      <c r="X2" s="1349"/>
      <c r="Y2" s="1349"/>
      <c r="Z2" s="1349"/>
      <c r="AA2" s="1349"/>
      <c r="AB2" s="1349"/>
      <c r="AC2" s="1349"/>
      <c r="AD2" s="1349"/>
      <c r="AE2" s="1349"/>
      <c r="AF2" s="1349"/>
      <c r="AG2" s="1349"/>
      <c r="AH2" s="1349"/>
      <c r="AI2" s="1349"/>
      <c r="AJ2" s="1349"/>
      <c r="AK2" s="1349"/>
      <c r="AL2" s="1349"/>
      <c r="AM2" s="1349"/>
      <c r="AN2" s="1349"/>
      <c r="AO2" s="1349"/>
      <c r="AP2" s="1349"/>
      <c r="AQ2" s="1349"/>
      <c r="AR2" s="1349"/>
      <c r="AS2" s="1349"/>
      <c r="AT2" s="1349"/>
      <c r="AU2" s="1349"/>
      <c r="AV2" s="1349"/>
      <c r="AW2" s="1349"/>
      <c r="AX2" s="1349"/>
      <c r="AY2" s="1349"/>
    </row>
    <row r="3" spans="1:51" ht="22.15" customHeight="1">
      <c r="A3" s="1276" t="s">
        <v>421</v>
      </c>
      <c r="B3" s="1276"/>
      <c r="C3" s="1276"/>
      <c r="D3" s="1276"/>
      <c r="E3" s="1276"/>
      <c r="F3" s="1276"/>
      <c r="G3" s="1276"/>
      <c r="H3" s="1276"/>
      <c r="I3" s="1276"/>
      <c r="J3" s="1276"/>
      <c r="K3" s="1276"/>
      <c r="L3" s="1276"/>
      <c r="M3" s="1276"/>
      <c r="N3" s="1276"/>
      <c r="O3" s="1276"/>
      <c r="P3" s="1276"/>
      <c r="Q3" s="1276"/>
      <c r="R3" s="1276"/>
      <c r="S3" s="1276"/>
      <c r="T3" s="1276"/>
      <c r="U3" s="1276"/>
      <c r="V3" s="1276"/>
      <c r="W3" s="1276"/>
      <c r="X3" s="1276"/>
      <c r="Y3" s="1276"/>
      <c r="Z3" s="1276"/>
      <c r="AA3" s="1276"/>
      <c r="AB3" s="1276"/>
      <c r="AC3" s="1276"/>
      <c r="AD3" s="477"/>
      <c r="AF3" s="1276" t="s">
        <v>422</v>
      </c>
      <c r="AG3" s="1276"/>
      <c r="AH3" s="1276"/>
      <c r="AI3" s="1276"/>
      <c r="AJ3" s="1276"/>
      <c r="AK3" s="1276"/>
      <c r="AL3" s="1276"/>
      <c r="AM3" s="1276"/>
      <c r="AN3" s="1276"/>
      <c r="AO3" s="1276"/>
      <c r="AP3" s="1276"/>
      <c r="AQ3" s="1276"/>
      <c r="AR3" s="1276"/>
      <c r="AS3" s="1276"/>
      <c r="AT3" s="1276"/>
      <c r="AU3" s="1276"/>
      <c r="AV3" s="1276"/>
      <c r="AW3" s="1276"/>
      <c r="AX3" s="1276"/>
      <c r="AY3" s="86"/>
    </row>
    <row r="4" spans="1:51" ht="22.15" customHeight="1" thickBot="1">
      <c r="A4" s="1350"/>
      <c r="B4" s="1350"/>
      <c r="C4" s="1350"/>
      <c r="D4" s="1350"/>
      <c r="E4" s="1350"/>
      <c r="F4" s="1350"/>
      <c r="G4" s="1350"/>
      <c r="H4" s="1350"/>
      <c r="I4" s="1350"/>
      <c r="J4" s="1350"/>
      <c r="K4" s="1350"/>
      <c r="L4" s="1350"/>
      <c r="M4" s="1350"/>
      <c r="N4" s="1350"/>
      <c r="O4" s="1350"/>
      <c r="P4" s="1350"/>
      <c r="Q4" s="1350"/>
      <c r="R4" s="1350"/>
      <c r="S4" s="1350"/>
      <c r="T4" s="1350"/>
      <c r="U4" s="1350"/>
      <c r="V4" s="1350"/>
      <c r="W4" s="1350"/>
      <c r="X4" s="1350"/>
      <c r="Y4" s="1350"/>
      <c r="Z4" s="1350"/>
      <c r="AA4" s="1350"/>
      <c r="AB4" s="1350"/>
      <c r="AC4" s="1350"/>
      <c r="AD4" s="477"/>
      <c r="AF4" s="1350"/>
      <c r="AG4" s="1350"/>
      <c r="AH4" s="1350"/>
      <c r="AI4" s="1350"/>
      <c r="AJ4" s="1350"/>
      <c r="AK4" s="1350"/>
      <c r="AL4" s="1350"/>
      <c r="AM4" s="1350"/>
      <c r="AN4" s="1350"/>
      <c r="AO4" s="1350"/>
      <c r="AP4" s="1350"/>
      <c r="AQ4" s="1350"/>
      <c r="AR4" s="1350"/>
      <c r="AS4" s="1350"/>
      <c r="AT4" s="1350"/>
      <c r="AU4" s="1350"/>
      <c r="AV4" s="1350"/>
      <c r="AW4" s="1350"/>
      <c r="AX4" s="1350"/>
      <c r="AY4" s="86"/>
    </row>
    <row r="5" spans="1:51" ht="22.15" customHeight="1" thickTop="1">
      <c r="A5" s="188"/>
      <c r="B5" s="147"/>
      <c r="C5" s="148"/>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89"/>
      <c r="AE5" s="63"/>
      <c r="AF5" s="194"/>
      <c r="AG5" s="147"/>
      <c r="AH5" s="147"/>
      <c r="AI5" s="147"/>
      <c r="AJ5" s="147"/>
      <c r="AK5" s="147"/>
      <c r="AL5" s="147"/>
      <c r="AM5" s="147"/>
      <c r="AN5" s="147"/>
      <c r="AO5" s="147"/>
      <c r="AP5" s="147"/>
      <c r="AQ5" s="147"/>
      <c r="AR5" s="147"/>
      <c r="AS5" s="147"/>
      <c r="AT5" s="147"/>
      <c r="AU5" s="147"/>
      <c r="AV5" s="147"/>
      <c r="AW5" s="147"/>
      <c r="AX5" s="147"/>
      <c r="AY5" s="195"/>
    </row>
    <row r="6" spans="1:51" ht="22.15" customHeight="1" thickBot="1">
      <c r="A6" s="190"/>
      <c r="B6" s="68"/>
      <c r="C6" s="69"/>
      <c r="I6" s="1296" t="s">
        <v>436</v>
      </c>
      <c r="J6" s="1296"/>
      <c r="K6" s="1296"/>
      <c r="L6" s="1296"/>
      <c r="M6" s="1296"/>
      <c r="Q6" s="1296" t="s">
        <v>437</v>
      </c>
      <c r="R6" s="1296"/>
      <c r="S6" s="1296"/>
      <c r="T6" s="1296"/>
      <c r="U6" s="1296"/>
      <c r="V6" s="1296"/>
      <c r="W6" s="1296"/>
      <c r="AC6" s="191"/>
      <c r="AE6" s="63"/>
      <c r="AF6" s="192"/>
      <c r="AG6" s="68"/>
      <c r="AH6" s="1296" t="s">
        <v>436</v>
      </c>
      <c r="AI6" s="1296"/>
      <c r="AJ6" s="1296"/>
      <c r="AK6" s="1296"/>
      <c r="AL6" s="1296"/>
      <c r="AM6" s="68"/>
      <c r="AN6" s="68"/>
      <c r="AO6" s="68"/>
      <c r="AP6" s="68"/>
      <c r="AQ6" s="68"/>
      <c r="AR6" s="1296" t="s">
        <v>437</v>
      </c>
      <c r="AS6" s="1296"/>
      <c r="AT6" s="1296"/>
      <c r="AU6" s="1296"/>
      <c r="AV6" s="1296"/>
      <c r="AW6" s="1296"/>
      <c r="AX6" s="1296"/>
      <c r="AY6" s="196"/>
    </row>
    <row r="7" spans="1:51" ht="22.15" customHeight="1" thickTop="1">
      <c r="A7" s="190"/>
      <c r="B7" s="68"/>
      <c r="C7" s="69"/>
      <c r="I7" s="1347">
        <f ca="1">⑥非あり!N5</f>
        <v>0</v>
      </c>
      <c r="J7" s="1347"/>
      <c r="K7" s="1347"/>
      <c r="L7" s="1347"/>
      <c r="M7" s="1347"/>
      <c r="R7" s="1341">
        <f ca="1">AR7/54</f>
        <v>0</v>
      </c>
      <c r="S7" s="1342"/>
      <c r="T7" s="1342"/>
      <c r="U7" s="1342"/>
      <c r="V7" s="1343"/>
      <c r="AC7" s="191"/>
      <c r="AE7" s="63"/>
      <c r="AF7" s="192"/>
      <c r="AG7" s="1348">
        <f ca="1">ROUNDDOWN((☆入力!AL14)*(100%-☆入力!AR11)+代理店入力用!D5,0)</f>
        <v>0</v>
      </c>
      <c r="AH7" s="1348"/>
      <c r="AI7" s="1348"/>
      <c r="AJ7" s="1348"/>
      <c r="AK7" s="1348"/>
      <c r="AL7" s="1348"/>
      <c r="AM7" s="1348"/>
      <c r="AN7" s="68"/>
      <c r="AO7" s="68"/>
      <c r="AP7" s="68"/>
      <c r="AQ7" s="68"/>
      <c r="AR7" s="1328">
        <f ca="1">(AG7/(100%-☆入力!AR11))*(100%-☆入力!AR11-☆入力!AR12)</f>
        <v>0</v>
      </c>
      <c r="AS7" s="1329"/>
      <c r="AT7" s="1329"/>
      <c r="AU7" s="1329"/>
      <c r="AV7" s="1329"/>
      <c r="AW7" s="1329"/>
      <c r="AX7" s="1330"/>
      <c r="AY7" s="196"/>
    </row>
    <row r="8" spans="1:51" ht="22.15" customHeight="1" thickBot="1">
      <c r="A8" s="190"/>
      <c r="B8" s="68"/>
      <c r="C8" s="69"/>
      <c r="I8" s="1347"/>
      <c r="J8" s="1347"/>
      <c r="K8" s="1347"/>
      <c r="L8" s="1347"/>
      <c r="M8" s="1347"/>
      <c r="R8" s="1344"/>
      <c r="S8" s="1345"/>
      <c r="T8" s="1345"/>
      <c r="U8" s="1345"/>
      <c r="V8" s="1346"/>
      <c r="W8" s="4" t="s">
        <v>438</v>
      </c>
      <c r="AC8" s="191"/>
      <c r="AE8" s="63"/>
      <c r="AF8" s="192"/>
      <c r="AG8" s="1348"/>
      <c r="AH8" s="1348"/>
      <c r="AI8" s="1348"/>
      <c r="AJ8" s="1348"/>
      <c r="AK8" s="1348"/>
      <c r="AL8" s="1348"/>
      <c r="AM8" s="1348"/>
      <c r="AN8" s="68"/>
      <c r="AO8" s="68"/>
      <c r="AP8" s="68"/>
      <c r="AQ8" s="68"/>
      <c r="AR8" s="1331"/>
      <c r="AS8" s="1332"/>
      <c r="AT8" s="1332"/>
      <c r="AU8" s="1332"/>
      <c r="AV8" s="1332"/>
      <c r="AW8" s="1332"/>
      <c r="AX8" s="1333"/>
      <c r="AY8" s="196"/>
    </row>
    <row r="9" spans="1:51" ht="22.15" customHeight="1" thickTop="1">
      <c r="A9" s="1326" t="s">
        <v>439</v>
      </c>
      <c r="B9" s="1327"/>
      <c r="C9" s="1327"/>
      <c r="D9" s="1327"/>
      <c r="E9" s="1327"/>
      <c r="F9" s="1327"/>
      <c r="G9" s="1327"/>
      <c r="H9" s="1327"/>
      <c r="I9" s="1327"/>
      <c r="J9" s="1327"/>
      <c r="K9" s="1327"/>
      <c r="L9" s="1327"/>
      <c r="M9" s="1334">
        <f ca="1">I7-R7</f>
        <v>0</v>
      </c>
      <c r="N9" s="1335"/>
      <c r="O9" s="1335"/>
      <c r="P9" s="1335"/>
      <c r="Q9" s="1335"/>
      <c r="R9" s="1335"/>
      <c r="S9" s="878" t="s">
        <v>440</v>
      </c>
      <c r="T9" s="878"/>
      <c r="U9" s="878"/>
      <c r="V9" s="878"/>
      <c r="W9" s="878"/>
      <c r="X9" s="878"/>
      <c r="Y9" s="878"/>
      <c r="Z9" s="878"/>
      <c r="AA9" s="878"/>
      <c r="AB9" s="878"/>
      <c r="AC9" s="1338"/>
      <c r="AD9" s="98"/>
      <c r="AE9" s="63"/>
      <c r="AF9" s="1326" t="s">
        <v>441</v>
      </c>
      <c r="AG9" s="1327"/>
      <c r="AH9" s="1327"/>
      <c r="AI9" s="1327"/>
      <c r="AJ9" s="1327"/>
      <c r="AK9" s="1327"/>
      <c r="AL9" s="1327"/>
      <c r="AM9" s="1324">
        <f ca="1">AG7-AR7</f>
        <v>0</v>
      </c>
      <c r="AN9" s="1325"/>
      <c r="AO9" s="1325"/>
      <c r="AP9" s="1325"/>
      <c r="AQ9" s="1325"/>
      <c r="AR9" s="1325"/>
      <c r="AS9" s="878" t="s">
        <v>440</v>
      </c>
      <c r="AT9" s="878"/>
      <c r="AU9" s="878"/>
      <c r="AV9" s="878"/>
      <c r="AW9" s="878"/>
      <c r="AX9" s="878"/>
      <c r="AY9" s="1338"/>
    </row>
    <row r="10" spans="1:51" ht="22.15" customHeight="1">
      <c r="A10" s="1326"/>
      <c r="B10" s="1327"/>
      <c r="C10" s="1327"/>
      <c r="D10" s="1327"/>
      <c r="E10" s="1327"/>
      <c r="F10" s="1327"/>
      <c r="G10" s="1327"/>
      <c r="H10" s="1327"/>
      <c r="I10" s="1327"/>
      <c r="J10" s="1327"/>
      <c r="K10" s="1327"/>
      <c r="L10" s="1327"/>
      <c r="M10" s="1335"/>
      <c r="N10" s="1335"/>
      <c r="O10" s="1335"/>
      <c r="P10" s="1335"/>
      <c r="Q10" s="1335"/>
      <c r="R10" s="1335"/>
      <c r="S10" s="878"/>
      <c r="T10" s="878"/>
      <c r="U10" s="878"/>
      <c r="V10" s="878"/>
      <c r="W10" s="878"/>
      <c r="X10" s="878"/>
      <c r="Y10" s="878"/>
      <c r="Z10" s="878"/>
      <c r="AA10" s="878"/>
      <c r="AB10" s="878"/>
      <c r="AC10" s="1338"/>
      <c r="AD10" s="98"/>
      <c r="AE10" s="63"/>
      <c r="AF10" s="1326"/>
      <c r="AG10" s="1327"/>
      <c r="AH10" s="1327"/>
      <c r="AI10" s="1327"/>
      <c r="AJ10" s="1327"/>
      <c r="AK10" s="1327"/>
      <c r="AL10" s="1327"/>
      <c r="AM10" s="1325"/>
      <c r="AN10" s="1325"/>
      <c r="AO10" s="1325"/>
      <c r="AP10" s="1325"/>
      <c r="AQ10" s="1325"/>
      <c r="AR10" s="1325"/>
      <c r="AS10" s="878"/>
      <c r="AT10" s="878"/>
      <c r="AU10" s="878"/>
      <c r="AV10" s="878"/>
      <c r="AW10" s="878"/>
      <c r="AX10" s="878"/>
      <c r="AY10" s="1338"/>
    </row>
    <row r="11" spans="1:51" ht="22.15" customHeight="1" thickBot="1">
      <c r="A11" s="202"/>
      <c r="B11" s="203"/>
      <c r="C11" s="204"/>
      <c r="D11" s="1339">
        <f ca="1">M9</f>
        <v>0</v>
      </c>
      <c r="E11" s="1339"/>
      <c r="F11" s="1339"/>
      <c r="G11" s="1339"/>
      <c r="H11" s="1339"/>
      <c r="I11" s="1337" t="s">
        <v>448</v>
      </c>
      <c r="J11" s="1337"/>
      <c r="K11" s="1337"/>
      <c r="L11" s="1337"/>
      <c r="M11" s="1336">
        <f ca="1">D11*60</f>
        <v>0</v>
      </c>
      <c r="N11" s="1336"/>
      <c r="O11" s="1336"/>
      <c r="P11" s="1336"/>
      <c r="Q11" s="1336"/>
      <c r="R11" s="1336"/>
      <c r="S11" s="205" t="s">
        <v>442</v>
      </c>
      <c r="T11" s="206"/>
      <c r="U11" s="206"/>
      <c r="V11" s="206"/>
      <c r="W11" s="480"/>
      <c r="X11" s="204"/>
      <c r="Y11" s="204"/>
      <c r="Z11" s="207"/>
      <c r="AA11" s="207"/>
      <c r="AB11" s="207"/>
      <c r="AC11" s="208"/>
      <c r="AD11" s="99"/>
      <c r="AE11" s="63"/>
      <c r="AF11" s="198"/>
      <c r="AG11" s="199"/>
      <c r="AH11" s="193"/>
      <c r="AI11" s="200"/>
      <c r="AJ11" s="200"/>
      <c r="AK11" s="200"/>
      <c r="AL11" s="200"/>
      <c r="AM11" s="200"/>
      <c r="AN11" s="200"/>
      <c r="AO11" s="200"/>
      <c r="AP11" s="200"/>
      <c r="AQ11" s="200"/>
      <c r="AR11" s="201"/>
      <c r="AS11" s="201"/>
      <c r="AT11" s="201"/>
      <c r="AU11" s="201"/>
      <c r="AV11" s="201"/>
      <c r="AW11" s="201"/>
      <c r="AX11" s="201"/>
      <c r="AY11" s="197"/>
    </row>
    <row r="12" spans="1:51" ht="22.15" customHeight="1" thickTop="1">
      <c r="AE12" s="63"/>
      <c r="AG12" s="11"/>
      <c r="AH12" s="11"/>
      <c r="AI12" s="9"/>
      <c r="AJ12" s="9"/>
      <c r="AK12" s="9"/>
      <c r="AL12" s="9"/>
      <c r="AM12" s="9"/>
      <c r="AN12" s="9"/>
      <c r="AO12" s="9"/>
      <c r="AP12" s="9"/>
      <c r="AQ12" s="7"/>
      <c r="AR12" s="7"/>
      <c r="AS12" s="7"/>
      <c r="AT12" s="7"/>
      <c r="AU12" s="7"/>
      <c r="AV12" s="7"/>
      <c r="AW12" s="8"/>
      <c r="AX12" s="8"/>
      <c r="AY12" s="8"/>
    </row>
    <row r="13" spans="1:51" ht="22.15" customHeight="1">
      <c r="A13" s="53" t="s">
        <v>429</v>
      </c>
      <c r="B13" s="10"/>
      <c r="C13" s="10"/>
      <c r="AE13" s="63"/>
      <c r="AF13" s="53" t="s">
        <v>430</v>
      </c>
      <c r="AG13" s="11"/>
      <c r="AH13" s="11"/>
      <c r="AI13" s="9"/>
      <c r="AJ13" s="9"/>
      <c r="AK13" s="9"/>
      <c r="AL13" s="9"/>
      <c r="AM13" s="9"/>
      <c r="AN13" s="9"/>
      <c r="AO13" s="9"/>
      <c r="AP13" s="9"/>
      <c r="AQ13" s="9"/>
      <c r="AR13" s="9"/>
      <c r="AS13" s="9"/>
      <c r="AT13" s="9"/>
      <c r="AU13" s="10"/>
      <c r="AV13" s="10"/>
      <c r="AW13" s="10"/>
      <c r="AX13" s="10"/>
      <c r="AY13" s="10"/>
    </row>
    <row r="14" spans="1:51" ht="22.15" customHeight="1">
      <c r="A14" s="8"/>
      <c r="B14" s="8"/>
      <c r="C14" s="8"/>
      <c r="AE14" s="63"/>
      <c r="AG14" s="8"/>
      <c r="AH14" s="8"/>
      <c r="AI14" s="7"/>
      <c r="AJ14" s="7"/>
      <c r="AK14" s="7"/>
      <c r="AL14" s="7"/>
      <c r="AM14" s="7"/>
      <c r="AN14" s="7"/>
      <c r="AO14" s="7"/>
      <c r="AP14" s="7"/>
      <c r="AQ14" s="7"/>
      <c r="AR14" s="7"/>
      <c r="AS14" s="7"/>
      <c r="AT14" s="7"/>
      <c r="AU14" s="8"/>
      <c r="AV14" s="8"/>
      <c r="AW14" s="8"/>
      <c r="AX14" s="8"/>
      <c r="AY14" s="8"/>
    </row>
    <row r="15" spans="1:51" ht="22.15" customHeight="1">
      <c r="A15" s="8"/>
      <c r="B15" s="8"/>
      <c r="C15" s="8"/>
      <c r="AE15" s="63"/>
      <c r="AG15" s="8"/>
      <c r="AH15" s="8"/>
      <c r="AI15" s="7"/>
      <c r="AJ15" s="7"/>
      <c r="AK15" s="7"/>
      <c r="AL15" s="7"/>
      <c r="AM15" s="7"/>
      <c r="AN15" s="7"/>
      <c r="AO15" s="7"/>
      <c r="AP15" s="7"/>
      <c r="AQ15" s="7"/>
      <c r="AR15" s="7"/>
      <c r="AS15" s="7"/>
      <c r="AT15" s="7"/>
      <c r="AU15" s="8"/>
      <c r="AV15" s="8"/>
      <c r="AW15" s="8"/>
      <c r="AX15" s="8"/>
      <c r="AY15" s="8"/>
    </row>
    <row r="16" spans="1:51" ht="22.15" customHeight="1">
      <c r="A16" s="8"/>
      <c r="B16" s="8"/>
      <c r="C16" s="8"/>
      <c r="AE16" s="63"/>
      <c r="AG16" s="8"/>
      <c r="AH16" s="8"/>
      <c r="AI16" s="7"/>
      <c r="AJ16" s="7"/>
      <c r="AK16" s="7"/>
      <c r="AL16" s="7"/>
      <c r="AM16" s="7"/>
      <c r="AN16" s="7"/>
      <c r="AO16" s="7"/>
      <c r="AP16" s="7"/>
      <c r="AQ16" s="7"/>
      <c r="AR16" s="7"/>
      <c r="AS16" s="7"/>
      <c r="AT16" s="7"/>
      <c r="AU16" s="8"/>
      <c r="AV16" s="8"/>
      <c r="AW16" s="8"/>
      <c r="AX16" s="8"/>
      <c r="AY16" s="8"/>
    </row>
    <row r="17" spans="1:51" ht="22.15" customHeight="1">
      <c r="A17" s="8"/>
      <c r="B17" s="8"/>
      <c r="C17" s="8"/>
      <c r="AE17" s="63"/>
      <c r="AG17" s="8"/>
      <c r="AH17" s="8"/>
      <c r="AI17" s="7"/>
      <c r="AJ17" s="7"/>
      <c r="AK17" s="7"/>
      <c r="AL17" s="7"/>
      <c r="AM17" s="7"/>
      <c r="AN17" s="7"/>
      <c r="AO17" s="7"/>
      <c r="AP17" s="7"/>
      <c r="AQ17" s="7"/>
      <c r="AR17" s="7"/>
      <c r="AS17" s="7"/>
      <c r="AT17" s="7"/>
      <c r="AU17" s="8"/>
      <c r="AV17" s="8"/>
      <c r="AW17" s="8"/>
      <c r="AX17" s="8"/>
      <c r="AY17" s="8"/>
    </row>
    <row r="18" spans="1:51" ht="22.15" customHeight="1">
      <c r="A18" s="70"/>
      <c r="B18" s="8"/>
      <c r="C18" s="8"/>
      <c r="AE18" s="63"/>
      <c r="AG18" s="18"/>
      <c r="AH18" s="18"/>
      <c r="AI18" s="18"/>
      <c r="AJ18" s="70"/>
      <c r="AK18" s="70"/>
      <c r="AL18" s="70"/>
      <c r="AM18" s="70"/>
      <c r="AN18" s="7"/>
      <c r="AO18" s="7"/>
      <c r="AP18" s="7"/>
      <c r="AQ18" s="70"/>
      <c r="AR18" s="70"/>
      <c r="AS18" s="70"/>
      <c r="AT18" s="70"/>
      <c r="AU18" s="7"/>
      <c r="AV18" s="8"/>
      <c r="AW18" s="7"/>
      <c r="AX18" s="70"/>
      <c r="AY18" s="70"/>
    </row>
    <row r="19" spans="1:51" ht="22.15" customHeight="1">
      <c r="A19" s="70"/>
      <c r="B19" s="8"/>
      <c r="C19" s="8"/>
      <c r="AE19" s="63"/>
      <c r="AG19" s="18"/>
      <c r="AH19" s="18"/>
      <c r="AI19" s="18"/>
      <c r="AJ19" s="70"/>
      <c r="AK19" s="70"/>
      <c r="AL19" s="70"/>
      <c r="AM19" s="70"/>
      <c r="AN19" s="7"/>
      <c r="AO19" s="7"/>
      <c r="AP19" s="7"/>
      <c r="AQ19" s="70"/>
      <c r="AR19" s="70"/>
      <c r="AS19" s="70"/>
      <c r="AT19" s="70"/>
      <c r="AU19" s="7"/>
      <c r="AV19" s="8"/>
      <c r="AW19" s="7"/>
      <c r="AX19" s="70"/>
      <c r="AY19" s="70"/>
    </row>
    <row r="20" spans="1:51" ht="22.15" customHeight="1">
      <c r="B20" s="7"/>
      <c r="C20" s="7"/>
      <c r="AE20" s="63"/>
      <c r="AI20" s="60"/>
      <c r="AJ20" s="60"/>
      <c r="AK20" s="60"/>
      <c r="AL20" s="60"/>
      <c r="AM20" s="60"/>
      <c r="AN20" s="60"/>
      <c r="AO20" s="60"/>
      <c r="AP20" s="60"/>
      <c r="AQ20" s="60"/>
      <c r="AR20" s="60"/>
      <c r="AS20" s="60"/>
      <c r="AT20" s="60"/>
    </row>
    <row r="21" spans="1:51" ht="22.15" customHeight="1">
      <c r="A21" s="72"/>
      <c r="B21" s="7"/>
      <c r="C21" s="7"/>
      <c r="AE21" s="63"/>
      <c r="AI21" s="60"/>
      <c r="AJ21" s="71"/>
      <c r="AK21" s="71"/>
      <c r="AL21" s="71"/>
      <c r="AM21" s="71"/>
      <c r="AN21" s="71"/>
      <c r="AO21" s="7"/>
      <c r="AP21" s="7"/>
      <c r="AQ21" s="72"/>
      <c r="AR21" s="72"/>
      <c r="AS21" s="72"/>
      <c r="AT21" s="72"/>
      <c r="AU21" s="7"/>
      <c r="AV21" s="8"/>
      <c r="AW21" s="7"/>
      <c r="AX21" s="72"/>
      <c r="AY21" s="72"/>
    </row>
    <row r="22" spans="1:51" ht="22.15" customHeight="1">
      <c r="A22" s="72"/>
      <c r="B22" s="8"/>
      <c r="C22" s="8"/>
      <c r="AE22" s="63"/>
      <c r="AG22" s="8"/>
      <c r="AH22" s="8"/>
      <c r="AI22" s="7"/>
      <c r="AJ22" s="71"/>
      <c r="AK22" s="71"/>
      <c r="AL22" s="71"/>
      <c r="AM22" s="71"/>
      <c r="AN22" s="71"/>
      <c r="AO22" s="7"/>
      <c r="AP22" s="7"/>
      <c r="AQ22" s="72"/>
      <c r="AR22" s="72"/>
      <c r="AS22" s="72"/>
      <c r="AT22" s="72"/>
      <c r="AU22" s="7"/>
      <c r="AV22" s="8"/>
      <c r="AW22" s="7"/>
      <c r="AX22" s="72"/>
      <c r="AY22" s="72"/>
    </row>
    <row r="23" spans="1:51" s="19" customFormat="1" ht="22.15" customHeight="1">
      <c r="C23" s="20"/>
      <c r="U23" s="73"/>
      <c r="V23" s="73"/>
      <c r="W23" s="73"/>
      <c r="X23" s="73"/>
      <c r="Y23" s="73"/>
      <c r="Z23" s="73"/>
      <c r="AE23" s="87"/>
    </row>
    <row r="24" spans="1:51" s="19" customFormat="1" ht="22.15" customHeight="1">
      <c r="C24" s="20"/>
      <c r="U24" s="73"/>
      <c r="V24" s="73"/>
      <c r="W24" s="73"/>
      <c r="X24" s="73"/>
      <c r="Y24" s="73"/>
      <c r="Z24" s="73"/>
      <c r="AE24" s="87"/>
    </row>
    <row r="25" spans="1:51" s="19" customFormat="1" ht="22.15" customHeight="1">
      <c r="C25" s="20"/>
      <c r="T25" s="73"/>
      <c r="U25" s="73"/>
      <c r="V25" s="73"/>
      <c r="W25" s="73"/>
      <c r="X25" s="73"/>
      <c r="Y25" s="73"/>
      <c r="Z25" s="73"/>
      <c r="AE25" s="87"/>
    </row>
    <row r="26" spans="1:51" ht="22.15" customHeight="1">
      <c r="A26" s="68"/>
      <c r="B26" s="68"/>
      <c r="C26" s="69"/>
      <c r="AE26" s="63"/>
      <c r="AH26" s="68"/>
      <c r="AI26" s="68"/>
      <c r="AJ26" s="68"/>
      <c r="AK26" s="68"/>
      <c r="AL26" s="68"/>
      <c r="AM26" s="68"/>
      <c r="AN26" s="68"/>
      <c r="AO26" s="68"/>
      <c r="AP26" s="68"/>
      <c r="AQ26" s="68"/>
      <c r="AR26" s="68"/>
      <c r="AS26" s="68"/>
      <c r="AT26" s="68"/>
      <c r="AU26" s="68"/>
      <c r="AV26" s="68"/>
      <c r="AW26" s="68"/>
      <c r="AX26" s="68"/>
      <c r="AY26" s="68"/>
    </row>
    <row r="27" spans="1:51" ht="22.15" customHeight="1">
      <c r="A27" s="68"/>
      <c r="B27" s="68"/>
      <c r="C27" s="69"/>
      <c r="AE27" s="63"/>
      <c r="AG27" s="68"/>
      <c r="AH27" s="68"/>
      <c r="AI27" s="68"/>
      <c r="AJ27" s="68"/>
      <c r="AK27" s="68"/>
      <c r="AL27" s="68"/>
      <c r="AM27" s="68"/>
      <c r="AN27" s="68"/>
      <c r="AO27" s="68"/>
      <c r="AP27" s="68"/>
      <c r="AQ27" s="68"/>
      <c r="AR27" s="68"/>
      <c r="AS27" s="68"/>
      <c r="AT27" s="68"/>
      <c r="AU27" s="68"/>
      <c r="AV27" s="68"/>
      <c r="AW27" s="68"/>
      <c r="AX27" s="68"/>
      <c r="AY27" s="68"/>
    </row>
    <row r="28" spans="1:51" ht="22.15" customHeight="1">
      <c r="A28" s="68"/>
      <c r="B28" s="68"/>
      <c r="C28" s="69"/>
      <c r="AE28" s="63"/>
      <c r="AG28" s="68"/>
      <c r="AH28" s="68"/>
      <c r="AI28" s="68"/>
      <c r="AJ28" s="68"/>
      <c r="AK28" s="68"/>
      <c r="AL28" s="68"/>
      <c r="AM28" s="68"/>
      <c r="AN28" s="68"/>
      <c r="AO28" s="68"/>
      <c r="AP28" s="68"/>
      <c r="AQ28" s="68"/>
      <c r="AR28" s="68"/>
      <c r="AS28" s="68"/>
      <c r="AT28" s="68"/>
      <c r="AU28" s="68"/>
      <c r="AV28" s="68"/>
      <c r="AW28" s="68"/>
      <c r="AX28" s="68"/>
      <c r="AY28" s="68"/>
    </row>
    <row r="29" spans="1:51" ht="22.15" hidden="1" customHeight="1">
      <c r="A29" s="8"/>
      <c r="B29" s="8"/>
      <c r="C29" s="8"/>
      <c r="AE29" s="63"/>
      <c r="AI29" s="7"/>
      <c r="AJ29" s="7"/>
      <c r="AK29" s="7"/>
      <c r="AL29" s="7"/>
      <c r="AM29" s="7"/>
      <c r="AN29" s="7"/>
      <c r="AO29" s="7"/>
      <c r="AP29" s="7"/>
      <c r="AQ29" s="7"/>
      <c r="AR29" s="7"/>
      <c r="AS29" s="7"/>
      <c r="AT29" s="7"/>
      <c r="AU29" s="8"/>
      <c r="AV29" s="8"/>
      <c r="AW29" s="8"/>
      <c r="AX29" s="8"/>
      <c r="AY29" s="8"/>
    </row>
    <row r="30" spans="1:51" ht="22.15" customHeight="1" thickBot="1">
      <c r="A30" s="1297" t="s">
        <v>431</v>
      </c>
      <c r="B30" s="1297"/>
      <c r="C30" s="1297"/>
      <c r="D30" s="1297"/>
      <c r="E30" s="1297"/>
      <c r="F30" s="1297"/>
      <c r="G30" s="1297"/>
      <c r="H30" s="1297"/>
      <c r="I30" s="1297"/>
      <c r="J30" s="1297"/>
      <c r="K30" s="1297"/>
      <c r="L30" s="1297"/>
      <c r="M30" s="1297"/>
      <c r="N30" s="1297"/>
      <c r="O30" s="1297"/>
      <c r="P30" s="1297"/>
      <c r="Q30" s="1297"/>
      <c r="R30" s="1297"/>
      <c r="S30" s="1297"/>
      <c r="T30" s="1297"/>
      <c r="U30" s="1297"/>
      <c r="V30" s="1297"/>
      <c r="W30" s="1297"/>
      <c r="X30" s="1297"/>
      <c r="Y30" s="1297"/>
      <c r="Z30" s="1297"/>
      <c r="AA30" s="1297"/>
      <c r="AB30" s="1297"/>
      <c r="AC30" s="1297"/>
      <c r="AD30" s="1298"/>
      <c r="AE30" s="63"/>
      <c r="AN30" s="14"/>
      <c r="AO30" s="14"/>
      <c r="AP30" s="14"/>
      <c r="AQ30" s="14"/>
      <c r="AR30" s="14"/>
      <c r="AS30" s="14"/>
      <c r="AT30" s="14"/>
      <c r="AU30" s="14"/>
      <c r="AV30" s="14"/>
      <c r="AW30" s="14"/>
      <c r="AX30" s="14"/>
      <c r="AY30" s="14"/>
    </row>
    <row r="31" spans="1:51" ht="22.15" hidden="1" customHeight="1" thickTop="1" thickBot="1">
      <c r="A31" s="14"/>
      <c r="B31" s="14"/>
      <c r="C31" s="14"/>
      <c r="D31" s="14"/>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63"/>
      <c r="AG31" s="1318" t="s">
        <v>407</v>
      </c>
      <c r="AH31" s="1319"/>
      <c r="AI31" s="1319"/>
      <c r="AJ31" s="1319"/>
      <c r="AK31" s="1319"/>
      <c r="AL31" s="1319"/>
      <c r="AM31" s="1319"/>
      <c r="AN31" s="1320"/>
      <c r="AO31" s="7"/>
      <c r="AP31" s="7"/>
      <c r="AQ31" s="1321" t="s">
        <v>432</v>
      </c>
      <c r="AR31" s="1322"/>
      <c r="AS31" s="1322"/>
      <c r="AT31" s="1322"/>
      <c r="AU31" s="1322"/>
      <c r="AV31" s="1322"/>
      <c r="AW31" s="1323"/>
      <c r="AX31" s="14"/>
      <c r="AY31" s="14"/>
    </row>
    <row r="32" spans="1:51" ht="22.15" hidden="1" customHeight="1" thickTop="1" thickBot="1">
      <c r="A32" s="14" t="s">
        <v>446</v>
      </c>
      <c r="V32" s="1310">
        <f ca="1">LED計算式!J36*60</f>
        <v>0</v>
      </c>
      <c r="W32" s="1311"/>
      <c r="X32" s="1311"/>
      <c r="Y32" s="1311"/>
      <c r="Z32" s="1311"/>
      <c r="AA32" s="1311"/>
      <c r="AB32" s="1311"/>
      <c r="AC32" s="1312"/>
      <c r="AD32" s="100"/>
      <c r="AE32" s="63"/>
      <c r="AG32" s="1290">
        <f ca="1">AR7</f>
        <v>0</v>
      </c>
      <c r="AH32" s="1291"/>
      <c r="AI32" s="1291"/>
      <c r="AJ32" s="1291"/>
      <c r="AK32" s="1291"/>
      <c r="AL32" s="1291"/>
      <c r="AM32" s="1291"/>
      <c r="AN32" s="1292"/>
      <c r="AO32" s="1313" t="s">
        <v>409</v>
      </c>
      <c r="AP32" s="1314"/>
      <c r="AQ32" s="971">
        <f>④前後a!BA29/120</f>
        <v>0</v>
      </c>
      <c r="AR32" s="972"/>
      <c r="AS32" s="972"/>
      <c r="AT32" s="972"/>
      <c r="AU32" s="972"/>
      <c r="AV32" s="972"/>
      <c r="AW32" s="973"/>
      <c r="AX32" s="14"/>
      <c r="AY32" s="14"/>
    </row>
    <row r="33" spans="1:51" ht="22.15" hidden="1" customHeight="1" thickTop="1" thickBot="1">
      <c r="AE33" s="63"/>
      <c r="AG33" s="1293"/>
      <c r="AH33" s="1294"/>
      <c r="AI33" s="1294"/>
      <c r="AJ33" s="1294"/>
      <c r="AK33" s="1294"/>
      <c r="AL33" s="1294"/>
      <c r="AM33" s="1294"/>
      <c r="AN33" s="1295"/>
      <c r="AO33" s="1313"/>
      <c r="AP33" s="1314"/>
      <c r="AQ33" s="974"/>
      <c r="AR33" s="975"/>
      <c r="AS33" s="975"/>
      <c r="AT33" s="975"/>
      <c r="AU33" s="975"/>
      <c r="AV33" s="975"/>
      <c r="AW33" s="976"/>
      <c r="AX33" s="10"/>
      <c r="AY33" s="10"/>
    </row>
    <row r="34" spans="1:51" ht="22.15" hidden="1" customHeight="1" thickTop="1" thickBot="1">
      <c r="A34" s="14" t="s">
        <v>447</v>
      </c>
      <c r="V34" s="1310">
        <f>LED計算式!K36*60</f>
        <v>0</v>
      </c>
      <c r="W34" s="1311"/>
      <c r="X34" s="1311"/>
      <c r="Y34" s="1311"/>
      <c r="Z34" s="1311"/>
      <c r="AA34" s="1311"/>
      <c r="AB34" s="1311"/>
      <c r="AC34" s="1312"/>
      <c r="AD34" s="100"/>
      <c r="AE34" s="63"/>
    </row>
    <row r="35" spans="1:51" ht="22.15" customHeight="1" thickTop="1" thickBot="1">
      <c r="B35" s="14"/>
      <c r="C35" s="14"/>
      <c r="D35" s="14"/>
      <c r="E35" s="90"/>
      <c r="F35" s="90"/>
      <c r="G35" s="90"/>
      <c r="H35" s="90"/>
      <c r="I35" s="90"/>
      <c r="J35" s="90"/>
      <c r="K35" s="90"/>
      <c r="L35" s="90"/>
      <c r="M35" s="90"/>
      <c r="N35" s="90"/>
      <c r="O35" s="90"/>
      <c r="P35" s="90"/>
      <c r="Q35" s="90"/>
      <c r="R35" s="90"/>
      <c r="S35" s="90"/>
      <c r="T35" s="90"/>
      <c r="U35" s="90"/>
      <c r="V35" s="90"/>
      <c r="W35" s="90"/>
      <c r="X35" s="90"/>
      <c r="Y35" s="90"/>
      <c r="Z35" s="90"/>
      <c r="AA35" s="90"/>
      <c r="AB35" s="90"/>
      <c r="AC35" s="90"/>
      <c r="AD35" s="90"/>
      <c r="AE35" s="63"/>
      <c r="AQ35" s="1315" t="s">
        <v>410</v>
      </c>
      <c r="AR35" s="1316"/>
      <c r="AS35" s="1316"/>
      <c r="AT35" s="1316"/>
      <c r="AU35" s="1316"/>
      <c r="AV35" s="1316"/>
      <c r="AW35" s="1317"/>
    </row>
    <row r="36" spans="1:51" ht="22.15" customHeight="1" thickTop="1" thickBot="1">
      <c r="A36" s="14" t="s">
        <v>443</v>
      </c>
      <c r="B36" s="17"/>
      <c r="C36" s="17"/>
      <c r="D36" s="14"/>
      <c r="E36" s="90"/>
      <c r="F36" s="90"/>
      <c r="G36" s="90"/>
      <c r="H36" s="90"/>
      <c r="I36" s="90"/>
      <c r="J36" s="90"/>
      <c r="K36" s="90"/>
      <c r="L36" s="90"/>
      <c r="M36" s="90"/>
      <c r="N36" s="90"/>
      <c r="O36" s="90"/>
      <c r="P36" s="90"/>
      <c r="Q36" s="90"/>
      <c r="R36" s="90"/>
      <c r="S36" s="90"/>
      <c r="T36" s="90"/>
      <c r="U36" s="90"/>
      <c r="V36" s="1299">
        <f ca="1">V32+V34</f>
        <v>0</v>
      </c>
      <c r="W36" s="1300"/>
      <c r="X36" s="1300"/>
      <c r="Y36" s="1300"/>
      <c r="Z36" s="1300"/>
      <c r="AA36" s="1300"/>
      <c r="AB36" s="1300"/>
      <c r="AC36" s="1301"/>
      <c r="AD36" s="101"/>
      <c r="AE36" s="63"/>
      <c r="AO36" s="1302"/>
      <c r="AP36" s="1302"/>
      <c r="AQ36" s="1303" t="str">
        <f ca="1">IFERROR((AG32/AQ32)/12,"0")</f>
        <v>0</v>
      </c>
      <c r="AR36" s="1304"/>
      <c r="AS36" s="1304"/>
      <c r="AT36" s="1304"/>
      <c r="AU36" s="1304"/>
      <c r="AV36" s="1304"/>
      <c r="AW36" s="1305"/>
    </row>
    <row r="37" spans="1:51" ht="22.15" customHeight="1" thickTop="1" thickBot="1">
      <c r="B37" s="14"/>
      <c r="C37" s="14"/>
      <c r="D37" s="14"/>
      <c r="E37" s="90"/>
      <c r="F37" s="90"/>
      <c r="G37" s="90"/>
      <c r="H37" s="90"/>
      <c r="I37" s="90"/>
      <c r="J37" s="90"/>
      <c r="K37" s="90"/>
      <c r="L37" s="90"/>
      <c r="M37" s="90"/>
      <c r="N37" s="90"/>
      <c r="O37" s="90"/>
      <c r="P37" s="90"/>
      <c r="Q37" s="90"/>
      <c r="R37" s="90"/>
      <c r="S37" s="90"/>
      <c r="T37" s="90"/>
      <c r="U37" s="90"/>
      <c r="V37" s="90"/>
      <c r="W37" s="90"/>
      <c r="X37" s="90"/>
      <c r="Y37" s="90"/>
      <c r="Z37" s="90"/>
      <c r="AA37" s="90"/>
      <c r="AB37" s="90"/>
      <c r="AC37" s="90"/>
      <c r="AD37" s="90"/>
      <c r="AE37" s="63"/>
      <c r="AO37" s="1302"/>
      <c r="AP37" s="1302"/>
      <c r="AQ37" s="1306"/>
      <c r="AR37" s="1307"/>
      <c r="AS37" s="1307"/>
      <c r="AT37" s="1307"/>
      <c r="AU37" s="1307"/>
      <c r="AV37" s="1307"/>
      <c r="AW37" s="1308"/>
    </row>
    <row r="38" spans="1:51" ht="22.15" customHeight="1" thickTop="1">
      <c r="AE38" s="63"/>
      <c r="AJ38" s="60"/>
      <c r="AK38" s="60"/>
      <c r="AL38" s="60"/>
      <c r="AM38" s="60"/>
      <c r="AN38" s="60"/>
      <c r="AO38" s="60"/>
      <c r="AP38" s="60"/>
      <c r="AQ38" s="1309" t="str">
        <f ca="1">IFERROR(AG32/AQ32,"0")</f>
        <v>0</v>
      </c>
      <c r="AR38" s="1309"/>
      <c r="AS38" s="1309"/>
      <c r="AT38" s="1309"/>
      <c r="AU38" s="1309"/>
      <c r="AV38" s="1309"/>
      <c r="AW38" s="1309"/>
    </row>
    <row r="39" spans="1:51" ht="22.15" customHeight="1">
      <c r="AI39" s="60"/>
      <c r="AJ39" s="60"/>
      <c r="AK39" s="60"/>
      <c r="AL39" s="60"/>
      <c r="AM39" s="60"/>
      <c r="AN39" s="60"/>
      <c r="AO39" s="60"/>
      <c r="AP39" s="60"/>
      <c r="AQ39" s="60"/>
      <c r="AR39" s="60"/>
      <c r="AS39" s="60"/>
      <c r="AT39" s="60"/>
      <c r="AY39" s="4">
        <v>7</v>
      </c>
    </row>
  </sheetData>
  <mergeCells count="34">
    <mergeCell ref="A1:AY1"/>
    <mergeCell ref="A3:AC4"/>
    <mergeCell ref="AF3:AX4"/>
    <mergeCell ref="I6:M6"/>
    <mergeCell ref="Q6:W6"/>
    <mergeCell ref="V36:AC36"/>
    <mergeCell ref="AO36:AP37"/>
    <mergeCell ref="AQ36:AW37"/>
    <mergeCell ref="AQ38:AW38"/>
    <mergeCell ref="A2:AY2"/>
    <mergeCell ref="V32:AC32"/>
    <mergeCell ref="AG32:AN33"/>
    <mergeCell ref="AO32:AP33"/>
    <mergeCell ref="AQ32:AW33"/>
    <mergeCell ref="V34:AC34"/>
    <mergeCell ref="AQ35:AW35"/>
    <mergeCell ref="A30:AD30"/>
    <mergeCell ref="AG31:AN31"/>
    <mergeCell ref="AQ31:AW31"/>
    <mergeCell ref="AH6:AL6"/>
    <mergeCell ref="AR6:AX6"/>
    <mergeCell ref="I7:M8"/>
    <mergeCell ref="R7:V8"/>
    <mergeCell ref="AG7:AM8"/>
    <mergeCell ref="AR7:AX8"/>
    <mergeCell ref="AS9:AY10"/>
    <mergeCell ref="S9:AC10"/>
    <mergeCell ref="AF9:AL10"/>
    <mergeCell ref="AM9:AR10"/>
    <mergeCell ref="D11:H11"/>
    <mergeCell ref="I11:L11"/>
    <mergeCell ref="M11:R11"/>
    <mergeCell ref="A9:L10"/>
    <mergeCell ref="M9:R10"/>
  </mergeCells>
  <phoneticPr fontId="2"/>
  <conditionalFormatting sqref="A14:A19">
    <cfRule type="cellIs" dxfId="21" priority="10" operator="equal">
      <formula>0</formula>
    </cfRule>
  </conditionalFormatting>
  <conditionalFormatting sqref="B14:C19 AJ21 AO21:AO22 AV21:AV22 B22:C22 C23">
    <cfRule type="cellIs" dxfId="20" priority="11" operator="equal">
      <formula>0</formula>
    </cfRule>
  </conditionalFormatting>
  <conditionalFormatting sqref="AI14:AY19 AI22">
    <cfRule type="cellIs" dxfId="19" priority="9" operator="equal">
      <formula>0</formula>
    </cfRule>
  </conditionalFormatting>
  <conditionalFormatting sqref="AO31:AQ31 AO32 AQ35:AQ36 AO36">
    <cfRule type="cellIs" dxfId="18" priority="3" operator="equal">
      <formula>0</formula>
    </cfRule>
  </conditionalFormatting>
  <conditionalFormatting sqref="AP18">
    <cfRule type="cellIs" dxfId="17" priority="7" operator="equal">
      <formula>0</formula>
    </cfRule>
  </conditionalFormatting>
  <conditionalFormatting sqref="AP21">
    <cfRule type="cellIs" dxfId="16" priority="5" operator="equal">
      <formula>0</formula>
    </cfRule>
  </conditionalFormatting>
  <conditionalFormatting sqref="AQ12 AW12:AY12">
    <cfRule type="cellIs" dxfId="15" priority="8" operator="equal">
      <formula>0</formula>
    </cfRule>
  </conditionalFormatting>
  <conditionalFormatting sqref="AR11">
    <cfRule type="cellIs" dxfId="14" priority="1" operator="equal">
      <formula>0</formula>
    </cfRule>
  </conditionalFormatting>
  <conditionalFormatting sqref="AW18">
    <cfRule type="cellIs" dxfId="13" priority="6" operator="equal">
      <formula>0</formula>
    </cfRule>
  </conditionalFormatting>
  <conditionalFormatting sqref="AW21">
    <cfRule type="cellIs" dxfId="12" priority="4" operator="equal">
      <formula>0</formula>
    </cfRule>
  </conditionalFormatting>
  <printOptions horizontalCentered="1" verticalCentered="1"/>
  <pageMargins left="0" right="0" top="0" bottom="0" header="0" footer="0"/>
  <pageSetup paperSize="9" scale="72"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B0B7-3E66-42C7-A9F0-749564AC5FBF}">
  <sheetPr>
    <tabColor rgb="FF00FF00"/>
  </sheetPr>
  <dimension ref="A1:BG37"/>
  <sheetViews>
    <sheetView view="pageBreakPreview" zoomScale="70" zoomScaleNormal="70" zoomScaleSheetLayoutView="70" workbookViewId="0">
      <selection activeCell="BI22" sqref="BI22"/>
    </sheetView>
  </sheetViews>
  <sheetFormatPr defaultColWidth="3.625" defaultRowHeight="22.15" customHeight="1"/>
  <cols>
    <col min="1" max="25" width="3.625" style="385"/>
    <col min="26" max="28" width="3.5" style="385" customWidth="1"/>
    <col min="29" max="16384" width="3.625" style="385"/>
  </cols>
  <sheetData>
    <row r="1" spans="1:59" s="4" customFormat="1" ht="38.25">
      <c r="A1" s="1275" t="s">
        <v>449</v>
      </c>
      <c r="B1" s="1275"/>
      <c r="C1" s="1275"/>
      <c r="D1" s="1275"/>
      <c r="E1" s="1275"/>
      <c r="F1" s="1275"/>
      <c r="G1" s="1275"/>
      <c r="H1" s="1275"/>
      <c r="I1" s="1275"/>
      <c r="J1" s="1275"/>
      <c r="K1" s="1275"/>
      <c r="L1" s="1275"/>
      <c r="M1" s="1275"/>
      <c r="N1" s="1275"/>
      <c r="O1" s="1275"/>
      <c r="P1" s="1275"/>
      <c r="Q1" s="1275"/>
      <c r="R1" s="1275"/>
      <c r="S1" s="1275"/>
      <c r="T1" s="1275"/>
      <c r="U1" s="1275"/>
      <c r="V1" s="1275"/>
      <c r="W1" s="1275"/>
      <c r="X1" s="1275"/>
      <c r="Y1" s="1275"/>
      <c r="Z1" s="1275"/>
      <c r="AA1" s="1275"/>
      <c r="AB1" s="1275"/>
      <c r="AC1" s="1275"/>
      <c r="AD1" s="1275"/>
      <c r="AE1" s="1275"/>
      <c r="AF1" s="1275"/>
      <c r="AG1" s="1275"/>
      <c r="AH1" s="1275"/>
      <c r="AI1" s="1275"/>
      <c r="AJ1" s="1275"/>
      <c r="AK1" s="1275"/>
      <c r="AL1" s="1275"/>
      <c r="AM1" s="1275"/>
      <c r="AN1" s="1275"/>
      <c r="AO1" s="1275"/>
      <c r="AP1" s="1275"/>
      <c r="AQ1" s="1275"/>
      <c r="AR1" s="1275"/>
      <c r="AS1" s="1275"/>
      <c r="AT1" s="1275"/>
      <c r="AU1" s="1275"/>
      <c r="AV1" s="1275"/>
      <c r="AW1" s="1275"/>
      <c r="AX1" s="1275"/>
      <c r="AY1" s="1275"/>
      <c r="AZ1" s="1275"/>
      <c r="BA1" s="1275"/>
      <c r="BB1" s="1275"/>
      <c r="BC1" s="1275"/>
    </row>
    <row r="2" spans="1:59" ht="22.15" customHeight="1">
      <c r="C2" s="443"/>
      <c r="D2" s="443"/>
      <c r="E2" s="443"/>
      <c r="F2" s="443"/>
      <c r="G2" s="443"/>
      <c r="H2" s="443"/>
      <c r="I2" s="443"/>
      <c r="J2" s="443"/>
      <c r="K2" s="443"/>
      <c r="L2" s="443"/>
      <c r="M2" s="443"/>
      <c r="N2" s="443"/>
      <c r="O2" s="443"/>
      <c r="P2" s="443"/>
      <c r="Q2" s="443"/>
      <c r="R2" s="443"/>
      <c r="S2" s="443"/>
      <c r="T2" s="443"/>
      <c r="U2" s="443"/>
      <c r="V2" s="443"/>
      <c r="W2" s="443"/>
      <c r="X2" s="443"/>
      <c r="Y2" s="443"/>
      <c r="AD2" s="443"/>
      <c r="AE2" s="443"/>
      <c r="AF2" s="443"/>
      <c r="AG2" s="443"/>
      <c r="AH2" s="443"/>
      <c r="AI2" s="443"/>
      <c r="AJ2" s="443"/>
      <c r="AK2" s="443"/>
      <c r="AL2" s="443"/>
      <c r="AM2" s="443"/>
      <c r="AN2" s="443"/>
      <c r="AO2" s="443"/>
      <c r="AP2" s="443"/>
      <c r="AQ2" s="443"/>
      <c r="AR2" s="443"/>
      <c r="AS2" s="443"/>
      <c r="AT2" s="443"/>
      <c r="AU2" s="443"/>
      <c r="AV2" s="443"/>
      <c r="AW2" s="443"/>
      <c r="AX2" s="443"/>
      <c r="AY2" s="443"/>
      <c r="AZ2" s="443"/>
    </row>
    <row r="3" spans="1:59" s="67" customFormat="1" ht="22.15" customHeight="1">
      <c r="A3" s="1389">
        <f>LED計算式!B43</f>
        <v>0</v>
      </c>
      <c r="B3" s="1389"/>
      <c r="C3" s="1389"/>
      <c r="D3" s="1389"/>
      <c r="E3" s="1389"/>
      <c r="F3" s="1389"/>
      <c r="G3" s="1389"/>
      <c r="H3" s="1389"/>
      <c r="I3" s="1389"/>
      <c r="J3" s="1389"/>
      <c r="K3" s="1389"/>
      <c r="L3" s="1389"/>
      <c r="M3" s="1389"/>
      <c r="N3" s="1389"/>
      <c r="O3" s="1389"/>
      <c r="P3" s="1389"/>
      <c r="Q3" s="1389"/>
      <c r="R3" s="1389"/>
      <c r="S3" s="1389"/>
      <c r="T3" s="1389"/>
      <c r="U3" s="1389"/>
      <c r="V3" s="1389"/>
      <c r="W3" s="1389"/>
      <c r="X3" s="1389"/>
      <c r="Y3" s="1389"/>
      <c r="Z3" s="1389"/>
      <c r="AA3" s="1389"/>
      <c r="AC3" s="1390">
        <f>LED計算式!G43</f>
        <v>0</v>
      </c>
      <c r="AD3" s="1390"/>
      <c r="AE3" s="1390"/>
      <c r="AF3" s="1390"/>
      <c r="AG3" s="1390"/>
      <c r="AH3" s="1390"/>
      <c r="AI3" s="1390"/>
      <c r="AJ3" s="1390"/>
      <c r="AK3" s="1390"/>
      <c r="AL3" s="1390"/>
      <c r="AM3" s="1390"/>
      <c r="AN3" s="1390"/>
      <c r="AO3" s="1390"/>
      <c r="AP3" s="1390"/>
      <c r="AQ3" s="1390"/>
      <c r="AR3" s="1390"/>
      <c r="AS3" s="1390"/>
      <c r="AT3" s="1390"/>
      <c r="AU3" s="1390"/>
      <c r="AV3" s="1390"/>
      <c r="AW3" s="1390"/>
      <c r="AX3" s="1390"/>
      <c r="AY3" s="1390"/>
      <c r="AZ3" s="1390"/>
      <c r="BA3" s="1390"/>
      <c r="BB3" s="1390"/>
      <c r="BC3" s="1390"/>
    </row>
    <row r="4" spans="1:59" s="67" customFormat="1" ht="22.15" customHeight="1">
      <c r="A4" s="1380" t="s">
        <v>450</v>
      </c>
      <c r="B4" s="1381"/>
      <c r="C4" s="1381"/>
      <c r="D4" s="1381"/>
      <c r="E4" s="1381"/>
      <c r="F4" s="1381"/>
      <c r="G4" s="1381"/>
      <c r="H4" s="1381"/>
      <c r="I4" s="1381"/>
      <c r="J4" s="1381"/>
      <c r="K4" s="1381"/>
      <c r="L4" s="1381"/>
      <c r="M4" s="1381"/>
      <c r="N4" s="1381"/>
      <c r="O4" s="1382"/>
      <c r="P4" s="1383" t="s">
        <v>451</v>
      </c>
      <c r="Q4" s="1381"/>
      <c r="R4" s="1381"/>
      <c r="S4" s="1381"/>
      <c r="T4" s="1381"/>
      <c r="U4" s="1381"/>
      <c r="V4" s="1381"/>
      <c r="W4" s="1381"/>
      <c r="X4" s="1381"/>
      <c r="Y4" s="1381"/>
      <c r="Z4" s="1381"/>
      <c r="AA4" s="1381"/>
      <c r="AB4" s="455"/>
      <c r="AC4" s="1384" t="s">
        <v>450</v>
      </c>
      <c r="AD4" s="1385"/>
      <c r="AE4" s="1385"/>
      <c r="AF4" s="1385"/>
      <c r="AG4" s="1385"/>
      <c r="AH4" s="1385"/>
      <c r="AI4" s="1385"/>
      <c r="AJ4" s="1385"/>
      <c r="AK4" s="1385"/>
      <c r="AL4" s="1385"/>
      <c r="AM4" s="1385"/>
      <c r="AN4" s="1385"/>
      <c r="AO4" s="1385"/>
      <c r="AP4" s="1385"/>
      <c r="AQ4" s="1386"/>
      <c r="AR4" s="1387" t="s">
        <v>451</v>
      </c>
      <c r="AS4" s="1388"/>
      <c r="AT4" s="1388"/>
      <c r="AU4" s="1388"/>
      <c r="AV4" s="1388"/>
      <c r="AW4" s="1388"/>
      <c r="AX4" s="1388"/>
      <c r="AY4" s="1388"/>
      <c r="AZ4" s="1388"/>
      <c r="BA4" s="1388"/>
      <c r="BB4" s="1388"/>
      <c r="BC4" s="1388"/>
    </row>
    <row r="5" spans="1:59" ht="24" customHeight="1">
      <c r="A5" s="483"/>
      <c r="O5" s="493"/>
      <c r="AA5" s="484"/>
      <c r="AC5" s="483"/>
      <c r="AQ5" s="493"/>
      <c r="BC5" s="484"/>
    </row>
    <row r="6" spans="1:59" ht="24" customHeight="1">
      <c r="A6" s="483"/>
      <c r="O6" s="493"/>
      <c r="AA6" s="484"/>
      <c r="AC6" s="483"/>
      <c r="AQ6" s="493"/>
      <c r="BC6" s="484"/>
    </row>
    <row r="7" spans="1:59" ht="24" customHeight="1">
      <c r="A7" s="483"/>
      <c r="O7" s="493"/>
      <c r="AA7" s="484"/>
      <c r="AC7" s="483"/>
      <c r="AQ7" s="493"/>
      <c r="BC7" s="484"/>
      <c r="BG7" s="445"/>
    </row>
    <row r="8" spans="1:59" ht="24" customHeight="1">
      <c r="A8" s="483"/>
      <c r="O8" s="493"/>
      <c r="AA8" s="484"/>
      <c r="AC8" s="483"/>
      <c r="AQ8" s="493"/>
      <c r="BC8" s="484"/>
    </row>
    <row r="9" spans="1:59" ht="24" customHeight="1">
      <c r="A9" s="483"/>
      <c r="O9" s="493"/>
      <c r="AA9" s="484"/>
      <c r="AC9" s="483"/>
      <c r="AQ9" s="493"/>
      <c r="BC9" s="484"/>
    </row>
    <row r="10" spans="1:59" ht="24" customHeight="1">
      <c r="A10" s="483"/>
      <c r="O10" s="493"/>
      <c r="AA10" s="484"/>
      <c r="AC10" s="483"/>
      <c r="AQ10" s="493"/>
      <c r="BC10" s="484"/>
    </row>
    <row r="11" spans="1:59" ht="24" customHeight="1">
      <c r="A11" s="483"/>
      <c r="O11" s="493"/>
      <c r="AA11" s="484"/>
      <c r="AC11" s="483"/>
      <c r="AQ11" s="493"/>
      <c r="BC11" s="484"/>
    </row>
    <row r="12" spans="1:59" ht="24" customHeight="1" thickBot="1">
      <c r="A12" s="483"/>
      <c r="O12" s="493"/>
      <c r="AA12" s="484"/>
      <c r="AC12" s="483"/>
      <c r="AQ12" s="493"/>
      <c r="BC12" s="484"/>
    </row>
    <row r="13" spans="1:59" ht="16.899999999999999" customHeight="1" thickTop="1" thickBot="1">
      <c r="A13" s="483"/>
      <c r="I13" s="1391" t="s">
        <v>452</v>
      </c>
      <c r="J13" s="1392"/>
      <c r="K13" s="1392"/>
      <c r="L13" s="1392"/>
      <c r="M13" s="1392"/>
      <c r="N13" s="1393"/>
      <c r="O13" s="493"/>
      <c r="S13" s="1351" t="s">
        <v>453</v>
      </c>
      <c r="T13" s="1352"/>
      <c r="U13" s="1352"/>
      <c r="V13" s="1352"/>
      <c r="W13" s="1352"/>
      <c r="X13" s="1352"/>
      <c r="Y13" s="1352"/>
      <c r="Z13" s="1353"/>
      <c r="AA13" s="484"/>
      <c r="AC13" s="483"/>
      <c r="AK13" s="1394" t="s">
        <v>452</v>
      </c>
      <c r="AL13" s="1395"/>
      <c r="AM13" s="1395"/>
      <c r="AN13" s="1395"/>
      <c r="AO13" s="1395"/>
      <c r="AP13" s="1396"/>
      <c r="AQ13" s="493"/>
      <c r="AU13" s="1351" t="s">
        <v>453</v>
      </c>
      <c r="AV13" s="1352"/>
      <c r="AW13" s="1352"/>
      <c r="AX13" s="1352"/>
      <c r="AY13" s="1352"/>
      <c r="AZ13" s="1352"/>
      <c r="BA13" s="1352"/>
      <c r="BB13" s="1353"/>
      <c r="BC13" s="484"/>
    </row>
    <row r="14" spans="1:59" ht="16.149999999999999" customHeight="1" thickTop="1">
      <c r="A14" s="485"/>
      <c r="B14" s="436"/>
      <c r="C14" s="436"/>
      <c r="D14" s="436"/>
      <c r="E14" s="436"/>
      <c r="F14" s="436"/>
      <c r="G14" s="437"/>
      <c r="H14" s="437"/>
      <c r="I14" s="1377">
        <f ca="1">LED計算式!C50</f>
        <v>0</v>
      </c>
      <c r="J14" s="1378"/>
      <c r="K14" s="1378"/>
      <c r="L14" s="1378"/>
      <c r="M14" s="1378"/>
      <c r="N14" s="1379"/>
      <c r="O14" s="493"/>
      <c r="S14" s="1354" t="str">
        <f ca="1">IFERROR(S17/(LED計算式!C46+LED計算式!C47-LED計算式!D47)/12,"0")</f>
        <v>0</v>
      </c>
      <c r="T14" s="1355"/>
      <c r="U14" s="1355"/>
      <c r="V14" s="1355"/>
      <c r="W14" s="1355"/>
      <c r="X14" s="1355"/>
      <c r="Y14" s="1355"/>
      <c r="Z14" s="1356"/>
      <c r="AA14" s="486"/>
      <c r="AC14" s="483"/>
      <c r="AD14" s="436"/>
      <c r="AE14" s="436"/>
      <c r="AF14" s="436"/>
      <c r="AG14" s="436"/>
      <c r="AH14" s="436"/>
      <c r="AI14" s="436"/>
      <c r="AJ14" s="437"/>
      <c r="AK14" s="1377">
        <f ca="1">LED計算式!H50</f>
        <v>0</v>
      </c>
      <c r="AL14" s="1378"/>
      <c r="AM14" s="1378"/>
      <c r="AN14" s="1378"/>
      <c r="AO14" s="1378"/>
      <c r="AP14" s="1379"/>
      <c r="AQ14" s="496"/>
      <c r="AR14" s="436"/>
      <c r="AS14" s="436"/>
      <c r="AT14" s="436"/>
      <c r="AU14" s="1354" t="str">
        <f ca="1">IFERROR(AU17/(LED計算式!H46+LED計算式!H47-LED計算式!I47)/12,"0")</f>
        <v>0</v>
      </c>
      <c r="AV14" s="1355"/>
      <c r="AW14" s="1355"/>
      <c r="AX14" s="1355"/>
      <c r="AY14" s="1355"/>
      <c r="AZ14" s="1355"/>
      <c r="BA14" s="1355"/>
      <c r="BB14" s="1356"/>
      <c r="BC14" s="484"/>
    </row>
    <row r="15" spans="1:59" ht="16.149999999999999" customHeight="1" thickBot="1">
      <c r="A15" s="485"/>
      <c r="B15" s="436"/>
      <c r="C15" s="436"/>
      <c r="D15" s="436"/>
      <c r="E15" s="436"/>
      <c r="F15" s="436"/>
      <c r="G15" s="437"/>
      <c r="H15" s="437"/>
      <c r="I15" s="1391" t="s">
        <v>454</v>
      </c>
      <c r="J15" s="1392"/>
      <c r="K15" s="1392"/>
      <c r="L15" s="1392"/>
      <c r="M15" s="1392"/>
      <c r="N15" s="1393"/>
      <c r="O15" s="493"/>
      <c r="S15" s="1357"/>
      <c r="T15" s="1358"/>
      <c r="U15" s="1358"/>
      <c r="V15" s="1358"/>
      <c r="W15" s="1358"/>
      <c r="X15" s="1358"/>
      <c r="Y15" s="1358"/>
      <c r="Z15" s="1359"/>
      <c r="AA15" s="486"/>
      <c r="AC15" s="483"/>
      <c r="AD15" s="436"/>
      <c r="AE15" s="436"/>
      <c r="AF15" s="436"/>
      <c r="AG15" s="436"/>
      <c r="AH15" s="436"/>
      <c r="AI15" s="436"/>
      <c r="AJ15" s="437"/>
      <c r="AK15" s="1394" t="s">
        <v>454</v>
      </c>
      <c r="AL15" s="1395"/>
      <c r="AM15" s="1395"/>
      <c r="AN15" s="1395"/>
      <c r="AO15" s="1395"/>
      <c r="AP15" s="1396"/>
      <c r="AQ15" s="496"/>
      <c r="AR15" s="436"/>
      <c r="AS15" s="436"/>
      <c r="AT15" s="436"/>
      <c r="AU15" s="1357"/>
      <c r="AV15" s="1358"/>
      <c r="AW15" s="1358"/>
      <c r="AX15" s="1358"/>
      <c r="AY15" s="1358"/>
      <c r="AZ15" s="1358"/>
      <c r="BA15" s="1358"/>
      <c r="BB15" s="1359"/>
      <c r="BC15" s="484"/>
    </row>
    <row r="16" spans="1:59" ht="16.149999999999999" customHeight="1" thickTop="1" thickBot="1">
      <c r="A16" s="483"/>
      <c r="B16" s="1399"/>
      <c r="C16" s="1399"/>
      <c r="D16" s="1399"/>
      <c r="E16" s="1399"/>
      <c r="F16" s="1399"/>
      <c r="G16" s="1399"/>
      <c r="H16" s="444"/>
      <c r="I16" s="1377">
        <f>LED計算式!C51</f>
        <v>0</v>
      </c>
      <c r="J16" s="1378"/>
      <c r="K16" s="1378"/>
      <c r="L16" s="1378"/>
      <c r="M16" s="1378"/>
      <c r="N16" s="1379"/>
      <c r="O16" s="493"/>
      <c r="S16" s="1360" t="s">
        <v>455</v>
      </c>
      <c r="T16" s="1361"/>
      <c r="U16" s="1361"/>
      <c r="V16" s="1361"/>
      <c r="W16" s="1361"/>
      <c r="X16" s="1361"/>
      <c r="Y16" s="1361"/>
      <c r="Z16" s="1362"/>
      <c r="AA16" s="487"/>
      <c r="AC16" s="483"/>
      <c r="AD16" s="440"/>
      <c r="AE16" s="444"/>
      <c r="AK16" s="1377">
        <f>LED計算式!H51</f>
        <v>0</v>
      </c>
      <c r="AL16" s="1378"/>
      <c r="AM16" s="1378"/>
      <c r="AN16" s="1378"/>
      <c r="AO16" s="1378"/>
      <c r="AP16" s="1379"/>
      <c r="AQ16" s="493"/>
      <c r="AT16" s="444"/>
      <c r="AU16" s="1360" t="s">
        <v>455</v>
      </c>
      <c r="AV16" s="1361"/>
      <c r="AW16" s="1361"/>
      <c r="AX16" s="1361"/>
      <c r="AY16" s="1361"/>
      <c r="AZ16" s="1361"/>
      <c r="BA16" s="1361"/>
      <c r="BB16" s="1362"/>
      <c r="BC16" s="484"/>
    </row>
    <row r="17" spans="1:55" ht="16.149999999999999" customHeight="1" thickTop="1">
      <c r="A17" s="483"/>
      <c r="C17" s="443"/>
      <c r="D17" s="443"/>
      <c r="E17" s="443"/>
      <c r="F17" s="443"/>
      <c r="G17" s="443"/>
      <c r="H17" s="443"/>
      <c r="I17" s="1391" t="s">
        <v>456</v>
      </c>
      <c r="J17" s="1392"/>
      <c r="K17" s="1392"/>
      <c r="L17" s="1392"/>
      <c r="M17" s="1392"/>
      <c r="N17" s="1393"/>
      <c r="O17" s="494"/>
      <c r="P17" s="443"/>
      <c r="S17" s="1363">
        <f ca="1">☆入力!AO16</f>
        <v>0</v>
      </c>
      <c r="T17" s="1364"/>
      <c r="U17" s="1364"/>
      <c r="V17" s="1364"/>
      <c r="W17" s="1364"/>
      <c r="X17" s="1364"/>
      <c r="Y17" s="1364"/>
      <c r="Z17" s="1365"/>
      <c r="AA17" s="484"/>
      <c r="AC17" s="483"/>
      <c r="AF17" s="443"/>
      <c r="AG17" s="443"/>
      <c r="AH17" s="443"/>
      <c r="AI17" s="443"/>
      <c r="AJ17" s="443"/>
      <c r="AK17" s="1394" t="s">
        <v>456</v>
      </c>
      <c r="AL17" s="1395"/>
      <c r="AM17" s="1395"/>
      <c r="AN17" s="1395"/>
      <c r="AO17" s="1395"/>
      <c r="AP17" s="1396"/>
      <c r="AQ17" s="494"/>
      <c r="AR17" s="443"/>
      <c r="AS17" s="443"/>
      <c r="AT17" s="443"/>
      <c r="AU17" s="1363">
        <f ca="1">☆入力!AO17</f>
        <v>0</v>
      </c>
      <c r="AV17" s="1364"/>
      <c r="AW17" s="1364"/>
      <c r="AX17" s="1364"/>
      <c r="AY17" s="1364"/>
      <c r="AZ17" s="1364"/>
      <c r="BA17" s="1364"/>
      <c r="BB17" s="1365"/>
      <c r="BC17" s="484"/>
    </row>
    <row r="18" spans="1:55" ht="16.149999999999999" customHeight="1" thickBot="1">
      <c r="A18" s="483"/>
      <c r="C18" s="443"/>
      <c r="D18" s="443"/>
      <c r="E18" s="443"/>
      <c r="F18" s="443"/>
      <c r="G18" s="443"/>
      <c r="H18" s="443"/>
      <c r="I18" s="1377">
        <f ca="1">LED計算式!C52</f>
        <v>0</v>
      </c>
      <c r="J18" s="1378"/>
      <c r="K18" s="1378"/>
      <c r="L18" s="1378"/>
      <c r="M18" s="1378"/>
      <c r="N18" s="1379"/>
      <c r="O18" s="494"/>
      <c r="P18" s="443"/>
      <c r="S18" s="1366"/>
      <c r="T18" s="1367"/>
      <c r="U18" s="1367"/>
      <c r="V18" s="1367"/>
      <c r="W18" s="1367"/>
      <c r="X18" s="1367"/>
      <c r="Y18" s="1367"/>
      <c r="Z18" s="1368"/>
      <c r="AA18" s="484"/>
      <c r="AC18" s="483"/>
      <c r="AF18" s="443"/>
      <c r="AG18" s="443"/>
      <c r="AH18" s="443"/>
      <c r="AI18" s="443"/>
      <c r="AJ18" s="443"/>
      <c r="AK18" s="1377">
        <f ca="1">LED計算式!H52</f>
        <v>0</v>
      </c>
      <c r="AL18" s="1378"/>
      <c r="AM18" s="1378"/>
      <c r="AN18" s="1378"/>
      <c r="AO18" s="1378"/>
      <c r="AP18" s="1379"/>
      <c r="AQ18" s="494"/>
      <c r="AR18" s="443"/>
      <c r="AS18" s="443"/>
      <c r="AT18" s="443"/>
      <c r="AU18" s="1366"/>
      <c r="AV18" s="1367"/>
      <c r="AW18" s="1367"/>
      <c r="AX18" s="1367"/>
      <c r="AY18" s="1367"/>
      <c r="AZ18" s="1367"/>
      <c r="BA18" s="1367"/>
      <c r="BB18" s="1368"/>
      <c r="BC18" s="484"/>
    </row>
    <row r="19" spans="1:55" ht="9.6" customHeight="1" thickTop="1">
      <c r="A19" s="488"/>
      <c r="B19" s="489"/>
      <c r="C19" s="490"/>
      <c r="D19" s="490"/>
      <c r="E19" s="490"/>
      <c r="F19" s="490"/>
      <c r="G19" s="490"/>
      <c r="H19" s="490"/>
      <c r="I19" s="489"/>
      <c r="J19" s="489"/>
      <c r="K19" s="489"/>
      <c r="L19" s="489"/>
      <c r="M19" s="489"/>
      <c r="N19" s="489"/>
      <c r="O19" s="495"/>
      <c r="P19" s="490"/>
      <c r="Q19" s="490"/>
      <c r="R19" s="490"/>
      <c r="S19" s="490"/>
      <c r="T19" s="490"/>
      <c r="U19" s="491"/>
      <c r="V19" s="491"/>
      <c r="W19" s="491"/>
      <c r="X19" s="491"/>
      <c r="Y19" s="491"/>
      <c r="Z19" s="491"/>
      <c r="AA19" s="492"/>
      <c r="AC19" s="488"/>
      <c r="AD19" s="489"/>
      <c r="AE19" s="489"/>
      <c r="AF19" s="490"/>
      <c r="AG19" s="490"/>
      <c r="AH19" s="490"/>
      <c r="AI19" s="490"/>
      <c r="AJ19" s="490"/>
      <c r="AK19" s="490"/>
      <c r="AL19" s="490"/>
      <c r="AM19" s="490"/>
      <c r="AN19" s="490"/>
      <c r="AO19" s="490"/>
      <c r="AP19" s="490"/>
      <c r="AQ19" s="495"/>
      <c r="AR19" s="490"/>
      <c r="AS19" s="490"/>
      <c r="AT19" s="490"/>
      <c r="AU19" s="490"/>
      <c r="AV19" s="490"/>
      <c r="AW19" s="490"/>
      <c r="AX19" s="490"/>
      <c r="AY19" s="490"/>
      <c r="AZ19" s="490"/>
      <c r="BA19" s="490"/>
      <c r="BB19" s="490"/>
      <c r="BC19" s="492"/>
    </row>
    <row r="20" spans="1:55" ht="22.15" customHeight="1">
      <c r="C20" s="443"/>
      <c r="D20" s="443"/>
      <c r="E20" s="443"/>
      <c r="F20" s="443"/>
      <c r="G20" s="443"/>
      <c r="H20" s="443"/>
      <c r="I20" s="443"/>
      <c r="J20" s="443"/>
      <c r="K20" s="443"/>
      <c r="L20" s="443"/>
      <c r="M20" s="443"/>
      <c r="N20" s="443"/>
      <c r="O20" s="443"/>
      <c r="P20" s="443"/>
      <c r="Q20" s="443"/>
      <c r="R20" s="443"/>
      <c r="S20" s="443"/>
      <c r="T20" s="443"/>
      <c r="U20" s="443"/>
      <c r="V20" s="443"/>
      <c r="W20" s="443"/>
      <c r="X20" s="443"/>
      <c r="Y20" s="443"/>
      <c r="AD20" s="443"/>
      <c r="AE20" s="443"/>
      <c r="AF20" s="443"/>
      <c r="AG20" s="443"/>
      <c r="AH20" s="443"/>
      <c r="AI20" s="443"/>
      <c r="AJ20" s="443"/>
      <c r="AK20" s="443"/>
      <c r="AL20" s="443"/>
      <c r="AM20" s="443"/>
      <c r="AN20" s="443"/>
      <c r="AO20" s="443"/>
      <c r="AP20" s="443"/>
      <c r="AQ20" s="443"/>
      <c r="AR20" s="443"/>
      <c r="AS20" s="443"/>
      <c r="AT20" s="443"/>
      <c r="AU20" s="443"/>
      <c r="AV20" s="443"/>
      <c r="AW20" s="443"/>
      <c r="AX20" s="443"/>
      <c r="AY20" s="443"/>
      <c r="AZ20" s="443"/>
    </row>
    <row r="21" spans="1:55" s="67" customFormat="1" ht="22.15" customHeight="1">
      <c r="A21" s="1397">
        <f>LED計算式!L43</f>
        <v>0</v>
      </c>
      <c r="B21" s="1397"/>
      <c r="C21" s="1397"/>
      <c r="D21" s="1397"/>
      <c r="E21" s="1397"/>
      <c r="F21" s="1397"/>
      <c r="G21" s="1397"/>
      <c r="H21" s="1397"/>
      <c r="I21" s="1397"/>
      <c r="J21" s="1397"/>
      <c r="K21" s="1397"/>
      <c r="L21" s="1397"/>
      <c r="M21" s="1397"/>
      <c r="N21" s="1397"/>
      <c r="O21" s="1397"/>
      <c r="P21" s="1397"/>
      <c r="Q21" s="1397"/>
      <c r="R21" s="1397"/>
      <c r="S21" s="1397"/>
      <c r="T21" s="1397"/>
      <c r="U21" s="1397"/>
      <c r="V21" s="1397"/>
      <c r="W21" s="1397"/>
      <c r="X21" s="1397"/>
      <c r="Y21" s="1397"/>
      <c r="Z21" s="1397"/>
      <c r="AA21" s="1397"/>
      <c r="AC21" s="1398">
        <f>LED計算式!Q43</f>
        <v>0</v>
      </c>
      <c r="AD21" s="1398"/>
      <c r="AE21" s="1398"/>
      <c r="AF21" s="1398"/>
      <c r="AG21" s="1398"/>
      <c r="AH21" s="1398"/>
      <c r="AI21" s="1398"/>
      <c r="AJ21" s="1398"/>
      <c r="AK21" s="1398"/>
      <c r="AL21" s="1398"/>
      <c r="AM21" s="1398"/>
      <c r="AN21" s="1398"/>
      <c r="AO21" s="1398"/>
      <c r="AP21" s="1398"/>
      <c r="AQ21" s="1398"/>
      <c r="AR21" s="1398"/>
      <c r="AS21" s="1398"/>
      <c r="AT21" s="1398"/>
      <c r="AU21" s="1398"/>
      <c r="AV21" s="1398"/>
      <c r="AW21" s="1398"/>
      <c r="AX21" s="1398"/>
      <c r="AY21" s="1398"/>
      <c r="AZ21" s="1398"/>
      <c r="BA21" s="1398"/>
      <c r="BB21" s="1398"/>
      <c r="BC21" s="1398"/>
    </row>
    <row r="22" spans="1:55" ht="22.15" customHeight="1">
      <c r="A22" s="1369" t="s">
        <v>450</v>
      </c>
      <c r="B22" s="1370"/>
      <c r="C22" s="1370"/>
      <c r="D22" s="1370"/>
      <c r="E22" s="1370"/>
      <c r="F22" s="1370"/>
      <c r="G22" s="1370"/>
      <c r="H22" s="1370"/>
      <c r="I22" s="1370"/>
      <c r="J22" s="1370"/>
      <c r="K22" s="1370"/>
      <c r="L22" s="1370"/>
      <c r="M22" s="1370"/>
      <c r="N22" s="1370"/>
      <c r="O22" s="1371"/>
      <c r="P22" s="1372" t="s">
        <v>451</v>
      </c>
      <c r="Q22" s="1370"/>
      <c r="R22" s="1370"/>
      <c r="S22" s="1370"/>
      <c r="T22" s="1370"/>
      <c r="U22" s="1370"/>
      <c r="V22" s="1370"/>
      <c r="W22" s="1370"/>
      <c r="X22" s="1370"/>
      <c r="Y22" s="1370"/>
      <c r="Z22" s="1370"/>
      <c r="AA22" s="1370"/>
      <c r="AC22" s="1373" t="s">
        <v>450</v>
      </c>
      <c r="AD22" s="1374"/>
      <c r="AE22" s="1374"/>
      <c r="AF22" s="1374"/>
      <c r="AG22" s="1374"/>
      <c r="AH22" s="1374"/>
      <c r="AI22" s="1374"/>
      <c r="AJ22" s="1374"/>
      <c r="AK22" s="1374"/>
      <c r="AL22" s="1374"/>
      <c r="AM22" s="1374"/>
      <c r="AN22" s="1374"/>
      <c r="AO22" s="1374"/>
      <c r="AP22" s="1374"/>
      <c r="AQ22" s="1375"/>
      <c r="AR22" s="1376" t="s">
        <v>451</v>
      </c>
      <c r="AS22" s="1374"/>
      <c r="AT22" s="1374"/>
      <c r="AU22" s="1374"/>
      <c r="AV22" s="1374"/>
      <c r="AW22" s="1374"/>
      <c r="AX22" s="1374"/>
      <c r="AY22" s="1374"/>
      <c r="AZ22" s="1374"/>
      <c r="BA22" s="1374"/>
      <c r="BB22" s="1374"/>
      <c r="BC22" s="1374"/>
    </row>
    <row r="23" spans="1:55" ht="24" customHeight="1">
      <c r="A23" s="483"/>
      <c r="O23" s="493"/>
      <c r="AA23" s="484"/>
      <c r="AC23" s="483"/>
      <c r="AQ23" s="493"/>
      <c r="BC23" s="484"/>
    </row>
    <row r="24" spans="1:55" ht="24" customHeight="1">
      <c r="A24" s="483"/>
      <c r="O24" s="493"/>
      <c r="AA24" s="484"/>
      <c r="AC24" s="483"/>
      <c r="AQ24" s="493"/>
      <c r="BC24" s="484"/>
    </row>
    <row r="25" spans="1:55" ht="24" customHeight="1">
      <c r="A25" s="483"/>
      <c r="O25" s="493"/>
      <c r="AA25" s="484"/>
      <c r="AC25" s="483"/>
      <c r="AQ25" s="493"/>
      <c r="BC25" s="484"/>
    </row>
    <row r="26" spans="1:55" ht="24" customHeight="1">
      <c r="A26" s="483"/>
      <c r="O26" s="493"/>
      <c r="AA26" s="484"/>
      <c r="AC26" s="483"/>
      <c r="AQ26" s="493"/>
      <c r="BC26" s="484"/>
    </row>
    <row r="27" spans="1:55" ht="24" customHeight="1">
      <c r="A27" s="483"/>
      <c r="O27" s="493"/>
      <c r="AA27" s="484"/>
      <c r="AC27" s="483"/>
      <c r="AQ27" s="493"/>
      <c r="BC27" s="484"/>
    </row>
    <row r="28" spans="1:55" ht="24" customHeight="1">
      <c r="A28" s="483"/>
      <c r="O28" s="493"/>
      <c r="AA28" s="484"/>
      <c r="AC28" s="483"/>
      <c r="AQ28" s="493"/>
      <c r="BC28" s="484"/>
    </row>
    <row r="29" spans="1:55" ht="24" customHeight="1">
      <c r="A29" s="483"/>
      <c r="O29" s="493"/>
      <c r="AA29" s="484"/>
      <c r="AC29" s="483"/>
      <c r="AQ29" s="493"/>
      <c r="BC29" s="484"/>
    </row>
    <row r="30" spans="1:55" ht="35.65" customHeight="1" thickBot="1">
      <c r="A30" s="483"/>
      <c r="O30" s="493"/>
      <c r="AA30" s="484"/>
      <c r="AC30" s="483"/>
      <c r="AQ30" s="493"/>
      <c r="BC30" s="484"/>
    </row>
    <row r="31" spans="1:55" ht="16.899999999999999" customHeight="1" thickTop="1" thickBot="1">
      <c r="A31" s="485"/>
      <c r="B31" s="436"/>
      <c r="C31" s="436"/>
      <c r="D31" s="436"/>
      <c r="E31" s="436"/>
      <c r="F31" s="436"/>
      <c r="G31" s="437"/>
      <c r="H31" s="437"/>
      <c r="I31" s="1400" t="s">
        <v>452</v>
      </c>
      <c r="J31" s="1401"/>
      <c r="K31" s="1401"/>
      <c r="L31" s="1401"/>
      <c r="M31" s="1401"/>
      <c r="N31" s="1402"/>
      <c r="O31" s="496"/>
      <c r="P31" s="436"/>
      <c r="Q31" s="436"/>
      <c r="R31" s="436"/>
      <c r="S31" s="1351" t="s">
        <v>453</v>
      </c>
      <c r="T31" s="1352"/>
      <c r="U31" s="1352"/>
      <c r="V31" s="1352"/>
      <c r="W31" s="1352"/>
      <c r="X31" s="1352"/>
      <c r="Y31" s="1352"/>
      <c r="Z31" s="1353"/>
      <c r="AA31" s="486"/>
      <c r="AC31" s="483"/>
      <c r="AD31" s="436"/>
      <c r="AE31" s="436"/>
      <c r="AF31" s="436"/>
      <c r="AG31" s="436"/>
      <c r="AH31" s="436"/>
      <c r="AI31" s="436"/>
      <c r="AJ31" s="437"/>
      <c r="AK31" s="1403" t="s">
        <v>452</v>
      </c>
      <c r="AL31" s="1404"/>
      <c r="AM31" s="1404"/>
      <c r="AN31" s="1404"/>
      <c r="AO31" s="1404"/>
      <c r="AP31" s="1405"/>
      <c r="AQ31" s="496"/>
      <c r="AR31" s="436"/>
      <c r="AS31" s="436"/>
      <c r="AT31" s="436"/>
      <c r="AU31" s="1351" t="s">
        <v>453</v>
      </c>
      <c r="AV31" s="1352"/>
      <c r="AW31" s="1352"/>
      <c r="AX31" s="1352"/>
      <c r="AY31" s="1352"/>
      <c r="AZ31" s="1352"/>
      <c r="BA31" s="1352"/>
      <c r="BB31" s="1353"/>
      <c r="BC31" s="486"/>
    </row>
    <row r="32" spans="1:55" ht="16.899999999999999" customHeight="1" thickTop="1">
      <c r="A32" s="485"/>
      <c r="B32" s="436"/>
      <c r="C32" s="436"/>
      <c r="D32" s="436"/>
      <c r="E32" s="436"/>
      <c r="F32" s="436"/>
      <c r="G32" s="437"/>
      <c r="H32" s="437"/>
      <c r="I32" s="1377">
        <f ca="1">LED計算式!M50</f>
        <v>0</v>
      </c>
      <c r="J32" s="1378"/>
      <c r="K32" s="1378"/>
      <c r="L32" s="1378"/>
      <c r="M32" s="1378"/>
      <c r="N32" s="1379"/>
      <c r="O32" s="496"/>
      <c r="P32" s="436"/>
      <c r="Q32" s="436"/>
      <c r="R32" s="436"/>
      <c r="S32" s="1354" t="str">
        <f ca="1">IFERROR(S35/(LED計算式!M46+LED計算式!M47-LED計算式!N47)/12,"0")</f>
        <v>0</v>
      </c>
      <c r="T32" s="1355"/>
      <c r="U32" s="1355"/>
      <c r="V32" s="1355"/>
      <c r="W32" s="1355"/>
      <c r="X32" s="1355"/>
      <c r="Y32" s="1355"/>
      <c r="Z32" s="1356"/>
      <c r="AA32" s="486"/>
      <c r="AC32" s="483"/>
      <c r="AD32" s="436"/>
      <c r="AE32" s="436"/>
      <c r="AF32" s="436"/>
      <c r="AG32" s="436"/>
      <c r="AH32" s="436"/>
      <c r="AI32" s="436"/>
      <c r="AJ32" s="437"/>
      <c r="AK32" s="1377">
        <f ca="1">LED計算式!R50</f>
        <v>0</v>
      </c>
      <c r="AL32" s="1378"/>
      <c r="AM32" s="1378"/>
      <c r="AN32" s="1378"/>
      <c r="AO32" s="1378"/>
      <c r="AP32" s="1379"/>
      <c r="AQ32" s="496"/>
      <c r="AR32" s="436"/>
      <c r="AS32" s="436"/>
      <c r="AT32" s="436"/>
      <c r="AU32" s="1354" t="str">
        <f ca="1">IFERROR(AU35/(LED計算式!R46+LED計算式!R47-LED計算式!S47)/12,"0")</f>
        <v>0</v>
      </c>
      <c r="AV32" s="1355"/>
      <c r="AW32" s="1355"/>
      <c r="AX32" s="1355"/>
      <c r="AY32" s="1355"/>
      <c r="AZ32" s="1355"/>
      <c r="BA32" s="1355"/>
      <c r="BB32" s="1356"/>
      <c r="BC32" s="486"/>
    </row>
    <row r="33" spans="1:55" ht="16.899999999999999" customHeight="1" thickBot="1">
      <c r="A33" s="497"/>
      <c r="B33" s="444"/>
      <c r="I33" s="1400" t="s">
        <v>454</v>
      </c>
      <c r="J33" s="1401"/>
      <c r="K33" s="1401"/>
      <c r="L33" s="1401"/>
      <c r="M33" s="1401"/>
      <c r="N33" s="1402"/>
      <c r="O33" s="493"/>
      <c r="Q33" s="444"/>
      <c r="R33" s="444"/>
      <c r="S33" s="1357"/>
      <c r="T33" s="1358"/>
      <c r="U33" s="1358"/>
      <c r="V33" s="1358"/>
      <c r="W33" s="1358"/>
      <c r="X33" s="1358"/>
      <c r="Y33" s="1358"/>
      <c r="Z33" s="1359"/>
      <c r="AA33" s="487"/>
      <c r="AC33" s="483"/>
      <c r="AD33" s="440"/>
      <c r="AE33" s="444"/>
      <c r="AK33" s="1403" t="s">
        <v>454</v>
      </c>
      <c r="AL33" s="1404"/>
      <c r="AM33" s="1404"/>
      <c r="AN33" s="1404"/>
      <c r="AO33" s="1404"/>
      <c r="AP33" s="1405"/>
      <c r="AQ33" s="493"/>
      <c r="AT33" s="444"/>
      <c r="AU33" s="1357"/>
      <c r="AV33" s="1358"/>
      <c r="AW33" s="1358"/>
      <c r="AX33" s="1358"/>
      <c r="AY33" s="1358"/>
      <c r="AZ33" s="1358"/>
      <c r="BA33" s="1358"/>
      <c r="BB33" s="1359"/>
      <c r="BC33" s="487"/>
    </row>
    <row r="34" spans="1:55" ht="16.899999999999999" customHeight="1" thickTop="1" thickBot="1">
      <c r="A34" s="483"/>
      <c r="I34" s="1377">
        <f>LED計算式!M51</f>
        <v>0</v>
      </c>
      <c r="J34" s="1378"/>
      <c r="K34" s="1378"/>
      <c r="L34" s="1378"/>
      <c r="M34" s="1378"/>
      <c r="N34" s="1379"/>
      <c r="O34" s="493"/>
      <c r="S34" s="1360" t="s">
        <v>455</v>
      </c>
      <c r="T34" s="1361"/>
      <c r="U34" s="1361"/>
      <c r="V34" s="1361"/>
      <c r="W34" s="1361"/>
      <c r="X34" s="1361"/>
      <c r="Y34" s="1361"/>
      <c r="Z34" s="1362"/>
      <c r="AA34" s="484"/>
      <c r="AC34" s="483"/>
      <c r="AK34" s="1377">
        <f>LED計算式!R51</f>
        <v>0</v>
      </c>
      <c r="AL34" s="1378"/>
      <c r="AM34" s="1378"/>
      <c r="AN34" s="1378"/>
      <c r="AO34" s="1378"/>
      <c r="AP34" s="1379"/>
      <c r="AQ34" s="493"/>
      <c r="AU34" s="1360" t="s">
        <v>455</v>
      </c>
      <c r="AV34" s="1361"/>
      <c r="AW34" s="1361"/>
      <c r="AX34" s="1361"/>
      <c r="AY34" s="1361"/>
      <c r="AZ34" s="1361"/>
      <c r="BA34" s="1361"/>
      <c r="BB34" s="1362"/>
      <c r="BC34" s="484"/>
    </row>
    <row r="35" spans="1:55" ht="16.899999999999999" customHeight="1" thickTop="1">
      <c r="A35" s="483"/>
      <c r="I35" s="1400" t="s">
        <v>456</v>
      </c>
      <c r="J35" s="1401"/>
      <c r="K35" s="1401"/>
      <c r="L35" s="1401"/>
      <c r="M35" s="1401"/>
      <c r="N35" s="1402"/>
      <c r="O35" s="493"/>
      <c r="S35" s="1363">
        <f ca="1">☆入力!AO18</f>
        <v>0</v>
      </c>
      <c r="T35" s="1364"/>
      <c r="U35" s="1364"/>
      <c r="V35" s="1364"/>
      <c r="W35" s="1364"/>
      <c r="X35" s="1364"/>
      <c r="Y35" s="1364"/>
      <c r="Z35" s="1365"/>
      <c r="AA35" s="484"/>
      <c r="AC35" s="483"/>
      <c r="AK35" s="1403" t="s">
        <v>456</v>
      </c>
      <c r="AL35" s="1404"/>
      <c r="AM35" s="1404"/>
      <c r="AN35" s="1404"/>
      <c r="AO35" s="1404"/>
      <c r="AP35" s="1405"/>
      <c r="AQ35" s="493"/>
      <c r="AU35" s="1363">
        <f ca="1">☆入力!AO19</f>
        <v>0</v>
      </c>
      <c r="AV35" s="1364"/>
      <c r="AW35" s="1364"/>
      <c r="AX35" s="1364"/>
      <c r="AY35" s="1364"/>
      <c r="AZ35" s="1364"/>
      <c r="BA35" s="1364"/>
      <c r="BB35" s="1365"/>
      <c r="BC35" s="484"/>
    </row>
    <row r="36" spans="1:55" ht="16.899999999999999" customHeight="1" thickBot="1">
      <c r="A36" s="483"/>
      <c r="I36" s="1377">
        <f ca="1">LED計算式!M52</f>
        <v>0</v>
      </c>
      <c r="J36" s="1378"/>
      <c r="K36" s="1378"/>
      <c r="L36" s="1378"/>
      <c r="M36" s="1378"/>
      <c r="N36" s="1379"/>
      <c r="O36" s="493"/>
      <c r="S36" s="1366"/>
      <c r="T36" s="1367"/>
      <c r="U36" s="1367"/>
      <c r="V36" s="1367"/>
      <c r="W36" s="1367"/>
      <c r="X36" s="1367"/>
      <c r="Y36" s="1367"/>
      <c r="Z36" s="1368"/>
      <c r="AA36" s="484"/>
      <c r="AC36" s="483"/>
      <c r="AK36" s="1377">
        <f ca="1">LED計算式!R52</f>
        <v>0</v>
      </c>
      <c r="AL36" s="1378"/>
      <c r="AM36" s="1378"/>
      <c r="AN36" s="1378"/>
      <c r="AO36" s="1378"/>
      <c r="AP36" s="1379"/>
      <c r="AQ36" s="493"/>
      <c r="AU36" s="1366"/>
      <c r="AV36" s="1367"/>
      <c r="AW36" s="1367"/>
      <c r="AX36" s="1367"/>
      <c r="AY36" s="1367"/>
      <c r="AZ36" s="1367"/>
      <c r="BA36" s="1367"/>
      <c r="BB36" s="1368"/>
      <c r="BC36" s="484"/>
    </row>
    <row r="37" spans="1:55" ht="9.6" customHeight="1" thickTop="1">
      <c r="A37" s="488"/>
      <c r="B37" s="489"/>
      <c r="C37" s="489"/>
      <c r="D37" s="489"/>
      <c r="E37" s="489"/>
      <c r="F37" s="489"/>
      <c r="G37" s="489"/>
      <c r="H37" s="489"/>
      <c r="I37" s="489"/>
      <c r="J37" s="489"/>
      <c r="K37" s="489"/>
      <c r="L37" s="489"/>
      <c r="M37" s="489"/>
      <c r="N37" s="489"/>
      <c r="O37" s="498"/>
      <c r="P37" s="489"/>
      <c r="Q37" s="489"/>
      <c r="R37" s="489"/>
      <c r="S37" s="489"/>
      <c r="T37" s="489"/>
      <c r="U37" s="489"/>
      <c r="V37" s="489"/>
      <c r="W37" s="489"/>
      <c r="X37" s="489"/>
      <c r="Y37" s="489"/>
      <c r="Z37" s="489"/>
      <c r="AA37" s="492"/>
      <c r="AC37" s="488"/>
      <c r="AD37" s="489"/>
      <c r="AE37" s="489"/>
      <c r="AF37" s="489"/>
      <c r="AG37" s="489"/>
      <c r="AH37" s="489"/>
      <c r="AI37" s="489"/>
      <c r="AJ37" s="489"/>
      <c r="AK37" s="489"/>
      <c r="AL37" s="489"/>
      <c r="AM37" s="489"/>
      <c r="AN37" s="489"/>
      <c r="AO37" s="489"/>
      <c r="AP37" s="489"/>
      <c r="AQ37" s="498"/>
      <c r="AR37" s="489"/>
      <c r="AS37" s="489"/>
      <c r="AT37" s="489"/>
      <c r="AU37" s="489"/>
      <c r="AV37" s="489"/>
      <c r="AW37" s="489"/>
      <c r="AX37" s="489"/>
      <c r="AY37" s="489"/>
      <c r="AZ37" s="489"/>
      <c r="BA37" s="489"/>
      <c r="BB37" s="489"/>
      <c r="BC37" s="492"/>
    </row>
  </sheetData>
  <mergeCells count="54">
    <mergeCell ref="I34:N34"/>
    <mergeCell ref="AK34:AP34"/>
    <mergeCell ref="I35:N35"/>
    <mergeCell ref="AK35:AP35"/>
    <mergeCell ref="I36:N36"/>
    <mergeCell ref="AK36:AP36"/>
    <mergeCell ref="S34:Z34"/>
    <mergeCell ref="S35:Z36"/>
    <mergeCell ref="I31:N31"/>
    <mergeCell ref="AK31:AP31"/>
    <mergeCell ref="I32:N32"/>
    <mergeCell ref="AK32:AP32"/>
    <mergeCell ref="I33:N33"/>
    <mergeCell ref="AK33:AP33"/>
    <mergeCell ref="S31:Z31"/>
    <mergeCell ref="S32:Z33"/>
    <mergeCell ref="A21:AA21"/>
    <mergeCell ref="AC21:BC21"/>
    <mergeCell ref="I15:N15"/>
    <mergeCell ref="AK15:AP15"/>
    <mergeCell ref="I16:N16"/>
    <mergeCell ref="AK16:AP16"/>
    <mergeCell ref="I17:N17"/>
    <mergeCell ref="AK17:AP17"/>
    <mergeCell ref="S16:Z16"/>
    <mergeCell ref="B16:G16"/>
    <mergeCell ref="I18:N18"/>
    <mergeCell ref="AK18:AP18"/>
    <mergeCell ref="S17:Z18"/>
    <mergeCell ref="S13:Z13"/>
    <mergeCell ref="S14:Z15"/>
    <mergeCell ref="AC4:AQ4"/>
    <mergeCell ref="AR4:BC4"/>
    <mergeCell ref="A3:AA3"/>
    <mergeCell ref="AC3:BC3"/>
    <mergeCell ref="I13:N13"/>
    <mergeCell ref="AK13:AP13"/>
    <mergeCell ref="AU13:BB13"/>
    <mergeCell ref="AU31:BB31"/>
    <mergeCell ref="AU32:BB33"/>
    <mergeCell ref="AU34:BB34"/>
    <mergeCell ref="AU35:BB36"/>
    <mergeCell ref="A1:BC1"/>
    <mergeCell ref="AU14:BB15"/>
    <mergeCell ref="AU16:BB16"/>
    <mergeCell ref="AU17:BB18"/>
    <mergeCell ref="A22:O22"/>
    <mergeCell ref="P22:AA22"/>
    <mergeCell ref="AC22:AQ22"/>
    <mergeCell ref="AR22:BC22"/>
    <mergeCell ref="I14:N14"/>
    <mergeCell ref="AK14:AP14"/>
    <mergeCell ref="A4:O4"/>
    <mergeCell ref="P4:AA4"/>
  </mergeCells>
  <phoneticPr fontId="2"/>
  <pageMargins left="0.25" right="0.25" top="0.75" bottom="0.75" header="0.3" footer="0.3"/>
  <pageSetup paperSize="9" scale="59"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8C541-21B3-4B83-937D-9F0166CFD10B}">
  <sheetPr>
    <tabColor rgb="FF00FF00"/>
  </sheetPr>
  <dimension ref="A1:BG37"/>
  <sheetViews>
    <sheetView view="pageBreakPreview" zoomScale="70" zoomScaleNormal="70" zoomScaleSheetLayoutView="70" workbookViewId="0">
      <selection activeCell="BI22" sqref="BI22"/>
    </sheetView>
  </sheetViews>
  <sheetFormatPr defaultColWidth="3.625" defaultRowHeight="22.15" customHeight="1"/>
  <cols>
    <col min="1" max="25" width="3.625" style="385"/>
    <col min="26" max="28" width="3.5" style="385" customWidth="1"/>
    <col min="29" max="16384" width="3.625" style="385"/>
  </cols>
  <sheetData>
    <row r="1" spans="1:59" s="4" customFormat="1" ht="38.25">
      <c r="A1" s="1275" t="s">
        <v>449</v>
      </c>
      <c r="B1" s="1275"/>
      <c r="C1" s="1275"/>
      <c r="D1" s="1275"/>
      <c r="E1" s="1275"/>
      <c r="F1" s="1275"/>
      <c r="G1" s="1275"/>
      <c r="H1" s="1275"/>
      <c r="I1" s="1275"/>
      <c r="J1" s="1275"/>
      <c r="K1" s="1275"/>
      <c r="L1" s="1275"/>
      <c r="M1" s="1275"/>
      <c r="N1" s="1275"/>
      <c r="O1" s="1275"/>
      <c r="P1" s="1275"/>
      <c r="Q1" s="1275"/>
      <c r="R1" s="1275"/>
      <c r="S1" s="1275"/>
      <c r="T1" s="1275"/>
      <c r="U1" s="1275"/>
      <c r="V1" s="1275"/>
      <c r="W1" s="1275"/>
      <c r="X1" s="1275"/>
      <c r="Y1" s="1275"/>
      <c r="Z1" s="1275"/>
      <c r="AA1" s="1275"/>
      <c r="AB1" s="1275"/>
      <c r="AC1" s="1275"/>
      <c r="AD1" s="1275"/>
      <c r="AE1" s="1275"/>
      <c r="AF1" s="1275"/>
      <c r="AG1" s="1275"/>
      <c r="AH1" s="1275"/>
      <c r="AI1" s="1275"/>
      <c r="AJ1" s="1275"/>
      <c r="AK1" s="1275"/>
      <c r="AL1" s="1275"/>
      <c r="AM1" s="1275"/>
      <c r="AN1" s="1275"/>
      <c r="AO1" s="1275"/>
      <c r="AP1" s="1275"/>
      <c r="AQ1" s="1275"/>
      <c r="AR1" s="1275"/>
      <c r="AS1" s="1275"/>
      <c r="AT1" s="1275"/>
      <c r="AU1" s="1275"/>
      <c r="AV1" s="1275"/>
      <c r="AW1" s="1275"/>
      <c r="AX1" s="1275"/>
      <c r="AY1" s="1275"/>
      <c r="AZ1" s="1275"/>
      <c r="BA1" s="1275"/>
      <c r="BB1" s="1275"/>
      <c r="BC1" s="1275"/>
    </row>
    <row r="2" spans="1:59" ht="22.15" customHeight="1">
      <c r="C2" s="443"/>
      <c r="D2" s="443"/>
      <c r="E2" s="443"/>
      <c r="F2" s="443"/>
      <c r="G2" s="443"/>
      <c r="H2" s="443"/>
      <c r="I2" s="443"/>
      <c r="J2" s="443"/>
      <c r="K2" s="443"/>
      <c r="L2" s="443"/>
      <c r="M2" s="443"/>
      <c r="N2" s="443"/>
      <c r="O2" s="443"/>
      <c r="P2" s="443"/>
      <c r="Q2" s="443"/>
      <c r="R2" s="443"/>
      <c r="S2" s="443"/>
      <c r="T2" s="443"/>
      <c r="U2" s="443"/>
      <c r="V2" s="443"/>
      <c r="W2" s="443"/>
      <c r="X2" s="443"/>
      <c r="Y2" s="443"/>
      <c r="AD2" s="443"/>
      <c r="AE2" s="443"/>
      <c r="AF2" s="443"/>
      <c r="AG2" s="443"/>
      <c r="AH2" s="443"/>
      <c r="AI2" s="443"/>
      <c r="AJ2" s="443"/>
      <c r="AK2" s="443"/>
      <c r="AL2" s="443"/>
      <c r="AM2" s="443"/>
      <c r="AN2" s="443"/>
      <c r="AO2" s="443"/>
      <c r="AP2" s="443"/>
      <c r="AQ2" s="443"/>
      <c r="AR2" s="443"/>
      <c r="AS2" s="443"/>
      <c r="AT2" s="443"/>
      <c r="AU2" s="443"/>
      <c r="AV2" s="443"/>
      <c r="AW2" s="443"/>
      <c r="AX2" s="443"/>
      <c r="AY2" s="443"/>
      <c r="AZ2" s="443"/>
    </row>
    <row r="3" spans="1:59" s="67" customFormat="1" ht="22.15" customHeight="1">
      <c r="A3" s="1422">
        <f>LED計算式!B43</f>
        <v>0</v>
      </c>
      <c r="B3" s="1423"/>
      <c r="C3" s="1423"/>
      <c r="D3" s="1423"/>
      <c r="E3" s="1423"/>
      <c r="F3" s="1423"/>
      <c r="G3" s="1423"/>
      <c r="H3" s="1423"/>
      <c r="I3" s="1423"/>
      <c r="J3" s="1423"/>
      <c r="K3" s="1423"/>
      <c r="L3" s="1423"/>
      <c r="M3" s="1423"/>
      <c r="N3" s="1423"/>
      <c r="O3" s="1423"/>
      <c r="P3" s="1423"/>
      <c r="Q3" s="1423"/>
      <c r="R3" s="1423"/>
      <c r="S3" s="1423"/>
      <c r="T3" s="1423"/>
      <c r="U3" s="1423"/>
      <c r="V3" s="1423"/>
      <c r="W3" s="1423"/>
      <c r="X3" s="1423"/>
      <c r="Y3" s="1423"/>
      <c r="Z3" s="1423"/>
      <c r="AA3" s="1424"/>
      <c r="AC3" s="1390">
        <f>LED計算式!G43</f>
        <v>0</v>
      </c>
      <c r="AD3" s="1390"/>
      <c r="AE3" s="1390"/>
      <c r="AF3" s="1390"/>
      <c r="AG3" s="1390"/>
      <c r="AH3" s="1390"/>
      <c r="AI3" s="1390"/>
      <c r="AJ3" s="1390"/>
      <c r="AK3" s="1390"/>
      <c r="AL3" s="1390"/>
      <c r="AM3" s="1390"/>
      <c r="AN3" s="1390"/>
      <c r="AO3" s="1390"/>
      <c r="AP3" s="1390"/>
      <c r="AQ3" s="1390"/>
      <c r="AR3" s="1390"/>
      <c r="AS3" s="1390"/>
      <c r="AT3" s="1390"/>
      <c r="AU3" s="1390"/>
      <c r="AV3" s="1390"/>
      <c r="AW3" s="1390"/>
      <c r="AX3" s="1390"/>
      <c r="AY3" s="1390"/>
      <c r="AZ3" s="1390"/>
      <c r="BA3" s="1390"/>
      <c r="BB3" s="1390"/>
      <c r="BC3" s="1390"/>
    </row>
    <row r="4" spans="1:59" s="67" customFormat="1" ht="22.15" customHeight="1">
      <c r="A4" s="1425" t="s">
        <v>450</v>
      </c>
      <c r="B4" s="1426"/>
      <c r="C4" s="1426"/>
      <c r="D4" s="1426"/>
      <c r="E4" s="1426"/>
      <c r="F4" s="1426"/>
      <c r="G4" s="1426"/>
      <c r="H4" s="1426"/>
      <c r="I4" s="1426"/>
      <c r="J4" s="1426"/>
      <c r="K4" s="1426"/>
      <c r="L4" s="1426"/>
      <c r="M4" s="1426"/>
      <c r="N4" s="1426"/>
      <c r="O4" s="1427"/>
      <c r="P4" s="1426" t="s">
        <v>451</v>
      </c>
      <c r="Q4" s="1426"/>
      <c r="R4" s="1426"/>
      <c r="S4" s="1426"/>
      <c r="T4" s="1426"/>
      <c r="U4" s="1426"/>
      <c r="V4" s="1426"/>
      <c r="W4" s="1426"/>
      <c r="X4" s="1426"/>
      <c r="Y4" s="1426"/>
      <c r="Z4" s="1426"/>
      <c r="AA4" s="1383"/>
      <c r="AB4" s="455"/>
      <c r="AC4" s="1384" t="s">
        <v>450</v>
      </c>
      <c r="AD4" s="1385"/>
      <c r="AE4" s="1385"/>
      <c r="AF4" s="1385"/>
      <c r="AG4" s="1385"/>
      <c r="AH4" s="1385"/>
      <c r="AI4" s="1385"/>
      <c r="AJ4" s="1385"/>
      <c r="AK4" s="1385"/>
      <c r="AL4" s="1385"/>
      <c r="AM4" s="1385"/>
      <c r="AN4" s="1385"/>
      <c r="AO4" s="1385"/>
      <c r="AP4" s="1385"/>
      <c r="AQ4" s="1386"/>
      <c r="AR4" s="1387" t="s">
        <v>451</v>
      </c>
      <c r="AS4" s="1388"/>
      <c r="AT4" s="1388"/>
      <c r="AU4" s="1388"/>
      <c r="AV4" s="1388"/>
      <c r="AW4" s="1388"/>
      <c r="AX4" s="1388"/>
      <c r="AY4" s="1388"/>
      <c r="AZ4" s="1388"/>
      <c r="BA4" s="1388"/>
      <c r="BB4" s="1388"/>
      <c r="BC4" s="1388"/>
    </row>
    <row r="5" spans="1:59" ht="24" customHeight="1">
      <c r="A5" s="483"/>
      <c r="O5" s="493"/>
      <c r="AA5" s="484"/>
      <c r="AC5" s="483"/>
      <c r="AQ5" s="493"/>
      <c r="BC5" s="484"/>
    </row>
    <row r="6" spans="1:59" ht="24" customHeight="1">
      <c r="A6" s="483"/>
      <c r="O6" s="493"/>
      <c r="AA6" s="484"/>
      <c r="AC6" s="483"/>
      <c r="AQ6" s="493"/>
      <c r="BC6" s="484"/>
    </row>
    <row r="7" spans="1:59" ht="24" customHeight="1">
      <c r="A7" s="483"/>
      <c r="O7" s="493"/>
      <c r="AA7" s="484"/>
      <c r="AC7" s="483"/>
      <c r="AQ7" s="493"/>
      <c r="BC7" s="484"/>
      <c r="BG7" s="445"/>
    </row>
    <row r="8" spans="1:59" ht="24" customHeight="1">
      <c r="A8" s="483"/>
      <c r="O8" s="493"/>
      <c r="AA8" s="484"/>
      <c r="AC8" s="483"/>
      <c r="AQ8" s="493"/>
      <c r="BC8" s="484"/>
    </row>
    <row r="9" spans="1:59" ht="24" customHeight="1">
      <c r="A9" s="483"/>
      <c r="O9" s="493"/>
      <c r="AA9" s="484"/>
      <c r="AC9" s="483"/>
      <c r="AQ9" s="493"/>
      <c r="BC9" s="484"/>
    </row>
    <row r="10" spans="1:59" ht="24" customHeight="1">
      <c r="A10" s="483"/>
      <c r="O10" s="493"/>
      <c r="AA10" s="484"/>
      <c r="AC10" s="483"/>
      <c r="AQ10" s="493"/>
      <c r="BC10" s="484"/>
    </row>
    <row r="11" spans="1:59" ht="24" customHeight="1">
      <c r="A11" s="483"/>
      <c r="O11" s="493"/>
      <c r="AA11" s="484"/>
      <c r="AC11" s="483"/>
      <c r="AQ11" s="493"/>
      <c r="BC11" s="484"/>
    </row>
    <row r="12" spans="1:59" ht="24" customHeight="1" thickBot="1">
      <c r="A12" s="483"/>
      <c r="O12" s="493"/>
      <c r="AA12" s="484"/>
      <c r="AC12" s="483"/>
      <c r="AQ12" s="493"/>
      <c r="BC12" s="484"/>
    </row>
    <row r="13" spans="1:59" ht="16.899999999999999" customHeight="1" thickTop="1" thickBot="1">
      <c r="A13" s="483"/>
      <c r="I13" s="1391" t="s">
        <v>452</v>
      </c>
      <c r="J13" s="1392"/>
      <c r="K13" s="1392"/>
      <c r="L13" s="1392"/>
      <c r="M13" s="1392"/>
      <c r="N13" s="1393"/>
      <c r="O13" s="493"/>
      <c r="S13" s="1351" t="s">
        <v>453</v>
      </c>
      <c r="T13" s="1352"/>
      <c r="U13" s="1352"/>
      <c r="V13" s="1352"/>
      <c r="W13" s="1352"/>
      <c r="X13" s="1352"/>
      <c r="Y13" s="1352"/>
      <c r="Z13" s="1353"/>
      <c r="AA13" s="484"/>
      <c r="AC13" s="483"/>
      <c r="AK13" s="1394" t="s">
        <v>452</v>
      </c>
      <c r="AL13" s="1395"/>
      <c r="AM13" s="1395"/>
      <c r="AN13" s="1395"/>
      <c r="AO13" s="1395"/>
      <c r="AP13" s="1396"/>
      <c r="AQ13" s="493"/>
      <c r="AU13" s="1351" t="s">
        <v>453</v>
      </c>
      <c r="AV13" s="1352"/>
      <c r="AW13" s="1352"/>
      <c r="AX13" s="1352"/>
      <c r="AY13" s="1352"/>
      <c r="AZ13" s="1352"/>
      <c r="BA13" s="1352"/>
      <c r="BB13" s="1353"/>
      <c r="BC13" s="484"/>
    </row>
    <row r="14" spans="1:59" ht="16.149999999999999" customHeight="1" thickTop="1">
      <c r="A14" s="485"/>
      <c r="B14" s="436"/>
      <c r="C14" s="436"/>
      <c r="D14" s="436"/>
      <c r="E14" s="436"/>
      <c r="F14" s="436"/>
      <c r="G14" s="437"/>
      <c r="H14" s="437"/>
      <c r="I14" s="1377">
        <f ca="1">LED計算式!C61</f>
        <v>0</v>
      </c>
      <c r="J14" s="1378"/>
      <c r="K14" s="1378"/>
      <c r="L14" s="1378"/>
      <c r="M14" s="1378"/>
      <c r="N14" s="1379"/>
      <c r="O14" s="493"/>
      <c r="S14" s="1354" t="str">
        <f ca="1">IFERROR(S17/((LED計算式!C57+LED計算式!C58)-(LED計算式!D58+LED計算式!D57))/12,"0")</f>
        <v>0</v>
      </c>
      <c r="T14" s="1355"/>
      <c r="U14" s="1355"/>
      <c r="V14" s="1355"/>
      <c r="W14" s="1355"/>
      <c r="X14" s="1355"/>
      <c r="Y14" s="1355"/>
      <c r="Z14" s="1356"/>
      <c r="AA14" s="486"/>
      <c r="AC14" s="483"/>
      <c r="AD14" s="436"/>
      <c r="AE14" s="436"/>
      <c r="AF14" s="436"/>
      <c r="AG14" s="436"/>
      <c r="AH14" s="436"/>
      <c r="AI14" s="436"/>
      <c r="AJ14" s="437"/>
      <c r="AK14" s="1377">
        <f ca="1">LED計算式!H61</f>
        <v>0</v>
      </c>
      <c r="AL14" s="1378"/>
      <c r="AM14" s="1378"/>
      <c r="AN14" s="1378"/>
      <c r="AO14" s="1378"/>
      <c r="AP14" s="1379"/>
      <c r="AQ14" s="496"/>
      <c r="AR14" s="436"/>
      <c r="AS14" s="436"/>
      <c r="AT14" s="436"/>
      <c r="AU14" s="1354" t="str">
        <f ca="1">IFERROR(AU17/((LED計算式!H57+LED計算式!H58)-(LED計算式!I58+LED計算式!I57))/12,"0")</f>
        <v>0</v>
      </c>
      <c r="AV14" s="1355"/>
      <c r="AW14" s="1355"/>
      <c r="AX14" s="1355"/>
      <c r="AY14" s="1355"/>
      <c r="AZ14" s="1355"/>
      <c r="BA14" s="1355"/>
      <c r="BB14" s="1356"/>
      <c r="BC14" s="484"/>
    </row>
    <row r="15" spans="1:59" ht="16.149999999999999" customHeight="1" thickBot="1">
      <c r="A15" s="485"/>
      <c r="B15" s="436"/>
      <c r="C15" s="436"/>
      <c r="D15" s="436"/>
      <c r="E15" s="436"/>
      <c r="F15" s="436"/>
      <c r="G15" s="437"/>
      <c r="H15" s="437"/>
      <c r="I15" s="1391" t="s">
        <v>454</v>
      </c>
      <c r="J15" s="1392"/>
      <c r="K15" s="1392"/>
      <c r="L15" s="1392"/>
      <c r="M15" s="1392"/>
      <c r="N15" s="1393"/>
      <c r="O15" s="493"/>
      <c r="S15" s="1357"/>
      <c r="T15" s="1358"/>
      <c r="U15" s="1358"/>
      <c r="V15" s="1358"/>
      <c r="W15" s="1358"/>
      <c r="X15" s="1358"/>
      <c r="Y15" s="1358"/>
      <c r="Z15" s="1359"/>
      <c r="AA15" s="486"/>
      <c r="AC15" s="483"/>
      <c r="AD15" s="436"/>
      <c r="AE15" s="436"/>
      <c r="AF15" s="436"/>
      <c r="AG15" s="436"/>
      <c r="AH15" s="436"/>
      <c r="AI15" s="436"/>
      <c r="AJ15" s="437"/>
      <c r="AK15" s="1394" t="s">
        <v>454</v>
      </c>
      <c r="AL15" s="1395"/>
      <c r="AM15" s="1395"/>
      <c r="AN15" s="1395"/>
      <c r="AO15" s="1395"/>
      <c r="AP15" s="1396"/>
      <c r="AQ15" s="496"/>
      <c r="AR15" s="436"/>
      <c r="AS15" s="436"/>
      <c r="AT15" s="436"/>
      <c r="AU15" s="1357"/>
      <c r="AV15" s="1358"/>
      <c r="AW15" s="1358"/>
      <c r="AX15" s="1358"/>
      <c r="AY15" s="1358"/>
      <c r="AZ15" s="1358"/>
      <c r="BA15" s="1358"/>
      <c r="BB15" s="1359"/>
      <c r="BC15" s="484"/>
    </row>
    <row r="16" spans="1:59" ht="16.149999999999999" customHeight="1" thickTop="1" thickBot="1">
      <c r="A16" s="483"/>
      <c r="B16" s="1399"/>
      <c r="C16" s="1399"/>
      <c r="D16" s="1399"/>
      <c r="E16" s="1399"/>
      <c r="F16" s="1399"/>
      <c r="G16" s="1399"/>
      <c r="H16" s="444"/>
      <c r="I16" s="1377">
        <f>LED計算式!C62</f>
        <v>0</v>
      </c>
      <c r="J16" s="1378"/>
      <c r="K16" s="1378"/>
      <c r="L16" s="1378"/>
      <c r="M16" s="1378"/>
      <c r="N16" s="1379"/>
      <c r="O16" s="493"/>
      <c r="S16" s="1360" t="s">
        <v>455</v>
      </c>
      <c r="T16" s="1361"/>
      <c r="U16" s="1361"/>
      <c r="V16" s="1361"/>
      <c r="W16" s="1361"/>
      <c r="X16" s="1361"/>
      <c r="Y16" s="1361"/>
      <c r="Z16" s="1362"/>
      <c r="AA16" s="487"/>
      <c r="AC16" s="483"/>
      <c r="AD16" s="440"/>
      <c r="AE16" s="444"/>
      <c r="AK16" s="1377">
        <f>LED計算式!H62</f>
        <v>0</v>
      </c>
      <c r="AL16" s="1378"/>
      <c r="AM16" s="1378"/>
      <c r="AN16" s="1378"/>
      <c r="AO16" s="1378"/>
      <c r="AP16" s="1379"/>
      <c r="AQ16" s="493"/>
      <c r="AT16" s="444"/>
      <c r="AU16" s="1360" t="s">
        <v>455</v>
      </c>
      <c r="AV16" s="1361"/>
      <c r="AW16" s="1361"/>
      <c r="AX16" s="1361"/>
      <c r="AY16" s="1361"/>
      <c r="AZ16" s="1361"/>
      <c r="BA16" s="1361"/>
      <c r="BB16" s="1362"/>
      <c r="BC16" s="484"/>
    </row>
    <row r="17" spans="1:55" ht="16.149999999999999" customHeight="1" thickTop="1">
      <c r="A17" s="483"/>
      <c r="C17" s="443"/>
      <c r="D17" s="443"/>
      <c r="E17" s="443"/>
      <c r="F17" s="443"/>
      <c r="G17" s="443"/>
      <c r="H17" s="443"/>
      <c r="I17" s="1391" t="s">
        <v>456</v>
      </c>
      <c r="J17" s="1392"/>
      <c r="K17" s="1392"/>
      <c r="L17" s="1392"/>
      <c r="M17" s="1392"/>
      <c r="N17" s="1393"/>
      <c r="O17" s="494"/>
      <c r="P17" s="443"/>
      <c r="S17" s="1363">
        <f ca="1">☆入力!AO16</f>
        <v>0</v>
      </c>
      <c r="T17" s="1364"/>
      <c r="U17" s="1364"/>
      <c r="V17" s="1364"/>
      <c r="W17" s="1364"/>
      <c r="X17" s="1364"/>
      <c r="Y17" s="1364"/>
      <c r="Z17" s="1365"/>
      <c r="AA17" s="484"/>
      <c r="AC17" s="483"/>
      <c r="AF17" s="443"/>
      <c r="AG17" s="443"/>
      <c r="AH17" s="443"/>
      <c r="AI17" s="443"/>
      <c r="AJ17" s="443"/>
      <c r="AK17" s="1394" t="s">
        <v>456</v>
      </c>
      <c r="AL17" s="1395"/>
      <c r="AM17" s="1395"/>
      <c r="AN17" s="1395"/>
      <c r="AO17" s="1395"/>
      <c r="AP17" s="1396"/>
      <c r="AQ17" s="494"/>
      <c r="AR17" s="443"/>
      <c r="AS17" s="443"/>
      <c r="AT17" s="443"/>
      <c r="AU17" s="1363">
        <f ca="1">☆入力!AO17</f>
        <v>0</v>
      </c>
      <c r="AV17" s="1364"/>
      <c r="AW17" s="1364"/>
      <c r="AX17" s="1364"/>
      <c r="AY17" s="1364"/>
      <c r="AZ17" s="1364"/>
      <c r="BA17" s="1364"/>
      <c r="BB17" s="1365"/>
      <c r="BC17" s="484"/>
    </row>
    <row r="18" spans="1:55" ht="16.149999999999999" customHeight="1" thickBot="1">
      <c r="A18" s="483"/>
      <c r="C18" s="443"/>
      <c r="D18" s="443"/>
      <c r="E18" s="443"/>
      <c r="F18" s="443"/>
      <c r="G18" s="443"/>
      <c r="H18" s="443"/>
      <c r="I18" s="1377">
        <f ca="1">LED計算式!C63</f>
        <v>0</v>
      </c>
      <c r="J18" s="1378"/>
      <c r="K18" s="1378"/>
      <c r="L18" s="1378"/>
      <c r="M18" s="1378"/>
      <c r="N18" s="1379"/>
      <c r="O18" s="494"/>
      <c r="P18" s="443"/>
      <c r="S18" s="1366"/>
      <c r="T18" s="1367"/>
      <c r="U18" s="1367"/>
      <c r="V18" s="1367"/>
      <c r="W18" s="1367"/>
      <c r="X18" s="1367"/>
      <c r="Y18" s="1367"/>
      <c r="Z18" s="1368"/>
      <c r="AA18" s="484"/>
      <c r="AC18" s="483"/>
      <c r="AF18" s="443"/>
      <c r="AG18" s="443"/>
      <c r="AH18" s="443"/>
      <c r="AI18" s="443"/>
      <c r="AJ18" s="443"/>
      <c r="AK18" s="1377">
        <f ca="1">LED計算式!H63</f>
        <v>0</v>
      </c>
      <c r="AL18" s="1378"/>
      <c r="AM18" s="1378"/>
      <c r="AN18" s="1378"/>
      <c r="AO18" s="1378"/>
      <c r="AP18" s="1379"/>
      <c r="AQ18" s="494"/>
      <c r="AR18" s="443"/>
      <c r="AS18" s="443"/>
      <c r="AT18" s="443"/>
      <c r="AU18" s="1366"/>
      <c r="AV18" s="1367"/>
      <c r="AW18" s="1367"/>
      <c r="AX18" s="1367"/>
      <c r="AY18" s="1367"/>
      <c r="AZ18" s="1367"/>
      <c r="BA18" s="1367"/>
      <c r="BB18" s="1368"/>
      <c r="BC18" s="484"/>
    </row>
    <row r="19" spans="1:55" ht="9.6" customHeight="1" thickTop="1">
      <c r="A19" s="488"/>
      <c r="B19" s="489"/>
      <c r="C19" s="490"/>
      <c r="D19" s="490"/>
      <c r="E19" s="490"/>
      <c r="F19" s="490"/>
      <c r="G19" s="490"/>
      <c r="H19" s="490"/>
      <c r="I19" s="489"/>
      <c r="J19" s="489"/>
      <c r="K19" s="489"/>
      <c r="L19" s="489"/>
      <c r="M19" s="489"/>
      <c r="N19" s="489"/>
      <c r="O19" s="495"/>
      <c r="P19" s="490"/>
      <c r="Q19" s="490"/>
      <c r="R19" s="490"/>
      <c r="S19" s="490"/>
      <c r="T19" s="490"/>
      <c r="U19" s="491"/>
      <c r="V19" s="491"/>
      <c r="W19" s="491"/>
      <c r="X19" s="491"/>
      <c r="Y19" s="491"/>
      <c r="Z19" s="491"/>
      <c r="AA19" s="492"/>
      <c r="AC19" s="488"/>
      <c r="AD19" s="489"/>
      <c r="AE19" s="489"/>
      <c r="AF19" s="490"/>
      <c r="AG19" s="490"/>
      <c r="AH19" s="490"/>
      <c r="AI19" s="490"/>
      <c r="AJ19" s="490"/>
      <c r="AK19" s="490"/>
      <c r="AL19" s="490"/>
      <c r="AM19" s="490"/>
      <c r="AN19" s="490"/>
      <c r="AO19" s="490"/>
      <c r="AP19" s="490"/>
      <c r="AQ19" s="495"/>
      <c r="AR19" s="490"/>
      <c r="AS19" s="490"/>
      <c r="AT19" s="490"/>
      <c r="AU19" s="490"/>
      <c r="AV19" s="490"/>
      <c r="AW19" s="490"/>
      <c r="AX19" s="490"/>
      <c r="AY19" s="490"/>
      <c r="AZ19" s="490"/>
      <c r="BA19" s="490"/>
      <c r="BB19" s="490"/>
      <c r="BC19" s="492"/>
    </row>
    <row r="20" spans="1:55" ht="22.15" customHeight="1">
      <c r="C20" s="443"/>
      <c r="D20" s="443"/>
      <c r="E20" s="443"/>
      <c r="F20" s="443"/>
      <c r="G20" s="443"/>
      <c r="H20" s="443"/>
      <c r="I20" s="443"/>
      <c r="J20" s="443"/>
      <c r="K20" s="443"/>
      <c r="L20" s="443"/>
      <c r="M20" s="443"/>
      <c r="N20" s="443"/>
      <c r="O20" s="443"/>
      <c r="P20" s="443"/>
      <c r="Q20" s="443"/>
      <c r="R20" s="443"/>
      <c r="S20" s="443"/>
      <c r="T20" s="443"/>
      <c r="U20" s="443"/>
      <c r="V20" s="443"/>
      <c r="W20" s="443"/>
      <c r="X20" s="443"/>
      <c r="Y20" s="443"/>
      <c r="AD20" s="443"/>
      <c r="AE20" s="443"/>
      <c r="AF20" s="443"/>
      <c r="AG20" s="443"/>
      <c r="AH20" s="443"/>
      <c r="AI20" s="443"/>
      <c r="AJ20" s="443"/>
      <c r="AK20" s="443"/>
      <c r="AL20" s="443"/>
      <c r="AM20" s="443"/>
      <c r="AN20" s="443"/>
      <c r="AO20" s="443"/>
      <c r="AP20" s="443"/>
      <c r="AQ20" s="443"/>
      <c r="AR20" s="443"/>
      <c r="AS20" s="443"/>
      <c r="AT20" s="443"/>
      <c r="AU20" s="443"/>
      <c r="AV20" s="443"/>
      <c r="AW20" s="443"/>
      <c r="AX20" s="443"/>
      <c r="AY20" s="443"/>
      <c r="AZ20" s="443"/>
    </row>
    <row r="21" spans="1:55" s="67" customFormat="1" ht="22.15" customHeight="1">
      <c r="A21" s="1406">
        <f>LED計算式!L43</f>
        <v>0</v>
      </c>
      <c r="B21" s="1407"/>
      <c r="C21" s="1407"/>
      <c r="D21" s="1407"/>
      <c r="E21" s="1407"/>
      <c r="F21" s="1407"/>
      <c r="G21" s="1407"/>
      <c r="H21" s="1407"/>
      <c r="I21" s="1407"/>
      <c r="J21" s="1407"/>
      <c r="K21" s="1407"/>
      <c r="L21" s="1407"/>
      <c r="M21" s="1407"/>
      <c r="N21" s="1407"/>
      <c r="O21" s="1407"/>
      <c r="P21" s="1407"/>
      <c r="Q21" s="1407"/>
      <c r="R21" s="1407"/>
      <c r="S21" s="1407"/>
      <c r="T21" s="1407"/>
      <c r="U21" s="1407"/>
      <c r="V21" s="1407"/>
      <c r="W21" s="1407"/>
      <c r="X21" s="1407"/>
      <c r="Y21" s="1407"/>
      <c r="Z21" s="1407"/>
      <c r="AA21" s="1408"/>
      <c r="AC21" s="1409">
        <f>LED計算式!Q43</f>
        <v>0</v>
      </c>
      <c r="AD21" s="1410"/>
      <c r="AE21" s="1410"/>
      <c r="AF21" s="1410"/>
      <c r="AG21" s="1410"/>
      <c r="AH21" s="1410"/>
      <c r="AI21" s="1410"/>
      <c r="AJ21" s="1410"/>
      <c r="AK21" s="1410"/>
      <c r="AL21" s="1410"/>
      <c r="AM21" s="1410"/>
      <c r="AN21" s="1410"/>
      <c r="AO21" s="1410"/>
      <c r="AP21" s="1410"/>
      <c r="AQ21" s="1410"/>
      <c r="AR21" s="1410"/>
      <c r="AS21" s="1410"/>
      <c r="AT21" s="1410"/>
      <c r="AU21" s="1410"/>
      <c r="AV21" s="1410"/>
      <c r="AW21" s="1410"/>
      <c r="AX21" s="1410"/>
      <c r="AY21" s="1410"/>
      <c r="AZ21" s="1410"/>
      <c r="BA21" s="1410"/>
      <c r="BB21" s="1410"/>
      <c r="BC21" s="1411"/>
    </row>
    <row r="22" spans="1:55" ht="22.15" customHeight="1">
      <c r="A22" s="1412" t="s">
        <v>450</v>
      </c>
      <c r="B22" s="1413"/>
      <c r="C22" s="1413"/>
      <c r="D22" s="1413"/>
      <c r="E22" s="1413"/>
      <c r="F22" s="1413"/>
      <c r="G22" s="1413"/>
      <c r="H22" s="1413"/>
      <c r="I22" s="1413"/>
      <c r="J22" s="1413"/>
      <c r="K22" s="1413"/>
      <c r="L22" s="1413"/>
      <c r="M22" s="1413"/>
      <c r="N22" s="1413"/>
      <c r="O22" s="1414"/>
      <c r="P22" s="1415" t="s">
        <v>451</v>
      </c>
      <c r="Q22" s="1413"/>
      <c r="R22" s="1413"/>
      <c r="S22" s="1413"/>
      <c r="T22" s="1413"/>
      <c r="U22" s="1413"/>
      <c r="V22" s="1413"/>
      <c r="W22" s="1413"/>
      <c r="X22" s="1413"/>
      <c r="Y22" s="1413"/>
      <c r="Z22" s="1413"/>
      <c r="AA22" s="1416"/>
      <c r="AC22" s="1417" t="s">
        <v>450</v>
      </c>
      <c r="AD22" s="1418"/>
      <c r="AE22" s="1418"/>
      <c r="AF22" s="1418"/>
      <c r="AG22" s="1418"/>
      <c r="AH22" s="1418"/>
      <c r="AI22" s="1418"/>
      <c r="AJ22" s="1418"/>
      <c r="AK22" s="1418"/>
      <c r="AL22" s="1418"/>
      <c r="AM22" s="1418"/>
      <c r="AN22" s="1418"/>
      <c r="AO22" s="1418"/>
      <c r="AP22" s="1418"/>
      <c r="AQ22" s="1419"/>
      <c r="AR22" s="1420" t="s">
        <v>451</v>
      </c>
      <c r="AS22" s="1418"/>
      <c r="AT22" s="1418"/>
      <c r="AU22" s="1418"/>
      <c r="AV22" s="1418"/>
      <c r="AW22" s="1418"/>
      <c r="AX22" s="1418"/>
      <c r="AY22" s="1418"/>
      <c r="AZ22" s="1418"/>
      <c r="BA22" s="1418"/>
      <c r="BB22" s="1418"/>
      <c r="BC22" s="1421"/>
    </row>
    <row r="23" spans="1:55" ht="24" customHeight="1">
      <c r="A23" s="483"/>
      <c r="O23" s="493"/>
      <c r="AA23" s="484"/>
      <c r="AC23" s="483"/>
      <c r="AQ23" s="493"/>
      <c r="BC23" s="484"/>
    </row>
    <row r="24" spans="1:55" ht="24" customHeight="1">
      <c r="A24" s="483"/>
      <c r="O24" s="493"/>
      <c r="AA24" s="484"/>
      <c r="AC24" s="483"/>
      <c r="AQ24" s="493"/>
      <c r="BC24" s="484"/>
    </row>
    <row r="25" spans="1:55" ht="24" customHeight="1">
      <c r="A25" s="483"/>
      <c r="O25" s="493"/>
      <c r="AA25" s="484"/>
      <c r="AC25" s="483"/>
      <c r="AQ25" s="493"/>
      <c r="BC25" s="484"/>
    </row>
    <row r="26" spans="1:55" ht="24" customHeight="1">
      <c r="A26" s="483"/>
      <c r="O26" s="493"/>
      <c r="AA26" s="484"/>
      <c r="AC26" s="483"/>
      <c r="AQ26" s="493"/>
      <c r="BC26" s="484"/>
    </row>
    <row r="27" spans="1:55" ht="24" customHeight="1">
      <c r="A27" s="483"/>
      <c r="O27" s="493"/>
      <c r="AA27" s="484"/>
      <c r="AC27" s="483"/>
      <c r="AQ27" s="493"/>
      <c r="BC27" s="484"/>
    </row>
    <row r="28" spans="1:55" ht="24" customHeight="1">
      <c r="A28" s="483"/>
      <c r="O28" s="493"/>
      <c r="AA28" s="484"/>
      <c r="AC28" s="483"/>
      <c r="AQ28" s="493"/>
      <c r="BC28" s="484"/>
    </row>
    <row r="29" spans="1:55" ht="24" customHeight="1">
      <c r="A29" s="483"/>
      <c r="O29" s="493"/>
      <c r="AA29" s="484"/>
      <c r="AC29" s="483"/>
      <c r="AQ29" s="493"/>
      <c r="BC29" s="484"/>
    </row>
    <row r="30" spans="1:55" ht="35.65" customHeight="1" thickBot="1">
      <c r="A30" s="483"/>
      <c r="O30" s="493"/>
      <c r="AA30" s="484"/>
      <c r="AC30" s="483"/>
      <c r="AQ30" s="493"/>
      <c r="BC30" s="484"/>
    </row>
    <row r="31" spans="1:55" ht="16.899999999999999" customHeight="1" thickTop="1" thickBot="1">
      <c r="A31" s="485"/>
      <c r="B31" s="436"/>
      <c r="C31" s="436"/>
      <c r="D31" s="436"/>
      <c r="E31" s="436"/>
      <c r="F31" s="436"/>
      <c r="G31" s="437"/>
      <c r="H31" s="437"/>
      <c r="I31" s="1400" t="s">
        <v>452</v>
      </c>
      <c r="J31" s="1401"/>
      <c r="K31" s="1401"/>
      <c r="L31" s="1401"/>
      <c r="M31" s="1401"/>
      <c r="N31" s="1402"/>
      <c r="O31" s="496"/>
      <c r="P31" s="436"/>
      <c r="Q31" s="436"/>
      <c r="R31" s="436"/>
      <c r="S31" s="1351" t="s">
        <v>453</v>
      </c>
      <c r="T31" s="1352"/>
      <c r="U31" s="1352"/>
      <c r="V31" s="1352"/>
      <c r="W31" s="1352"/>
      <c r="X31" s="1352"/>
      <c r="Y31" s="1352"/>
      <c r="Z31" s="1353"/>
      <c r="AA31" s="486"/>
      <c r="AC31" s="483"/>
      <c r="AD31" s="436"/>
      <c r="AE31" s="436"/>
      <c r="AF31" s="436"/>
      <c r="AG31" s="436"/>
      <c r="AH31" s="436"/>
      <c r="AI31" s="436"/>
      <c r="AJ31" s="437"/>
      <c r="AK31" s="1403" t="s">
        <v>452</v>
      </c>
      <c r="AL31" s="1404"/>
      <c r="AM31" s="1404"/>
      <c r="AN31" s="1404"/>
      <c r="AO31" s="1404"/>
      <c r="AP31" s="1405"/>
      <c r="AQ31" s="496"/>
      <c r="AR31" s="436"/>
      <c r="AS31" s="436"/>
      <c r="AT31" s="436"/>
      <c r="AU31" s="1351" t="s">
        <v>453</v>
      </c>
      <c r="AV31" s="1352"/>
      <c r="AW31" s="1352"/>
      <c r="AX31" s="1352"/>
      <c r="AY31" s="1352"/>
      <c r="AZ31" s="1352"/>
      <c r="BA31" s="1352"/>
      <c r="BB31" s="1353"/>
      <c r="BC31" s="486"/>
    </row>
    <row r="32" spans="1:55" ht="16.899999999999999" customHeight="1" thickTop="1">
      <c r="A32" s="485"/>
      <c r="B32" s="436"/>
      <c r="C32" s="436"/>
      <c r="D32" s="436"/>
      <c r="E32" s="436"/>
      <c r="F32" s="436"/>
      <c r="G32" s="437"/>
      <c r="H32" s="437"/>
      <c r="I32" s="1377">
        <f ca="1">LED計算式!M61</f>
        <v>0</v>
      </c>
      <c r="J32" s="1378"/>
      <c r="K32" s="1378"/>
      <c r="L32" s="1378"/>
      <c r="M32" s="1378"/>
      <c r="N32" s="1379"/>
      <c r="O32" s="496"/>
      <c r="P32" s="436"/>
      <c r="Q32" s="436"/>
      <c r="R32" s="436"/>
      <c r="S32" s="1354" t="str">
        <f ca="1">IFERROR(S35/((LED計算式!M57+LED計算式!M58)-(LED計算式!N58+LED計算式!N57))/12,"0")</f>
        <v>0</v>
      </c>
      <c r="T32" s="1355"/>
      <c r="U32" s="1355"/>
      <c r="V32" s="1355"/>
      <c r="W32" s="1355"/>
      <c r="X32" s="1355"/>
      <c r="Y32" s="1355"/>
      <c r="Z32" s="1356"/>
      <c r="AA32" s="486"/>
      <c r="AC32" s="483"/>
      <c r="AD32" s="436"/>
      <c r="AE32" s="436"/>
      <c r="AF32" s="436"/>
      <c r="AG32" s="436"/>
      <c r="AH32" s="436"/>
      <c r="AI32" s="436"/>
      <c r="AJ32" s="437"/>
      <c r="AK32" s="1377">
        <f ca="1">LED計算式!R61</f>
        <v>0</v>
      </c>
      <c r="AL32" s="1378"/>
      <c r="AM32" s="1378"/>
      <c r="AN32" s="1378"/>
      <c r="AO32" s="1378"/>
      <c r="AP32" s="1379"/>
      <c r="AQ32" s="496"/>
      <c r="AR32" s="436"/>
      <c r="AS32" s="436"/>
      <c r="AT32" s="436"/>
      <c r="AU32" s="1354" t="str">
        <f ca="1">IFERROR(AU35/((LED計算式!R57+LED計算式!R58)-(LED計算式!S58+LED計算式!S57))/12,"0")</f>
        <v>0</v>
      </c>
      <c r="AV32" s="1355"/>
      <c r="AW32" s="1355"/>
      <c r="AX32" s="1355"/>
      <c r="AY32" s="1355"/>
      <c r="AZ32" s="1355"/>
      <c r="BA32" s="1355"/>
      <c r="BB32" s="1356"/>
      <c r="BC32" s="486"/>
    </row>
    <row r="33" spans="1:55" ht="16.899999999999999" customHeight="1" thickBot="1">
      <c r="A33" s="497"/>
      <c r="B33" s="444"/>
      <c r="I33" s="1400" t="s">
        <v>454</v>
      </c>
      <c r="J33" s="1401"/>
      <c r="K33" s="1401"/>
      <c r="L33" s="1401"/>
      <c r="M33" s="1401"/>
      <c r="N33" s="1402"/>
      <c r="O33" s="493"/>
      <c r="Q33" s="444"/>
      <c r="R33" s="444"/>
      <c r="S33" s="1357"/>
      <c r="T33" s="1358"/>
      <c r="U33" s="1358"/>
      <c r="V33" s="1358"/>
      <c r="W33" s="1358"/>
      <c r="X33" s="1358"/>
      <c r="Y33" s="1358"/>
      <c r="Z33" s="1359"/>
      <c r="AA33" s="487"/>
      <c r="AC33" s="483"/>
      <c r="AD33" s="440"/>
      <c r="AE33" s="444"/>
      <c r="AK33" s="1403" t="s">
        <v>454</v>
      </c>
      <c r="AL33" s="1404"/>
      <c r="AM33" s="1404"/>
      <c r="AN33" s="1404"/>
      <c r="AO33" s="1404"/>
      <c r="AP33" s="1405"/>
      <c r="AQ33" s="493"/>
      <c r="AT33" s="444"/>
      <c r="AU33" s="1357"/>
      <c r="AV33" s="1358"/>
      <c r="AW33" s="1358"/>
      <c r="AX33" s="1358"/>
      <c r="AY33" s="1358"/>
      <c r="AZ33" s="1358"/>
      <c r="BA33" s="1358"/>
      <c r="BB33" s="1359"/>
      <c r="BC33" s="487"/>
    </row>
    <row r="34" spans="1:55" ht="16.899999999999999" customHeight="1" thickTop="1" thickBot="1">
      <c r="A34" s="483"/>
      <c r="I34" s="1377">
        <f>LED計算式!M62</f>
        <v>0</v>
      </c>
      <c r="J34" s="1378"/>
      <c r="K34" s="1378"/>
      <c r="L34" s="1378"/>
      <c r="M34" s="1378"/>
      <c r="N34" s="1379"/>
      <c r="O34" s="493"/>
      <c r="S34" s="1360" t="s">
        <v>455</v>
      </c>
      <c r="T34" s="1361"/>
      <c r="U34" s="1361"/>
      <c r="V34" s="1361"/>
      <c r="W34" s="1361"/>
      <c r="X34" s="1361"/>
      <c r="Y34" s="1361"/>
      <c r="Z34" s="1362"/>
      <c r="AA34" s="484"/>
      <c r="AC34" s="483"/>
      <c r="AK34" s="1377">
        <f>LED計算式!R62</f>
        <v>0</v>
      </c>
      <c r="AL34" s="1378"/>
      <c r="AM34" s="1378"/>
      <c r="AN34" s="1378"/>
      <c r="AO34" s="1378"/>
      <c r="AP34" s="1379"/>
      <c r="AQ34" s="493"/>
      <c r="AU34" s="1360" t="s">
        <v>455</v>
      </c>
      <c r="AV34" s="1361"/>
      <c r="AW34" s="1361"/>
      <c r="AX34" s="1361"/>
      <c r="AY34" s="1361"/>
      <c r="AZ34" s="1361"/>
      <c r="BA34" s="1361"/>
      <c r="BB34" s="1362"/>
      <c r="BC34" s="484"/>
    </row>
    <row r="35" spans="1:55" ht="16.899999999999999" customHeight="1" thickTop="1">
      <c r="A35" s="483"/>
      <c r="I35" s="1400" t="s">
        <v>456</v>
      </c>
      <c r="J35" s="1401"/>
      <c r="K35" s="1401"/>
      <c r="L35" s="1401"/>
      <c r="M35" s="1401"/>
      <c r="N35" s="1402"/>
      <c r="O35" s="493"/>
      <c r="S35" s="1363">
        <f ca="1">☆入力!AO18</f>
        <v>0</v>
      </c>
      <c r="T35" s="1364"/>
      <c r="U35" s="1364"/>
      <c r="V35" s="1364"/>
      <c r="W35" s="1364"/>
      <c r="X35" s="1364"/>
      <c r="Y35" s="1364"/>
      <c r="Z35" s="1365"/>
      <c r="AA35" s="484"/>
      <c r="AC35" s="483"/>
      <c r="AK35" s="1403" t="s">
        <v>456</v>
      </c>
      <c r="AL35" s="1404"/>
      <c r="AM35" s="1404"/>
      <c r="AN35" s="1404"/>
      <c r="AO35" s="1404"/>
      <c r="AP35" s="1405"/>
      <c r="AQ35" s="493"/>
      <c r="AU35" s="1363">
        <f ca="1">☆入力!AO19</f>
        <v>0</v>
      </c>
      <c r="AV35" s="1364"/>
      <c r="AW35" s="1364"/>
      <c r="AX35" s="1364"/>
      <c r="AY35" s="1364"/>
      <c r="AZ35" s="1364"/>
      <c r="BA35" s="1364"/>
      <c r="BB35" s="1365"/>
      <c r="BC35" s="484"/>
    </row>
    <row r="36" spans="1:55" ht="16.899999999999999" customHeight="1" thickBot="1">
      <c r="A36" s="483"/>
      <c r="I36" s="1377">
        <f ca="1">LED計算式!M63</f>
        <v>0</v>
      </c>
      <c r="J36" s="1378"/>
      <c r="K36" s="1378"/>
      <c r="L36" s="1378"/>
      <c r="M36" s="1378"/>
      <c r="N36" s="1379"/>
      <c r="O36" s="493"/>
      <c r="S36" s="1366"/>
      <c r="T36" s="1367"/>
      <c r="U36" s="1367"/>
      <c r="V36" s="1367"/>
      <c r="W36" s="1367"/>
      <c r="X36" s="1367"/>
      <c r="Y36" s="1367"/>
      <c r="Z36" s="1368"/>
      <c r="AA36" s="484"/>
      <c r="AC36" s="483"/>
      <c r="AK36" s="1377">
        <f ca="1">LED計算式!R63</f>
        <v>0</v>
      </c>
      <c r="AL36" s="1378"/>
      <c r="AM36" s="1378"/>
      <c r="AN36" s="1378"/>
      <c r="AO36" s="1378"/>
      <c r="AP36" s="1379"/>
      <c r="AQ36" s="493"/>
      <c r="AU36" s="1366"/>
      <c r="AV36" s="1367"/>
      <c r="AW36" s="1367"/>
      <c r="AX36" s="1367"/>
      <c r="AY36" s="1367"/>
      <c r="AZ36" s="1367"/>
      <c r="BA36" s="1367"/>
      <c r="BB36" s="1368"/>
      <c r="BC36" s="484"/>
    </row>
    <row r="37" spans="1:55" ht="9.6" customHeight="1" thickTop="1">
      <c r="A37" s="488"/>
      <c r="B37" s="489"/>
      <c r="C37" s="489"/>
      <c r="D37" s="489"/>
      <c r="E37" s="489"/>
      <c r="F37" s="489"/>
      <c r="G37" s="489"/>
      <c r="H37" s="489"/>
      <c r="I37" s="489"/>
      <c r="J37" s="489"/>
      <c r="K37" s="489"/>
      <c r="L37" s="489"/>
      <c r="M37" s="489"/>
      <c r="N37" s="489"/>
      <c r="O37" s="498"/>
      <c r="P37" s="489"/>
      <c r="Q37" s="489"/>
      <c r="R37" s="489"/>
      <c r="S37" s="489"/>
      <c r="T37" s="489"/>
      <c r="U37" s="489"/>
      <c r="V37" s="489"/>
      <c r="W37" s="489"/>
      <c r="X37" s="489"/>
      <c r="Y37" s="489"/>
      <c r="Z37" s="489"/>
      <c r="AA37" s="492"/>
      <c r="AC37" s="488"/>
      <c r="AD37" s="489"/>
      <c r="AE37" s="489"/>
      <c r="AF37" s="489"/>
      <c r="AG37" s="489"/>
      <c r="AH37" s="489"/>
      <c r="AI37" s="489"/>
      <c r="AJ37" s="489"/>
      <c r="AK37" s="489"/>
      <c r="AL37" s="489"/>
      <c r="AM37" s="489"/>
      <c r="AN37" s="489"/>
      <c r="AO37" s="489"/>
      <c r="AP37" s="489"/>
      <c r="AQ37" s="498"/>
      <c r="AR37" s="489"/>
      <c r="AS37" s="489"/>
      <c r="AT37" s="489"/>
      <c r="AU37" s="489"/>
      <c r="AV37" s="489"/>
      <c r="AW37" s="489"/>
      <c r="AX37" s="489"/>
      <c r="AY37" s="489"/>
      <c r="AZ37" s="489"/>
      <c r="BA37" s="489"/>
      <c r="BB37" s="489"/>
      <c r="BC37" s="492"/>
    </row>
  </sheetData>
  <mergeCells count="54">
    <mergeCell ref="A1:BC1"/>
    <mergeCell ref="A3:AA3"/>
    <mergeCell ref="AC3:BC3"/>
    <mergeCell ref="A4:O4"/>
    <mergeCell ref="P4:AA4"/>
    <mergeCell ref="AC4:AQ4"/>
    <mergeCell ref="AR4:BC4"/>
    <mergeCell ref="I13:N13"/>
    <mergeCell ref="S13:Z13"/>
    <mergeCell ref="AK13:AP13"/>
    <mergeCell ref="AU13:BB13"/>
    <mergeCell ref="I14:N14"/>
    <mergeCell ref="S14:Z15"/>
    <mergeCell ref="AK14:AP14"/>
    <mergeCell ref="AU14:BB15"/>
    <mergeCell ref="I15:N15"/>
    <mergeCell ref="AK15:AP15"/>
    <mergeCell ref="I17:N17"/>
    <mergeCell ref="S17:Z18"/>
    <mergeCell ref="AK17:AP17"/>
    <mergeCell ref="AU17:BB18"/>
    <mergeCell ref="I18:N18"/>
    <mergeCell ref="AK18:AP18"/>
    <mergeCell ref="B16:G16"/>
    <mergeCell ref="I16:N16"/>
    <mergeCell ref="S16:Z16"/>
    <mergeCell ref="AK16:AP16"/>
    <mergeCell ref="AU16:BB16"/>
    <mergeCell ref="A21:AA21"/>
    <mergeCell ref="AC21:BC21"/>
    <mergeCell ref="A22:O22"/>
    <mergeCell ref="P22:AA22"/>
    <mergeCell ref="AC22:AQ22"/>
    <mergeCell ref="AR22:BC22"/>
    <mergeCell ref="I31:N31"/>
    <mergeCell ref="S31:Z31"/>
    <mergeCell ref="AK31:AP31"/>
    <mergeCell ref="AU31:BB31"/>
    <mergeCell ref="I32:N32"/>
    <mergeCell ref="S32:Z33"/>
    <mergeCell ref="AK32:AP32"/>
    <mergeCell ref="AU32:BB33"/>
    <mergeCell ref="I33:N33"/>
    <mergeCell ref="AK33:AP33"/>
    <mergeCell ref="I34:N34"/>
    <mergeCell ref="S34:Z34"/>
    <mergeCell ref="AK34:AP34"/>
    <mergeCell ref="AU34:BB34"/>
    <mergeCell ref="I35:N35"/>
    <mergeCell ref="S35:Z36"/>
    <mergeCell ref="AK35:AP35"/>
    <mergeCell ref="AU35:BB36"/>
    <mergeCell ref="I36:N36"/>
    <mergeCell ref="AK36:AP36"/>
  </mergeCells>
  <phoneticPr fontId="2"/>
  <pageMargins left="0.25" right="0.25" top="0.75" bottom="0.75" header="0.3" footer="0.3"/>
  <pageSetup paperSize="9" scale="59"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662B2-F0AE-4643-9AD2-EDC146861BD2}">
  <sheetPr>
    <tabColor rgb="FFFF99CC"/>
  </sheetPr>
  <dimension ref="A1:P28"/>
  <sheetViews>
    <sheetView workbookViewId="0">
      <selection activeCell="AM30" sqref="AM30"/>
    </sheetView>
  </sheetViews>
  <sheetFormatPr defaultColWidth="8.75" defaultRowHeight="18.75"/>
  <cols>
    <col min="1" max="1" width="1.25" style="5" customWidth="1"/>
    <col min="2" max="15" width="8.75" style="5"/>
    <col min="16" max="16" width="1.25" style="5" customWidth="1"/>
    <col min="17" max="16384" width="8.75" style="5"/>
  </cols>
  <sheetData>
    <row r="1" spans="1:16" ht="19.5" thickTop="1">
      <c r="A1" s="1428" t="s">
        <v>457</v>
      </c>
      <c r="B1" s="1429"/>
      <c r="C1" s="1429"/>
      <c r="D1" s="1429"/>
      <c r="E1" s="1429"/>
      <c r="F1" s="1429"/>
      <c r="G1" s="1429"/>
      <c r="H1" s="1429"/>
      <c r="I1" s="1429"/>
      <c r="J1" s="1429"/>
      <c r="K1" s="1429"/>
      <c r="L1" s="1429"/>
      <c r="M1" s="1429"/>
      <c r="N1" s="1429"/>
      <c r="O1" s="1429"/>
      <c r="P1" s="1430"/>
    </row>
    <row r="2" spans="1:16">
      <c r="A2" s="1431"/>
      <c r="B2" s="1432"/>
      <c r="C2" s="1432"/>
      <c r="D2" s="1432"/>
      <c r="E2" s="1432"/>
      <c r="F2" s="1432"/>
      <c r="G2" s="1432"/>
      <c r="H2" s="1432"/>
      <c r="I2" s="1432"/>
      <c r="J2" s="1432"/>
      <c r="K2" s="1432"/>
      <c r="L2" s="1432"/>
      <c r="M2" s="1432"/>
      <c r="N2" s="1432"/>
      <c r="O2" s="1432"/>
      <c r="P2" s="1433"/>
    </row>
    <row r="3" spans="1:16">
      <c r="A3" s="724"/>
      <c r="P3" s="725"/>
    </row>
    <row r="4" spans="1:16">
      <c r="A4" s="724"/>
      <c r="P4" s="725"/>
    </row>
    <row r="5" spans="1:16">
      <c r="A5" s="724"/>
      <c r="P5" s="725"/>
    </row>
    <row r="6" spans="1:16">
      <c r="A6" s="724"/>
      <c r="P6" s="725"/>
    </row>
    <row r="7" spans="1:16">
      <c r="A7" s="724"/>
      <c r="P7" s="725"/>
    </row>
    <row r="8" spans="1:16">
      <c r="A8" s="724"/>
      <c r="P8" s="725"/>
    </row>
    <row r="9" spans="1:16">
      <c r="A9" s="724"/>
      <c r="P9" s="725"/>
    </row>
    <row r="10" spans="1:16">
      <c r="A10" s="724"/>
      <c r="P10" s="725"/>
    </row>
    <row r="11" spans="1:16">
      <c r="A11" s="724"/>
      <c r="P11" s="725"/>
    </row>
    <row r="12" spans="1:16">
      <c r="A12" s="724"/>
      <c r="P12" s="725"/>
    </row>
    <row r="13" spans="1:16">
      <c r="A13" s="724"/>
      <c r="P13" s="725"/>
    </row>
    <row r="14" spans="1:16">
      <c r="A14" s="724"/>
      <c r="P14" s="725"/>
    </row>
    <row r="15" spans="1:16">
      <c r="A15" s="724"/>
      <c r="P15" s="725"/>
    </row>
    <row r="16" spans="1:16">
      <c r="A16" s="724"/>
      <c r="P16" s="725"/>
    </row>
    <row r="17" spans="1:16">
      <c r="A17" s="724"/>
      <c r="P17" s="725"/>
    </row>
    <row r="18" spans="1:16">
      <c r="A18" s="724"/>
      <c r="P18" s="725"/>
    </row>
    <row r="19" spans="1:16">
      <c r="A19" s="724"/>
      <c r="P19" s="725"/>
    </row>
    <row r="20" spans="1:16">
      <c r="A20" s="724"/>
      <c r="B20" s="1434" t="s">
        <v>458</v>
      </c>
      <c r="C20" s="1434"/>
      <c r="D20" s="1434"/>
      <c r="E20" s="1434"/>
      <c r="F20" s="1434"/>
      <c r="G20" s="1434"/>
      <c r="P20" s="725"/>
    </row>
    <row r="21" spans="1:16">
      <c r="A21" s="724"/>
      <c r="B21" s="1437" t="s">
        <v>459</v>
      </c>
      <c r="C21" s="1437"/>
      <c r="D21" s="1437"/>
      <c r="E21" s="1437"/>
      <c r="F21" s="1435">
        <f>LED計算式!AJ2*120</f>
        <v>0</v>
      </c>
      <c r="G21" s="1435"/>
      <c r="P21" s="725"/>
    </row>
    <row r="22" spans="1:16">
      <c r="A22" s="724"/>
      <c r="B22" s="1437"/>
      <c r="C22" s="1437"/>
      <c r="D22" s="1437"/>
      <c r="E22" s="1437"/>
      <c r="F22" s="1435"/>
      <c r="G22" s="1435"/>
      <c r="P22" s="725"/>
    </row>
    <row r="23" spans="1:16">
      <c r="A23" s="724"/>
      <c r="B23" s="1437" t="s">
        <v>460</v>
      </c>
      <c r="C23" s="1437"/>
      <c r="D23" s="1437"/>
      <c r="E23" s="1437"/>
      <c r="F23" s="1435">
        <f>LED計算式!AK2*120</f>
        <v>0</v>
      </c>
      <c r="G23" s="1435"/>
      <c r="P23" s="725"/>
    </row>
    <row r="24" spans="1:16">
      <c r="A24" s="724"/>
      <c r="B24" s="1437"/>
      <c r="C24" s="1437"/>
      <c r="D24" s="1437"/>
      <c r="E24" s="1437"/>
      <c r="F24" s="1435"/>
      <c r="G24" s="1435"/>
      <c r="P24" s="725"/>
    </row>
    <row r="25" spans="1:16">
      <c r="A25" s="724"/>
      <c r="B25" s="1437" t="s">
        <v>461</v>
      </c>
      <c r="C25" s="1437"/>
      <c r="D25" s="1437"/>
      <c r="E25" s="1437"/>
      <c r="F25" s="1436">
        <f>F23-F21</f>
        <v>0</v>
      </c>
      <c r="G25" s="1436"/>
      <c r="P25" s="725"/>
    </row>
    <row r="26" spans="1:16">
      <c r="A26" s="724"/>
      <c r="B26" s="1437"/>
      <c r="C26" s="1437"/>
      <c r="D26" s="1437"/>
      <c r="E26" s="1437"/>
      <c r="F26" s="1436"/>
      <c r="G26" s="1436"/>
      <c r="P26" s="725"/>
    </row>
    <row r="27" spans="1:16" ht="19.5" thickBot="1">
      <c r="A27" s="726"/>
      <c r="B27" s="727"/>
      <c r="C27" s="727"/>
      <c r="D27" s="727"/>
      <c r="E27" s="727"/>
      <c r="F27" s="727"/>
      <c r="G27" s="727"/>
      <c r="H27" s="727"/>
      <c r="I27" s="727"/>
      <c r="J27" s="727"/>
      <c r="K27" s="727"/>
      <c r="L27" s="727"/>
      <c r="M27" s="727"/>
      <c r="N27" s="727"/>
      <c r="O27" s="727"/>
      <c r="P27" s="728"/>
    </row>
    <row r="28" spans="1:16" ht="19.5" thickTop="1"/>
  </sheetData>
  <mergeCells count="8">
    <mergeCell ref="A1:P2"/>
    <mergeCell ref="B20:G20"/>
    <mergeCell ref="F21:G22"/>
    <mergeCell ref="F23:G24"/>
    <mergeCell ref="F25:G26"/>
    <mergeCell ref="B21:E22"/>
    <mergeCell ref="B23:E24"/>
    <mergeCell ref="B25:E26"/>
  </mergeCells>
  <phoneticPr fontId="2"/>
  <printOptions horizontalCentered="1" verticalCentered="1"/>
  <pageMargins left="0.23622047244094491" right="0.23622047244094491" top="0.74803149606299213" bottom="0.74803149606299213" header="0.31496062992125984" footer="0.31496062992125984"/>
  <pageSetup paperSize="9" orientation="landscape" horizontalDpi="300" verticalDpi="30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DBB6B-F7CD-4EA0-92C2-64DED96B840E}">
  <sheetPr>
    <tabColor rgb="FF92D050"/>
  </sheetPr>
  <dimension ref="A1:AF80"/>
  <sheetViews>
    <sheetView view="pageBreakPreview" zoomScale="70" zoomScaleNormal="70" zoomScaleSheetLayoutView="70" workbookViewId="0">
      <selection activeCell="H49" sqref="H49"/>
    </sheetView>
  </sheetViews>
  <sheetFormatPr defaultColWidth="15.25" defaultRowHeight="18.75" outlineLevelRow="1"/>
  <cols>
    <col min="1" max="1" width="15.25" style="6"/>
    <col min="2" max="7" width="15.25" style="5"/>
    <col min="8" max="8" width="15.25" style="6"/>
    <col min="9" max="14" width="15.25" style="5"/>
    <col min="15" max="15" width="15.25" style="6"/>
    <col min="16" max="21" width="15.25" style="5"/>
    <col min="22" max="22" width="15.25" style="6"/>
    <col min="23" max="28" width="15.25" style="5"/>
    <col min="29" max="29" width="15.25" style="6"/>
    <col min="30" max="16384" width="15.25" style="5"/>
  </cols>
  <sheetData>
    <row r="1" spans="1:32" ht="17.649999999999999" customHeight="1">
      <c r="A1" s="1438" t="s">
        <v>462</v>
      </c>
      <c r="B1" s="1438"/>
      <c r="C1" s="1438"/>
      <c r="D1" s="1438"/>
      <c r="E1" s="1438"/>
      <c r="F1" s="1438"/>
      <c r="G1" s="1438"/>
      <c r="H1" s="1438"/>
      <c r="I1" s="1438" t="s">
        <v>463</v>
      </c>
      <c r="J1" s="1438"/>
      <c r="K1" s="1438"/>
      <c r="L1" s="1438"/>
      <c r="M1" s="1438"/>
      <c r="N1" s="1438"/>
      <c r="O1" s="1438"/>
      <c r="P1" s="1438"/>
      <c r="Q1" s="1438" t="s">
        <v>464</v>
      </c>
      <c r="R1" s="1438"/>
      <c r="S1" s="1438"/>
      <c r="T1" s="1438"/>
      <c r="U1" s="1438"/>
      <c r="V1" s="1438"/>
      <c r="W1" s="1438"/>
      <c r="X1" s="1438"/>
      <c r="Y1" s="1438" t="s">
        <v>464</v>
      </c>
      <c r="Z1" s="1438"/>
      <c r="AA1" s="1438"/>
      <c r="AB1" s="1438"/>
      <c r="AC1" s="1438"/>
      <c r="AD1" s="1438"/>
      <c r="AE1" s="1438"/>
      <c r="AF1" s="594"/>
    </row>
    <row r="2" spans="1:32" ht="17.649999999999999" customHeight="1">
      <c r="A2" s="1438"/>
      <c r="B2" s="1438"/>
      <c r="C2" s="1438"/>
      <c r="D2" s="1438"/>
      <c r="E2" s="1438"/>
      <c r="F2" s="1438"/>
      <c r="G2" s="1438"/>
      <c r="H2" s="1438"/>
      <c r="I2" s="1438"/>
      <c r="J2" s="1438"/>
      <c r="K2" s="1438"/>
      <c r="L2" s="1438"/>
      <c r="M2" s="1438"/>
      <c r="N2" s="1438"/>
      <c r="O2" s="1438"/>
      <c r="P2" s="1438"/>
      <c r="Q2" s="1438"/>
      <c r="R2" s="1438"/>
      <c r="S2" s="1438"/>
      <c r="T2" s="1438"/>
      <c r="U2" s="1438"/>
      <c r="V2" s="1438"/>
      <c r="W2" s="1438"/>
      <c r="X2" s="1438"/>
      <c r="Y2" s="1438"/>
      <c r="Z2" s="1438"/>
      <c r="AA2" s="1438"/>
      <c r="AB2" s="1438"/>
      <c r="AC2" s="1438"/>
      <c r="AD2" s="1438"/>
      <c r="AE2" s="1438"/>
      <c r="AF2" s="594"/>
    </row>
    <row r="3" spans="1:32">
      <c r="A3" s="121"/>
    </row>
    <row r="4" spans="1:32" s="21" customFormat="1" ht="15">
      <c r="A4" s="564" t="s">
        <v>366</v>
      </c>
      <c r="B4" s="564">
        <v>1</v>
      </c>
      <c r="C4" s="564">
        <v>2</v>
      </c>
      <c r="D4" s="564">
        <v>3</v>
      </c>
      <c r="E4" s="564">
        <v>4</v>
      </c>
      <c r="F4" s="564">
        <v>5</v>
      </c>
      <c r="G4" s="564">
        <v>6</v>
      </c>
      <c r="H4" s="564">
        <v>7</v>
      </c>
      <c r="I4" s="564">
        <v>8</v>
      </c>
      <c r="J4" s="564">
        <v>9</v>
      </c>
      <c r="K4" s="564">
        <v>10</v>
      </c>
      <c r="L4" s="564">
        <v>11</v>
      </c>
      <c r="M4" s="564">
        <v>12</v>
      </c>
      <c r="N4" s="564">
        <v>13</v>
      </c>
      <c r="O4" s="564">
        <v>14</v>
      </c>
      <c r="P4" s="564">
        <v>15</v>
      </c>
      <c r="Q4" s="564">
        <v>16</v>
      </c>
      <c r="R4" s="564">
        <v>17</v>
      </c>
      <c r="S4" s="564">
        <v>18</v>
      </c>
      <c r="T4" s="564">
        <v>19</v>
      </c>
      <c r="U4" s="564">
        <v>20</v>
      </c>
      <c r="V4" s="564">
        <v>21</v>
      </c>
      <c r="W4" s="564">
        <v>22</v>
      </c>
      <c r="X4" s="564">
        <v>23</v>
      </c>
      <c r="Y4" s="564">
        <v>24</v>
      </c>
      <c r="Z4" s="564">
        <v>25</v>
      </c>
      <c r="AA4" s="564">
        <v>26</v>
      </c>
      <c r="AB4" s="564">
        <v>27</v>
      </c>
      <c r="AC4" s="564">
        <v>28</v>
      </c>
      <c r="AD4" s="564">
        <v>29</v>
      </c>
      <c r="AE4" s="564">
        <v>30</v>
      </c>
    </row>
    <row r="5" spans="1:32" s="21" customFormat="1" ht="15">
      <c r="A5" s="597" t="s">
        <v>87</v>
      </c>
      <c r="B5" s="597" t="str">
        <f>☆入力!$B$16</f>
        <v/>
      </c>
      <c r="C5" s="597" t="str">
        <f>☆入力!$B$17</f>
        <v/>
      </c>
      <c r="D5" s="597" t="str">
        <f>☆入力!$B$18</f>
        <v/>
      </c>
      <c r="E5" s="597" t="str">
        <f>☆入力!$B$19</f>
        <v/>
      </c>
      <c r="F5" s="597" t="str">
        <f>☆入力!$B$20</f>
        <v/>
      </c>
      <c r="G5" s="597" t="str">
        <f>☆入力!$B$21</f>
        <v/>
      </c>
      <c r="H5" s="597" t="str">
        <f>☆入力!$B$22</f>
        <v/>
      </c>
      <c r="I5" s="597" t="str">
        <f>☆入力!$B$23</f>
        <v/>
      </c>
      <c r="J5" s="597" t="str">
        <f>☆入力!$B$24</f>
        <v/>
      </c>
      <c r="K5" s="597" t="str">
        <f>☆入力!$B$25</f>
        <v/>
      </c>
      <c r="L5" s="597" t="str">
        <f>☆入力!$B$26</f>
        <v/>
      </c>
      <c r="M5" s="597" t="str">
        <f>☆入力!$B$27</f>
        <v/>
      </c>
      <c r="N5" s="597" t="str">
        <f>☆入力!$B$28</f>
        <v/>
      </c>
      <c r="O5" s="597" t="str">
        <f>☆入力!$B$29</f>
        <v/>
      </c>
      <c r="P5" s="597" t="str">
        <f>☆入力!$B$30</f>
        <v/>
      </c>
      <c r="Q5" s="597" t="str">
        <f>☆入力!$B$31</f>
        <v/>
      </c>
      <c r="R5" s="597" t="str">
        <f>☆入力!$B$32</f>
        <v/>
      </c>
      <c r="S5" s="597" t="str">
        <f>☆入力!$B$33</f>
        <v/>
      </c>
      <c r="T5" s="597" t="str">
        <f>☆入力!$B$34</f>
        <v/>
      </c>
      <c r="U5" s="597" t="str">
        <f>☆入力!$B$35</f>
        <v/>
      </c>
      <c r="V5" s="597" t="str">
        <f>☆入力!$B$36</f>
        <v/>
      </c>
      <c r="W5" s="597" t="str">
        <f>☆入力!$B$37</f>
        <v/>
      </c>
      <c r="X5" s="597" t="str">
        <f>☆入力!$B$38</f>
        <v/>
      </c>
      <c r="Y5" s="597" t="str">
        <f>☆入力!$B$39</f>
        <v/>
      </c>
      <c r="Z5" s="597" t="str">
        <f>☆入力!$B$40</f>
        <v/>
      </c>
      <c r="AA5" s="597" t="str">
        <f>☆入力!$B$41</f>
        <v/>
      </c>
      <c r="AB5" s="597" t="str">
        <f>☆入力!$B$42</f>
        <v/>
      </c>
      <c r="AC5" s="597" t="str">
        <f>☆入力!$B$43</f>
        <v/>
      </c>
      <c r="AD5" s="597" t="str">
        <f>☆入力!$B$44</f>
        <v/>
      </c>
      <c r="AE5" s="597" t="str">
        <f>☆入力!$B$45</f>
        <v/>
      </c>
    </row>
    <row r="6" spans="1:32" s="21" customFormat="1" ht="15">
      <c r="A6" s="565" t="s">
        <v>413</v>
      </c>
      <c r="B6" s="565">
        <f>☆入力!$C$16</f>
        <v>0</v>
      </c>
      <c r="C6" s="565">
        <f>☆入力!$C$17</f>
        <v>0</v>
      </c>
      <c r="D6" s="565">
        <f>☆入力!$C$18</f>
        <v>0</v>
      </c>
      <c r="E6" s="565">
        <f>☆入力!$C$19</f>
        <v>0</v>
      </c>
      <c r="F6" s="565">
        <f>☆入力!$C$20</f>
        <v>0</v>
      </c>
      <c r="G6" s="565">
        <f>☆入力!$C$21</f>
        <v>0</v>
      </c>
      <c r="H6" s="565">
        <f>☆入力!$C$22</f>
        <v>0</v>
      </c>
      <c r="I6" s="565">
        <f>☆入力!$C$23</f>
        <v>0</v>
      </c>
      <c r="J6" s="565">
        <f>☆入力!$C$24</f>
        <v>0</v>
      </c>
      <c r="K6" s="565">
        <f>☆入力!$C$25</f>
        <v>0</v>
      </c>
      <c r="L6" s="565">
        <f>☆入力!$C$26</f>
        <v>0</v>
      </c>
      <c r="M6" s="565">
        <f>☆入力!$C$27</f>
        <v>0</v>
      </c>
      <c r="N6" s="565">
        <f>☆入力!$C$28</f>
        <v>0</v>
      </c>
      <c r="O6" s="565">
        <f>☆入力!$C$29</f>
        <v>0</v>
      </c>
      <c r="P6" s="565">
        <f>☆入力!$C$30</f>
        <v>0</v>
      </c>
      <c r="Q6" s="565">
        <f>☆入力!$C$31</f>
        <v>0</v>
      </c>
      <c r="R6" s="565">
        <f>☆入力!$C$32</f>
        <v>0</v>
      </c>
      <c r="S6" s="565">
        <f>☆入力!$C$33</f>
        <v>0</v>
      </c>
      <c r="T6" s="565">
        <f>☆入力!$C$34</f>
        <v>0</v>
      </c>
      <c r="U6" s="565">
        <f>☆入力!$C$35</f>
        <v>0</v>
      </c>
      <c r="V6" s="565">
        <f>☆入力!$C$36</f>
        <v>0</v>
      </c>
      <c r="W6" s="565">
        <f>☆入力!$C$37</f>
        <v>0</v>
      </c>
      <c r="X6" s="565">
        <f>☆入力!$C$38</f>
        <v>0</v>
      </c>
      <c r="Y6" s="565">
        <f>☆入力!$C$39</f>
        <v>0</v>
      </c>
      <c r="Z6" s="565">
        <f>☆入力!$C$40</f>
        <v>0</v>
      </c>
      <c r="AA6" s="565">
        <f>☆入力!$C$41</f>
        <v>0</v>
      </c>
      <c r="AB6" s="565">
        <f>☆入力!$C$42</f>
        <v>0</v>
      </c>
      <c r="AC6" s="565">
        <f>☆入力!$C$43</f>
        <v>0</v>
      </c>
      <c r="AD6" s="565">
        <f>☆入力!$C$44</f>
        <v>0</v>
      </c>
      <c r="AE6" s="565">
        <f>☆入力!$C$45</f>
        <v>0</v>
      </c>
    </row>
    <row r="7" spans="1:32" s="21" customFormat="1" ht="70.900000000000006" customHeight="1">
      <c r="A7" s="564" t="s">
        <v>465</v>
      </c>
      <c r="B7" s="580" t="s">
        <v>466</v>
      </c>
      <c r="C7" s="580" t="s">
        <v>466</v>
      </c>
      <c r="D7" s="580" t="s">
        <v>466</v>
      </c>
      <c r="E7" s="580" t="s">
        <v>466</v>
      </c>
      <c r="F7" s="580" t="s">
        <v>466</v>
      </c>
      <c r="G7" s="580" t="s">
        <v>466</v>
      </c>
      <c r="H7" s="580" t="s">
        <v>466</v>
      </c>
      <c r="I7" s="580" t="s">
        <v>466</v>
      </c>
      <c r="J7" s="580" t="s">
        <v>466</v>
      </c>
      <c r="K7" s="580" t="s">
        <v>466</v>
      </c>
      <c r="L7" s="580" t="s">
        <v>466</v>
      </c>
      <c r="M7" s="580" t="s">
        <v>466</v>
      </c>
      <c r="N7" s="580" t="s">
        <v>466</v>
      </c>
      <c r="O7" s="580" t="s">
        <v>466</v>
      </c>
      <c r="P7" s="580" t="s">
        <v>466</v>
      </c>
      <c r="Q7" s="580" t="s">
        <v>466</v>
      </c>
      <c r="R7" s="580" t="s">
        <v>466</v>
      </c>
      <c r="S7" s="580" t="s">
        <v>466</v>
      </c>
      <c r="T7" s="580" t="s">
        <v>466</v>
      </c>
      <c r="U7" s="580" t="s">
        <v>466</v>
      </c>
      <c r="V7" s="580" t="s">
        <v>466</v>
      </c>
      <c r="W7" s="580" t="s">
        <v>466</v>
      </c>
      <c r="X7" s="580" t="s">
        <v>466</v>
      </c>
      <c r="Y7" s="580" t="s">
        <v>466</v>
      </c>
      <c r="Z7" s="580" t="s">
        <v>466</v>
      </c>
      <c r="AA7" s="580" t="s">
        <v>466</v>
      </c>
      <c r="AB7" s="580" t="s">
        <v>466</v>
      </c>
      <c r="AC7" s="580" t="s">
        <v>466</v>
      </c>
      <c r="AD7" s="580" t="s">
        <v>466</v>
      </c>
      <c r="AE7" s="580" t="s">
        <v>466</v>
      </c>
    </row>
    <row r="8" spans="1:32" s="21" customFormat="1" ht="15">
      <c r="A8" s="564" t="s">
        <v>467</v>
      </c>
      <c r="B8" s="566">
        <f>☆入力!$L$16</f>
        <v>0</v>
      </c>
      <c r="C8" s="566">
        <f>☆入力!$L$17</f>
        <v>0</v>
      </c>
      <c r="D8" s="566">
        <f>☆入力!$L$18</f>
        <v>0</v>
      </c>
      <c r="E8" s="566">
        <f>☆入力!$L$19</f>
        <v>0</v>
      </c>
      <c r="F8" s="566">
        <f>☆入力!$L$20</f>
        <v>0</v>
      </c>
      <c r="G8" s="566">
        <f>☆入力!$L$21</f>
        <v>0</v>
      </c>
      <c r="H8" s="566">
        <f>☆入力!$L$22</f>
        <v>0</v>
      </c>
      <c r="I8" s="566">
        <f>☆入力!$L$23</f>
        <v>0</v>
      </c>
      <c r="J8" s="566">
        <f>☆入力!$L$24</f>
        <v>0</v>
      </c>
      <c r="K8" s="566">
        <f>☆入力!$L$25</f>
        <v>0</v>
      </c>
      <c r="L8" s="566">
        <f>☆入力!$L$26</f>
        <v>0</v>
      </c>
      <c r="M8" s="566">
        <f>☆入力!$L$27</f>
        <v>0</v>
      </c>
      <c r="N8" s="566">
        <f>☆入力!$L$28</f>
        <v>0</v>
      </c>
      <c r="O8" s="566">
        <f>☆入力!$L$29</f>
        <v>0</v>
      </c>
      <c r="P8" s="566">
        <f>☆入力!$L$30</f>
        <v>0</v>
      </c>
      <c r="Q8" s="566">
        <f>☆入力!$L$31</f>
        <v>0</v>
      </c>
      <c r="R8" s="566">
        <f>☆入力!$L$32</f>
        <v>0</v>
      </c>
      <c r="S8" s="566">
        <f>☆入力!$L$33</f>
        <v>0</v>
      </c>
      <c r="T8" s="566">
        <f>☆入力!$L$34</f>
        <v>0</v>
      </c>
      <c r="U8" s="566">
        <f>☆入力!$L$35</f>
        <v>0</v>
      </c>
      <c r="V8" s="566">
        <f>☆入力!$L$36</f>
        <v>0</v>
      </c>
      <c r="W8" s="566">
        <f>☆入力!$L$37</f>
        <v>0</v>
      </c>
      <c r="X8" s="566">
        <f>☆入力!$L$38</f>
        <v>0</v>
      </c>
      <c r="Y8" s="566">
        <f>☆入力!$L$39</f>
        <v>0</v>
      </c>
      <c r="Z8" s="566">
        <f>☆入力!$L$40</f>
        <v>0</v>
      </c>
      <c r="AA8" s="566">
        <f>☆入力!$L$41</f>
        <v>0</v>
      </c>
      <c r="AB8" s="566">
        <f>☆入力!$L$42</f>
        <v>0</v>
      </c>
      <c r="AC8" s="566">
        <f>☆入力!$L$43</f>
        <v>0</v>
      </c>
      <c r="AD8" s="566">
        <f>☆入力!$L$44</f>
        <v>0</v>
      </c>
      <c r="AE8" s="566">
        <f>☆入力!$L$45</f>
        <v>0</v>
      </c>
    </row>
    <row r="9" spans="1:32" s="581" customFormat="1" ht="15.75" outlineLevel="1" thickBot="1">
      <c r="A9" s="567" t="s">
        <v>468</v>
      </c>
      <c r="B9" s="567">
        <f>☆入力!$H$16</f>
        <v>0</v>
      </c>
      <c r="C9" s="567">
        <f>☆入力!$H$17</f>
        <v>0</v>
      </c>
      <c r="D9" s="567">
        <f>☆入力!$H$18</f>
        <v>0</v>
      </c>
      <c r="E9" s="567">
        <f>☆入力!$H$19</f>
        <v>0</v>
      </c>
      <c r="F9" s="567">
        <f>☆入力!$H$20</f>
        <v>0</v>
      </c>
      <c r="G9" s="567">
        <f>☆入力!$H$21</f>
        <v>0</v>
      </c>
      <c r="H9" s="567">
        <f>☆入力!$H$22</f>
        <v>0</v>
      </c>
      <c r="I9" s="567">
        <f>☆入力!$H$23</f>
        <v>0</v>
      </c>
      <c r="J9" s="567">
        <f>☆入力!$H$24</f>
        <v>0</v>
      </c>
      <c r="K9" s="567">
        <f>☆入力!$H$25</f>
        <v>0</v>
      </c>
      <c r="L9" s="567">
        <f>☆入力!$H$26</f>
        <v>0</v>
      </c>
      <c r="M9" s="567">
        <f>☆入力!$H$27</f>
        <v>0</v>
      </c>
      <c r="N9" s="567">
        <f>☆入力!$H$28</f>
        <v>0</v>
      </c>
      <c r="O9" s="567">
        <f>☆入力!$H$29</f>
        <v>0</v>
      </c>
      <c r="P9" s="567">
        <f>☆入力!$H$30</f>
        <v>0</v>
      </c>
      <c r="Q9" s="567">
        <f>☆入力!$H$31</f>
        <v>0</v>
      </c>
      <c r="R9" s="567">
        <f>☆入力!$H$32</f>
        <v>0</v>
      </c>
      <c r="S9" s="567">
        <f>☆入力!$H$33</f>
        <v>0</v>
      </c>
      <c r="T9" s="567">
        <f>☆入力!$H$34</f>
        <v>0</v>
      </c>
      <c r="U9" s="567">
        <f>☆入力!$H$35</f>
        <v>0</v>
      </c>
      <c r="V9" s="567">
        <f>☆入力!$H$36</f>
        <v>0</v>
      </c>
      <c r="W9" s="567">
        <f>☆入力!$H$37</f>
        <v>0</v>
      </c>
      <c r="X9" s="567">
        <f>☆入力!$H$38</f>
        <v>0</v>
      </c>
      <c r="Y9" s="567">
        <f>☆入力!$H$39</f>
        <v>0</v>
      </c>
      <c r="Z9" s="567">
        <f>☆入力!$H$40</f>
        <v>0</v>
      </c>
      <c r="AA9" s="567">
        <f>☆入力!$H$41</f>
        <v>0</v>
      </c>
      <c r="AB9" s="567">
        <f>☆入力!$H$42</f>
        <v>0</v>
      </c>
      <c r="AC9" s="567">
        <f>☆入力!$H$43</f>
        <v>0</v>
      </c>
      <c r="AD9" s="567">
        <f>☆入力!$H$44</f>
        <v>0</v>
      </c>
      <c r="AE9" s="567">
        <f>☆入力!$H$45</f>
        <v>0</v>
      </c>
    </row>
    <row r="10" spans="1:32" s="21" customFormat="1" ht="15.75" thickBot="1">
      <c r="A10" s="568" t="s">
        <v>216</v>
      </c>
      <c r="B10" s="569">
        <f>☆入力!$D$16</f>
        <v>0</v>
      </c>
      <c r="C10" s="569">
        <f>☆入力!$D$17</f>
        <v>0</v>
      </c>
      <c r="D10" s="569">
        <f>☆入力!$D$18</f>
        <v>0</v>
      </c>
      <c r="E10" s="569">
        <f>☆入力!$D$19</f>
        <v>0</v>
      </c>
      <c r="F10" s="569">
        <f>☆入力!$D$20</f>
        <v>0</v>
      </c>
      <c r="G10" s="569">
        <f>☆入力!$D$21</f>
        <v>0</v>
      </c>
      <c r="H10" s="570">
        <f>☆入力!$D$22</f>
        <v>0</v>
      </c>
      <c r="I10" s="568">
        <f>☆入力!$D$23</f>
        <v>0</v>
      </c>
      <c r="J10" s="569">
        <f>☆入力!$D$24</f>
        <v>0</v>
      </c>
      <c r="K10" s="569">
        <f>☆入力!$D$25</f>
        <v>0</v>
      </c>
      <c r="L10" s="569">
        <f>☆入力!$D$26</f>
        <v>0</v>
      </c>
      <c r="M10" s="569">
        <f>☆入力!$D$27</f>
        <v>0</v>
      </c>
      <c r="N10" s="570">
        <f>☆入力!$D$28</f>
        <v>0</v>
      </c>
      <c r="O10" s="568">
        <f>☆入力!$D$29</f>
        <v>0</v>
      </c>
      <c r="P10" s="570">
        <f>☆入力!$D$30</f>
        <v>0</v>
      </c>
      <c r="Q10" s="568">
        <f>☆入力!$D$31</f>
        <v>0</v>
      </c>
      <c r="R10" s="569">
        <f>☆入力!$D$32</f>
        <v>0</v>
      </c>
      <c r="S10" s="569">
        <f>☆入力!$D$33</f>
        <v>0</v>
      </c>
      <c r="T10" s="569">
        <f>☆入力!$D$34</f>
        <v>0</v>
      </c>
      <c r="U10" s="570">
        <f>☆入力!$D$35</f>
        <v>0</v>
      </c>
      <c r="V10" s="568">
        <f>☆入力!$D$36</f>
        <v>0</v>
      </c>
      <c r="W10" s="569">
        <f>☆入力!$D$37</f>
        <v>0</v>
      </c>
      <c r="X10" s="570">
        <f>☆入力!$D$38</f>
        <v>0</v>
      </c>
      <c r="Y10" s="568">
        <f>☆入力!$D$39</f>
        <v>0</v>
      </c>
      <c r="Z10" s="569">
        <f>☆入力!$D$40</f>
        <v>0</v>
      </c>
      <c r="AA10" s="569">
        <f>☆入力!$D$41</f>
        <v>0</v>
      </c>
      <c r="AB10" s="570">
        <f>☆入力!$D$42</f>
        <v>0</v>
      </c>
      <c r="AC10" s="568">
        <f>☆入力!$D$43</f>
        <v>0</v>
      </c>
      <c r="AD10" s="569">
        <f>☆入力!$D$44</f>
        <v>0</v>
      </c>
      <c r="AE10" s="570">
        <f>☆入力!$D$45</f>
        <v>0</v>
      </c>
    </row>
    <row r="11" spans="1:32" s="136" customFormat="1" ht="15.75" thickBot="1">
      <c r="A11" s="604"/>
      <c r="B11" s="604" t="s">
        <v>469</v>
      </c>
      <c r="C11" s="604" t="s">
        <v>469</v>
      </c>
      <c r="D11" s="604" t="s">
        <v>469</v>
      </c>
      <c r="E11" s="604" t="s">
        <v>469</v>
      </c>
      <c r="F11" s="604" t="s">
        <v>469</v>
      </c>
      <c r="G11" s="604" t="s">
        <v>469</v>
      </c>
      <c r="H11" s="604" t="s">
        <v>469</v>
      </c>
      <c r="I11" s="604" t="s">
        <v>469</v>
      </c>
      <c r="J11" s="604" t="s">
        <v>469</v>
      </c>
      <c r="K11" s="604" t="s">
        <v>469</v>
      </c>
      <c r="L11" s="604" t="s">
        <v>469</v>
      </c>
      <c r="M11" s="604" t="s">
        <v>469</v>
      </c>
      <c r="N11" s="604" t="s">
        <v>469</v>
      </c>
      <c r="O11" s="604" t="s">
        <v>469</v>
      </c>
      <c r="P11" s="604" t="s">
        <v>469</v>
      </c>
      <c r="Q11" s="604" t="s">
        <v>469</v>
      </c>
      <c r="R11" s="604" t="s">
        <v>469</v>
      </c>
      <c r="S11" s="604" t="s">
        <v>469</v>
      </c>
      <c r="T11" s="604" t="s">
        <v>469</v>
      </c>
      <c r="U11" s="604" t="s">
        <v>469</v>
      </c>
      <c r="V11" s="604" t="s">
        <v>469</v>
      </c>
      <c r="W11" s="604" t="s">
        <v>469</v>
      </c>
      <c r="X11" s="604" t="s">
        <v>469</v>
      </c>
      <c r="Y11" s="604" t="s">
        <v>469</v>
      </c>
      <c r="Z11" s="604" t="s">
        <v>469</v>
      </c>
      <c r="AA11" s="604" t="s">
        <v>469</v>
      </c>
      <c r="AB11" s="604" t="s">
        <v>469</v>
      </c>
      <c r="AC11" s="604" t="s">
        <v>469</v>
      </c>
      <c r="AD11" s="604" t="s">
        <v>469</v>
      </c>
      <c r="AE11" s="604" t="s">
        <v>469</v>
      </c>
    </row>
    <row r="12" spans="1:32" s="571" customFormat="1" ht="15.75" thickBot="1">
      <c r="A12" s="568" t="s">
        <v>470</v>
      </c>
      <c r="B12" s="569">
        <f>☆入力!$G$16</f>
        <v>0</v>
      </c>
      <c r="C12" s="569">
        <f>☆入力!$G$17</f>
        <v>0</v>
      </c>
      <c r="D12" s="569">
        <f>☆入力!$G$18</f>
        <v>0</v>
      </c>
      <c r="E12" s="569">
        <f>☆入力!$G$19</f>
        <v>0</v>
      </c>
      <c r="F12" s="569">
        <f>☆入力!$G$20</f>
        <v>0</v>
      </c>
      <c r="G12" s="569">
        <f>☆入力!$G$21</f>
        <v>0</v>
      </c>
      <c r="H12" s="570">
        <f>☆入力!$G$22</f>
        <v>0</v>
      </c>
      <c r="I12" s="568">
        <f>☆入力!$G$23</f>
        <v>0</v>
      </c>
      <c r="J12" s="569">
        <f>☆入力!$G$24</f>
        <v>0</v>
      </c>
      <c r="K12" s="569">
        <f>☆入力!$G$25</f>
        <v>0</v>
      </c>
      <c r="L12" s="569">
        <f>☆入力!$G$26</f>
        <v>0</v>
      </c>
      <c r="M12" s="569">
        <f>☆入力!$G$27</f>
        <v>0</v>
      </c>
      <c r="N12" s="570">
        <f>☆入力!$G$28</f>
        <v>0</v>
      </c>
      <c r="O12" s="568">
        <f>☆入力!$G$29</f>
        <v>0</v>
      </c>
      <c r="P12" s="570">
        <f>☆入力!$G$30</f>
        <v>0</v>
      </c>
      <c r="Q12" s="568">
        <f>☆入力!$G$31</f>
        <v>0</v>
      </c>
      <c r="R12" s="569">
        <f>☆入力!$G$32</f>
        <v>0</v>
      </c>
      <c r="S12" s="569">
        <f>☆入力!$G$33</f>
        <v>0</v>
      </c>
      <c r="T12" s="569">
        <f>☆入力!$G$34</f>
        <v>0</v>
      </c>
      <c r="U12" s="570">
        <f>☆入力!$G$35</f>
        <v>0</v>
      </c>
      <c r="V12" s="568">
        <f>☆入力!$G$36</f>
        <v>0</v>
      </c>
      <c r="W12" s="569">
        <f>☆入力!$G$37</f>
        <v>0</v>
      </c>
      <c r="X12" s="570">
        <f>☆入力!$G$38</f>
        <v>0</v>
      </c>
      <c r="Y12" s="568">
        <f>☆入力!$G$39</f>
        <v>0</v>
      </c>
      <c r="Z12" s="569">
        <f>☆入力!$G$40</f>
        <v>0</v>
      </c>
      <c r="AA12" s="569">
        <f>☆入力!$G$41</f>
        <v>0</v>
      </c>
      <c r="AB12" s="570">
        <f>☆入力!$G$42</f>
        <v>0</v>
      </c>
      <c r="AC12" s="568">
        <f>☆入力!$G$43</f>
        <v>0</v>
      </c>
      <c r="AD12" s="569">
        <f>☆入力!$G$44</f>
        <v>0</v>
      </c>
      <c r="AE12" s="570">
        <f>☆入力!$G$45</f>
        <v>0</v>
      </c>
    </row>
    <row r="13" spans="1:32" s="21" customFormat="1" ht="15">
      <c r="A13" s="572" t="s">
        <v>375</v>
      </c>
      <c r="B13" s="572" t="str">
        <f>IFERROR(VLOOKUP(B$12,選定!$C$3:$AG$100,31,FALSE),"")</f>
        <v/>
      </c>
      <c r="C13" s="572" t="str">
        <f>IFERROR(VLOOKUP(C$12,選定!$C$3:$AG$100,31,FALSE),"")</f>
        <v/>
      </c>
      <c r="D13" s="572" t="str">
        <f>IFERROR(VLOOKUP(D$12,選定!$C$3:$AG$100,31,FALSE),"")</f>
        <v/>
      </c>
      <c r="E13" s="572" t="str">
        <f>IFERROR(VLOOKUP(E$12,選定!$C$3:$AG$100,31,FALSE),"")</f>
        <v/>
      </c>
      <c r="F13" s="572" t="str">
        <f>IFERROR(VLOOKUP(F$12,選定!$C$3:$AG$100,31,FALSE),"")</f>
        <v/>
      </c>
      <c r="G13" s="572" t="str">
        <f>IFERROR(VLOOKUP(G$12,選定!$C$3:$AG$100,31,FALSE),"")</f>
        <v/>
      </c>
      <c r="H13" s="572" t="str">
        <f>IFERROR(VLOOKUP(H$12,選定!$C$3:$AG$100,31,FALSE),"")</f>
        <v/>
      </c>
      <c r="I13" s="572" t="str">
        <f>IFERROR(VLOOKUP(I$12,選定!$C$3:$AG$100,31,FALSE),"")</f>
        <v/>
      </c>
      <c r="J13" s="572" t="str">
        <f>IFERROR(VLOOKUP(J$12,選定!$C$3:$AG$100,31,FALSE),"")</f>
        <v/>
      </c>
      <c r="K13" s="572" t="str">
        <f>IFERROR(VLOOKUP(K$12,選定!$C$3:$AG$100,31,FALSE),"")</f>
        <v/>
      </c>
      <c r="L13" s="572" t="str">
        <f>IFERROR(VLOOKUP(L$12,選定!$C$3:$AG$100,31,FALSE),"")</f>
        <v/>
      </c>
      <c r="M13" s="572" t="str">
        <f>IFERROR(VLOOKUP(M$12,選定!$C$3:$AG$100,31,FALSE),"")</f>
        <v/>
      </c>
      <c r="N13" s="572" t="str">
        <f>IFERROR(VLOOKUP(N$12,選定!$C$3:$AG$100,31,FALSE),"")</f>
        <v/>
      </c>
      <c r="O13" s="572" t="str">
        <f>IFERROR(VLOOKUP(O$12,選定!$C$3:$AG$100,31,FALSE),"")</f>
        <v/>
      </c>
      <c r="P13" s="572" t="str">
        <f>IFERROR(VLOOKUP(P$12,選定!$C$3:$AG$100,31,FALSE),"")</f>
        <v/>
      </c>
      <c r="Q13" s="572" t="str">
        <f>IFERROR(VLOOKUP(Q$12,選定!$C$3:$AG$100,31,FALSE),"")</f>
        <v/>
      </c>
      <c r="R13" s="572" t="str">
        <f>IFERROR(VLOOKUP(R$12,選定!$C$3:$AG$100,31,FALSE),"")</f>
        <v/>
      </c>
      <c r="S13" s="572" t="str">
        <f>IFERROR(VLOOKUP(S$12,選定!$C$3:$AG$100,31,FALSE),"")</f>
        <v/>
      </c>
      <c r="T13" s="572" t="str">
        <f>IFERROR(VLOOKUP(T$12,選定!$C$3:$AG$100,31,FALSE),"")</f>
        <v/>
      </c>
      <c r="U13" s="572" t="str">
        <f>IFERROR(VLOOKUP(U$12,選定!$C$3:$AG$100,31,FALSE),"")</f>
        <v/>
      </c>
      <c r="V13" s="572" t="str">
        <f>IFERROR(VLOOKUP(V$12,選定!$C$3:$AG$100,31,FALSE),"")</f>
        <v/>
      </c>
      <c r="W13" s="572" t="str">
        <f>IFERROR(VLOOKUP(W$12,選定!$C$3:$AG$100,31,FALSE),"")</f>
        <v/>
      </c>
      <c r="X13" s="572" t="str">
        <f>IFERROR(VLOOKUP(X$12,選定!$C$3:$AG$100,31,FALSE),"")</f>
        <v/>
      </c>
      <c r="Y13" s="572" t="str">
        <f>IFERROR(VLOOKUP(Y$12,選定!$C$3:$AG$100,31,FALSE),"")</f>
        <v/>
      </c>
      <c r="Z13" s="572" t="str">
        <f>IFERROR(VLOOKUP(Z$12,選定!$C$3:$AG$100,31,FALSE),"")</f>
        <v/>
      </c>
      <c r="AA13" s="572" t="str">
        <f>IFERROR(VLOOKUP(AA$12,選定!$C$3:$AG$100,31,FALSE),"")</f>
        <v/>
      </c>
      <c r="AB13" s="572" t="str">
        <f>IFERROR(VLOOKUP(AB$12,選定!$C$3:$AG$100,31,FALSE),"")</f>
        <v/>
      </c>
      <c r="AC13" s="572" t="str">
        <f>IFERROR(VLOOKUP(AC$12,選定!$C$3:$AG$100,31,FALSE),"")</f>
        <v/>
      </c>
      <c r="AD13" s="572" t="str">
        <f>IFERROR(VLOOKUP(AD$12,選定!$C$3:$AG$100,31,FALSE),"")</f>
        <v/>
      </c>
      <c r="AE13" s="572" t="str">
        <f>IFERROR(VLOOKUP(AE$12,選定!$C$3:$AG$100,31,FALSE),"")</f>
        <v/>
      </c>
    </row>
    <row r="14" spans="1:32" s="21" customFormat="1" ht="70.900000000000006" customHeight="1">
      <c r="A14" s="582" t="s">
        <v>471</v>
      </c>
      <c r="B14" s="580" t="s">
        <v>466</v>
      </c>
      <c r="C14" s="580" t="s">
        <v>466</v>
      </c>
      <c r="D14" s="580" t="s">
        <v>466</v>
      </c>
      <c r="E14" s="580" t="s">
        <v>466</v>
      </c>
      <c r="F14" s="580" t="s">
        <v>466</v>
      </c>
      <c r="G14" s="580" t="s">
        <v>466</v>
      </c>
      <c r="H14" s="580" t="s">
        <v>466</v>
      </c>
      <c r="I14" s="580" t="s">
        <v>466</v>
      </c>
      <c r="J14" s="580" t="s">
        <v>466</v>
      </c>
      <c r="K14" s="580" t="s">
        <v>466</v>
      </c>
      <c r="L14" s="580" t="s">
        <v>466</v>
      </c>
      <c r="M14" s="580" t="s">
        <v>466</v>
      </c>
      <c r="N14" s="580" t="s">
        <v>466</v>
      </c>
      <c r="O14" s="580" t="s">
        <v>466</v>
      </c>
      <c r="P14" s="580" t="s">
        <v>466</v>
      </c>
      <c r="Q14" s="580" t="s">
        <v>466</v>
      </c>
      <c r="R14" s="580" t="s">
        <v>466</v>
      </c>
      <c r="S14" s="580" t="s">
        <v>466</v>
      </c>
      <c r="T14" s="580" t="s">
        <v>466</v>
      </c>
      <c r="U14" s="580" t="s">
        <v>466</v>
      </c>
      <c r="V14" s="580" t="s">
        <v>466</v>
      </c>
      <c r="W14" s="580" t="s">
        <v>466</v>
      </c>
      <c r="X14" s="580" t="s">
        <v>466</v>
      </c>
      <c r="Y14" s="580" t="s">
        <v>466</v>
      </c>
      <c r="Z14" s="580" t="s">
        <v>466</v>
      </c>
      <c r="AA14" s="580" t="s">
        <v>466</v>
      </c>
      <c r="AB14" s="580" t="s">
        <v>466</v>
      </c>
      <c r="AC14" s="580" t="s">
        <v>466</v>
      </c>
      <c r="AD14" s="580" t="s">
        <v>466</v>
      </c>
      <c r="AE14" s="580" t="s">
        <v>466</v>
      </c>
    </row>
    <row r="15" spans="1:32" s="584" customFormat="1" ht="15">
      <c r="A15" s="597" t="s">
        <v>472</v>
      </c>
      <c r="B15" s="583" t="str">
        <f>IFERROR(VLOOKUP(B$12,選定!$C$3:$AG$100,2,FALSE),"")</f>
        <v/>
      </c>
      <c r="C15" s="583" t="str">
        <f>IFERROR(VLOOKUP(C$12,選定!$C$3:$AG$100,2,FALSE),"")</f>
        <v/>
      </c>
      <c r="D15" s="583" t="str">
        <f>IFERROR(VLOOKUP(D$12,選定!$C$3:$AG$100,2,FALSE),"")</f>
        <v/>
      </c>
      <c r="E15" s="583" t="str">
        <f>IFERROR(VLOOKUP(E$12,選定!$C$3:$AG$100,2,FALSE),"")</f>
        <v/>
      </c>
      <c r="F15" s="583" t="str">
        <f>IFERROR(VLOOKUP(F$12,選定!$C$3:$AG$100,2,FALSE),"")</f>
        <v/>
      </c>
      <c r="G15" s="583" t="str">
        <f>IFERROR(VLOOKUP(G$12,選定!$C$3:$AG$100,2,FALSE),"")</f>
        <v/>
      </c>
      <c r="H15" s="583" t="str">
        <f>IFERROR(VLOOKUP(H$12,選定!$C$3:$AG$100,2,FALSE),"")</f>
        <v/>
      </c>
      <c r="I15" s="583" t="str">
        <f>IFERROR(VLOOKUP(I$12,選定!$C$3:$AG$100,2,FALSE),"")</f>
        <v/>
      </c>
      <c r="J15" s="583" t="str">
        <f>IFERROR(VLOOKUP(J$12,選定!$C$3:$AG$100,2,FALSE),"")</f>
        <v/>
      </c>
      <c r="K15" s="583" t="str">
        <f>IFERROR(VLOOKUP(K$12,選定!$C$3:$AG$100,2,FALSE),"")</f>
        <v/>
      </c>
      <c r="L15" s="583" t="str">
        <f>IFERROR(VLOOKUP(L$12,選定!$C$3:$AG$100,2,FALSE),"")</f>
        <v/>
      </c>
      <c r="M15" s="583" t="str">
        <f>IFERROR(VLOOKUP(M$12,選定!$C$3:$AG$100,2,FALSE),"")</f>
        <v/>
      </c>
      <c r="N15" s="583" t="str">
        <f>IFERROR(VLOOKUP(N$12,選定!$C$3:$AG$100,2,FALSE),"")</f>
        <v/>
      </c>
      <c r="O15" s="583" t="str">
        <f>IFERROR(VLOOKUP(O$12,選定!$C$3:$AG$100,2,FALSE),"")</f>
        <v/>
      </c>
      <c r="P15" s="583" t="str">
        <f>IFERROR(VLOOKUP(P$12,選定!$C$3:$AG$100,2,FALSE),"")</f>
        <v/>
      </c>
      <c r="Q15" s="583" t="str">
        <f>IFERROR(VLOOKUP(Q$12,選定!$C$3:$AG$100,2,FALSE),"")</f>
        <v/>
      </c>
      <c r="R15" s="583" t="str">
        <f>IFERROR(VLOOKUP(R$12,選定!$C$3:$AG$100,2,FALSE),"")</f>
        <v/>
      </c>
      <c r="S15" s="583" t="str">
        <f>IFERROR(VLOOKUP(S$12,選定!$C$3:$AG$100,2,FALSE),"")</f>
        <v/>
      </c>
      <c r="T15" s="583" t="str">
        <f>IFERROR(VLOOKUP(T$12,選定!$C$3:$AG$100,2,FALSE),"")</f>
        <v/>
      </c>
      <c r="U15" s="583" t="str">
        <f>IFERROR(VLOOKUP(U$12,選定!$C$3:$AG$100,2,FALSE),"")</f>
        <v/>
      </c>
      <c r="V15" s="583" t="str">
        <f>IFERROR(VLOOKUP(V$12,選定!$C$3:$AG$100,2,FALSE),"")</f>
        <v/>
      </c>
      <c r="W15" s="583" t="str">
        <f>IFERROR(VLOOKUP(W$12,選定!$C$3:$AG$100,2,FALSE),"")</f>
        <v/>
      </c>
      <c r="X15" s="583" t="str">
        <f>IFERROR(VLOOKUP(X$12,選定!$C$3:$AG$100,2,FALSE),"")</f>
        <v/>
      </c>
      <c r="Y15" s="583" t="str">
        <f>IFERROR(VLOOKUP(Y$12,選定!$C$3:$AG$100,2,FALSE),"")</f>
        <v/>
      </c>
      <c r="Z15" s="583" t="str">
        <f>IFERROR(VLOOKUP(Z$12,選定!$C$3:$AG$100,2,FALSE),"")</f>
        <v/>
      </c>
      <c r="AA15" s="583" t="str">
        <f>IFERROR(VLOOKUP(AA$12,選定!$C$3:$AG$100,2,FALSE),"")</f>
        <v/>
      </c>
      <c r="AB15" s="583" t="str">
        <f>IFERROR(VLOOKUP(AB$12,選定!$C$3:$AG$100,2,FALSE),"")</f>
        <v/>
      </c>
      <c r="AC15" s="583" t="str">
        <f>IFERROR(VLOOKUP(AC$12,選定!$C$3:$AG$100,2,FALSE),"")</f>
        <v/>
      </c>
      <c r="AD15" s="583" t="str">
        <f>IFERROR(VLOOKUP(AD$12,選定!$C$3:$AG$100,2,FALSE),"")</f>
        <v/>
      </c>
      <c r="AE15" s="583" t="str">
        <f>IFERROR(VLOOKUP(AE$12,選定!$C$3:$AG$100,2,FALSE),"")</f>
        <v/>
      </c>
    </row>
    <row r="16" spans="1:32" s="584" customFormat="1" ht="15.75" thickBot="1">
      <c r="A16" s="598" t="s">
        <v>473</v>
      </c>
      <c r="B16" s="598" t="str">
        <f>IFERROR(VLOOKUP(B$12,選定!$C$3:$AG$100,3,FALSE),"")</f>
        <v/>
      </c>
      <c r="C16" s="598" t="str">
        <f>IFERROR(VLOOKUP(C$12,選定!$C$3:$AG$100,3,FALSE),"")</f>
        <v/>
      </c>
      <c r="D16" s="598" t="str">
        <f>IFERROR(VLOOKUP(D$12,選定!$C$3:$AG$100,3,FALSE),"")</f>
        <v/>
      </c>
      <c r="E16" s="598" t="str">
        <f>IFERROR(VLOOKUP(E$12,選定!$C$3:$AG$100,3,FALSE),"")</f>
        <v/>
      </c>
      <c r="F16" s="598" t="str">
        <f>IFERROR(VLOOKUP(F$12,選定!$C$3:$AG$100,3,FALSE),"")</f>
        <v/>
      </c>
      <c r="G16" s="598" t="str">
        <f>IFERROR(VLOOKUP(G$12,選定!$C$3:$AG$100,3,FALSE),"")</f>
        <v/>
      </c>
      <c r="H16" s="598" t="str">
        <f>IFERROR(VLOOKUP(H$12,選定!$C$3:$AG$100,3,FALSE),"")</f>
        <v/>
      </c>
      <c r="I16" s="598" t="str">
        <f>IFERROR(VLOOKUP(I$12,選定!$C$3:$AG$100,3,FALSE),"")</f>
        <v/>
      </c>
      <c r="J16" s="598" t="str">
        <f>IFERROR(VLOOKUP(J$12,選定!$C$3:$AG$100,3,FALSE),"")</f>
        <v/>
      </c>
      <c r="K16" s="598" t="str">
        <f>IFERROR(VLOOKUP(K$12,選定!$C$3:$AG$100,3,FALSE),"")</f>
        <v/>
      </c>
      <c r="L16" s="598" t="str">
        <f>IFERROR(VLOOKUP(L$12,選定!$C$3:$AG$100,3,FALSE),"")</f>
        <v/>
      </c>
      <c r="M16" s="598" t="str">
        <f>IFERROR(VLOOKUP(M$12,選定!$C$3:$AG$100,3,FALSE),"")</f>
        <v/>
      </c>
      <c r="N16" s="598" t="str">
        <f>IFERROR(VLOOKUP(N$12,選定!$C$3:$AG$100,3,FALSE),"")</f>
        <v/>
      </c>
      <c r="O16" s="598" t="str">
        <f>IFERROR(VLOOKUP(O$12,選定!$C$3:$AG$100,3,FALSE),"")</f>
        <v/>
      </c>
      <c r="P16" s="598" t="str">
        <f>IFERROR(VLOOKUP(P$12,選定!$C$3:$AG$100,3,FALSE),"")</f>
        <v/>
      </c>
      <c r="Q16" s="598" t="str">
        <f>IFERROR(VLOOKUP(Q$12,選定!$C$3:$AG$100,3,FALSE),"")</f>
        <v/>
      </c>
      <c r="R16" s="598" t="str">
        <f>IFERROR(VLOOKUP(R$12,選定!$C$3:$AG$100,3,FALSE),"")</f>
        <v/>
      </c>
      <c r="S16" s="598" t="str">
        <f>IFERROR(VLOOKUP(S$12,選定!$C$3:$AG$100,3,FALSE),"")</f>
        <v/>
      </c>
      <c r="T16" s="598" t="str">
        <f>IFERROR(VLOOKUP(T$12,選定!$C$3:$AG$100,3,FALSE),"")</f>
        <v/>
      </c>
      <c r="U16" s="598" t="str">
        <f>IFERROR(VLOOKUP(U$12,選定!$C$3:$AG$100,3,FALSE),"")</f>
        <v/>
      </c>
      <c r="V16" s="598" t="str">
        <f>IFERROR(VLOOKUP(V$12,選定!$C$3:$AG$100,3,FALSE),"")</f>
        <v/>
      </c>
      <c r="W16" s="598" t="str">
        <f>IFERROR(VLOOKUP(W$12,選定!$C$3:$AG$100,3,FALSE),"")</f>
        <v/>
      </c>
      <c r="X16" s="598" t="str">
        <f>IFERROR(VLOOKUP(X$12,選定!$C$3:$AG$100,3,FALSE),"")</f>
        <v/>
      </c>
      <c r="Y16" s="598" t="str">
        <f>IFERROR(VLOOKUP(Y$12,選定!$C$3:$AG$100,3,FALSE),"")</f>
        <v/>
      </c>
      <c r="Z16" s="598" t="str">
        <f>IFERROR(VLOOKUP(Z$12,選定!$C$3:$AG$100,3,FALSE),"")</f>
        <v/>
      </c>
      <c r="AA16" s="598" t="str">
        <f>IFERROR(VLOOKUP(AA$12,選定!$C$3:$AG$100,3,FALSE),"")</f>
        <v/>
      </c>
      <c r="AB16" s="598" t="str">
        <f>IFERROR(VLOOKUP(AB$12,選定!$C$3:$AG$100,3,FALSE),"")</f>
        <v/>
      </c>
      <c r="AC16" s="598" t="str">
        <f>IFERROR(VLOOKUP(AC$12,選定!$C$3:$AG$100,3,FALSE),"")</f>
        <v/>
      </c>
      <c r="AD16" s="598" t="str">
        <f>IFERROR(VLOOKUP(AD$12,選定!$C$3:$AG$100,3,FALSE),"")</f>
        <v/>
      </c>
      <c r="AE16" s="598" t="str">
        <f>IFERROR(VLOOKUP(AE$12,選定!$C$3:$AG$100,3,FALSE),"")</f>
        <v/>
      </c>
    </row>
    <row r="17" spans="1:31" s="584" customFormat="1" ht="15.75" thickTop="1">
      <c r="A17" s="667" t="s">
        <v>474</v>
      </c>
      <c r="B17" s="583" t="str">
        <f>IFERROR(VLOOKUP(B$12,選定!$C$3:$AG$100,4,FALSE),"")</f>
        <v/>
      </c>
      <c r="C17" s="583" t="str">
        <f>IFERROR(VLOOKUP(C$12,選定!$C$3:$AG$100,4,FALSE),"")</f>
        <v/>
      </c>
      <c r="D17" s="583" t="str">
        <f>IFERROR(VLOOKUP(D$12,選定!$C$3:$AG$100,4,FALSE),"")</f>
        <v/>
      </c>
      <c r="E17" s="583" t="str">
        <f>IFERROR(VLOOKUP(E$12,選定!$C$3:$AG$100,4,FALSE),"")</f>
        <v/>
      </c>
      <c r="F17" s="583" t="str">
        <f>IFERROR(VLOOKUP(F$12,選定!$C$3:$AG$100,4,FALSE),"")</f>
        <v/>
      </c>
      <c r="G17" s="583" t="str">
        <f>IFERROR(VLOOKUP(G$12,選定!$C$3:$AG$100,4,FALSE),"")</f>
        <v/>
      </c>
      <c r="H17" s="583" t="str">
        <f>IFERROR(VLOOKUP(H$12,選定!$C$3:$AG$100,4,FALSE),"")</f>
        <v/>
      </c>
      <c r="I17" s="583" t="str">
        <f>IFERROR(VLOOKUP(I$12,選定!$C$3:$AG$100,4,FALSE),"")</f>
        <v/>
      </c>
      <c r="J17" s="583" t="str">
        <f>IFERROR(VLOOKUP(J$12,選定!$C$3:$AG$100,4,FALSE),"")</f>
        <v/>
      </c>
      <c r="K17" s="583" t="str">
        <f>IFERROR(VLOOKUP(K$12,選定!$C$3:$AG$100,4,FALSE),"")</f>
        <v/>
      </c>
      <c r="L17" s="583" t="str">
        <f>IFERROR(VLOOKUP(L$12,選定!$C$3:$AG$100,4,FALSE),"")</f>
        <v/>
      </c>
      <c r="M17" s="583" t="str">
        <f>IFERROR(VLOOKUP(M$12,選定!$C$3:$AG$100,4,FALSE),"")</f>
        <v/>
      </c>
      <c r="N17" s="583" t="str">
        <f>IFERROR(VLOOKUP(N$12,選定!$C$3:$AG$100,4,FALSE),"")</f>
        <v/>
      </c>
      <c r="O17" s="583" t="str">
        <f>IFERROR(VLOOKUP(O$12,選定!$C$3:$AG$100,4,FALSE),"")</f>
        <v/>
      </c>
      <c r="P17" s="583" t="str">
        <f>IFERROR(VLOOKUP(P$12,選定!$C$3:$AG$100,4,FALSE),"")</f>
        <v/>
      </c>
      <c r="Q17" s="583" t="str">
        <f>IFERROR(VLOOKUP(Q$12,選定!$C$3:$AG$100,4,FALSE),"")</f>
        <v/>
      </c>
      <c r="R17" s="583" t="str">
        <f>IFERROR(VLOOKUP(R$12,選定!$C$3:$AG$100,4,FALSE),"")</f>
        <v/>
      </c>
      <c r="S17" s="583" t="str">
        <f>IFERROR(VLOOKUP(S$12,選定!$C$3:$AG$100,4,FALSE),"")</f>
        <v/>
      </c>
      <c r="T17" s="583" t="str">
        <f>IFERROR(VLOOKUP(T$12,選定!$C$3:$AG$100,4,FALSE),"")</f>
        <v/>
      </c>
      <c r="U17" s="583" t="str">
        <f>IFERROR(VLOOKUP(U$12,選定!$C$3:$AG$100,4,FALSE),"")</f>
        <v/>
      </c>
      <c r="V17" s="583" t="str">
        <f>IFERROR(VLOOKUP(V$12,選定!$C$3:$AG$100,4,FALSE),"")</f>
        <v/>
      </c>
      <c r="W17" s="583" t="str">
        <f>IFERROR(VLOOKUP(W$12,選定!$C$3:$AG$100,4,FALSE),"")</f>
        <v/>
      </c>
      <c r="X17" s="583" t="str">
        <f>IFERROR(VLOOKUP(X$12,選定!$C$3:$AG$100,4,FALSE),"")</f>
        <v/>
      </c>
      <c r="Y17" s="583" t="str">
        <f>IFERROR(VLOOKUP(Y$12,選定!$C$3:$AG$100,4,FALSE),"")</f>
        <v/>
      </c>
      <c r="Z17" s="583" t="str">
        <f>IFERROR(VLOOKUP(Z$12,選定!$C$3:$AG$100,4,FALSE),"")</f>
        <v/>
      </c>
      <c r="AA17" s="583" t="str">
        <f>IFERROR(VLOOKUP(AA$12,選定!$C$3:$AG$100,4,FALSE),"")</f>
        <v/>
      </c>
      <c r="AB17" s="583" t="str">
        <f>IFERROR(VLOOKUP(AB$12,選定!$C$3:$AG$100,4,FALSE),"")</f>
        <v/>
      </c>
      <c r="AC17" s="583" t="str">
        <f>IFERROR(VLOOKUP(AC$12,選定!$C$3:$AG$100,4,FALSE),"")</f>
        <v/>
      </c>
      <c r="AD17" s="583" t="str">
        <f>IFERROR(VLOOKUP(AD$12,選定!$C$3:$AG$100,4,FALSE),"")</f>
        <v/>
      </c>
      <c r="AE17" s="583" t="str">
        <f>IFERROR(VLOOKUP(AE$12,選定!$C$3:$AG$100,4,FALSE),"")</f>
        <v/>
      </c>
    </row>
    <row r="18" spans="1:31" s="587" customFormat="1" ht="15">
      <c r="A18" s="574" t="s">
        <v>100</v>
      </c>
      <c r="B18" s="574" t="str">
        <f>IFERROR(VLOOKUP(B$12,選定!$C$3:$AG$100,5,FALSE),"")</f>
        <v/>
      </c>
      <c r="C18" s="574" t="str">
        <f>IFERROR(VLOOKUP(C$12,選定!$C$3:$AG$100,5,FALSE),"")</f>
        <v/>
      </c>
      <c r="D18" s="574" t="str">
        <f>IFERROR(VLOOKUP(D$12,選定!$C$3:$AG$100,5,FALSE),"")</f>
        <v/>
      </c>
      <c r="E18" s="574" t="str">
        <f>IFERROR(VLOOKUP(E$12,選定!$C$3:$AG$100,5,FALSE),"")</f>
        <v/>
      </c>
      <c r="F18" s="574" t="str">
        <f>IFERROR(VLOOKUP(F$12,選定!$C$3:$AG$100,5,FALSE),"")</f>
        <v/>
      </c>
      <c r="G18" s="574" t="str">
        <f>IFERROR(VLOOKUP(G$12,選定!$C$3:$AG$100,5,FALSE),"")</f>
        <v/>
      </c>
      <c r="H18" s="574" t="str">
        <f>IFERROR(VLOOKUP(H$12,選定!$C$3:$AG$100,5,FALSE),"")</f>
        <v/>
      </c>
      <c r="I18" s="574" t="str">
        <f>IFERROR(VLOOKUP(I$12,選定!$C$3:$AG$100,5,FALSE),"")</f>
        <v/>
      </c>
      <c r="J18" s="574" t="str">
        <f>IFERROR(VLOOKUP(J$12,選定!$C$3:$AG$100,5,FALSE),"")</f>
        <v/>
      </c>
      <c r="K18" s="574" t="str">
        <f>IFERROR(VLOOKUP(K$12,選定!$C$3:$AG$100,5,FALSE),"")</f>
        <v/>
      </c>
      <c r="L18" s="574" t="str">
        <f>IFERROR(VLOOKUP(L$12,選定!$C$3:$AG$100,5,FALSE),"")</f>
        <v/>
      </c>
      <c r="M18" s="574" t="str">
        <f>IFERROR(VLOOKUP(M$12,選定!$C$3:$AG$100,5,FALSE),"")</f>
        <v/>
      </c>
      <c r="N18" s="574" t="str">
        <f>IFERROR(VLOOKUP(N$12,選定!$C$3:$AG$100,5,FALSE),"")</f>
        <v/>
      </c>
      <c r="O18" s="574" t="str">
        <f>IFERROR(VLOOKUP(O$12,選定!$C$3:$AG$100,5,FALSE),"")</f>
        <v/>
      </c>
      <c r="P18" s="574" t="str">
        <f>IFERROR(VLOOKUP(P$12,選定!$C$3:$AG$100,5,FALSE),"")</f>
        <v/>
      </c>
      <c r="Q18" s="574" t="str">
        <f>IFERROR(VLOOKUP(Q$12,選定!$C$3:$AG$100,5,FALSE),"")</f>
        <v/>
      </c>
      <c r="R18" s="574" t="str">
        <f>IFERROR(VLOOKUP(R$12,選定!$C$3:$AG$100,5,FALSE),"")</f>
        <v/>
      </c>
      <c r="S18" s="574" t="str">
        <f>IFERROR(VLOOKUP(S$12,選定!$C$3:$AG$100,5,FALSE),"")</f>
        <v/>
      </c>
      <c r="T18" s="574" t="str">
        <f>IFERROR(VLOOKUP(T$12,選定!$C$3:$AG$100,5,FALSE),"")</f>
        <v/>
      </c>
      <c r="U18" s="574" t="str">
        <f>IFERROR(VLOOKUP(U$12,選定!$C$3:$AG$100,5,FALSE),"")</f>
        <v/>
      </c>
      <c r="V18" s="574" t="str">
        <f>IFERROR(VLOOKUP(V$12,選定!$C$3:$AG$100,5,FALSE),"")</f>
        <v/>
      </c>
      <c r="W18" s="574" t="str">
        <f>IFERROR(VLOOKUP(W$12,選定!$C$3:$AG$100,5,FALSE),"")</f>
        <v/>
      </c>
      <c r="X18" s="574" t="str">
        <f>IFERROR(VLOOKUP(X$12,選定!$C$3:$AG$100,5,FALSE),"")</f>
        <v/>
      </c>
      <c r="Y18" s="574" t="str">
        <f>IFERROR(VLOOKUP(Y$12,選定!$C$3:$AG$100,5,FALSE),"")</f>
        <v/>
      </c>
      <c r="Z18" s="574" t="str">
        <f>IFERROR(VLOOKUP(Z$12,選定!$C$3:$AG$100,5,FALSE),"")</f>
        <v/>
      </c>
      <c r="AA18" s="574" t="str">
        <f>IFERROR(VLOOKUP(AA$12,選定!$C$3:$AG$100,5,FALSE),"")</f>
        <v/>
      </c>
      <c r="AB18" s="574" t="str">
        <f>IFERROR(VLOOKUP(AB$12,選定!$C$3:$AG$100,5,FALSE),"")</f>
        <v/>
      </c>
      <c r="AC18" s="574" t="str">
        <f>IFERROR(VLOOKUP(AC$12,選定!$C$3:$AG$100,5,FALSE),"")</f>
        <v/>
      </c>
      <c r="AD18" s="574" t="str">
        <f>IFERROR(VLOOKUP(AD$12,選定!$C$3:$AG$100,5,FALSE),"")</f>
        <v/>
      </c>
      <c r="AE18" s="574" t="str">
        <f>IFERROR(VLOOKUP(AE$12,選定!$C$3:$AG$100,5,FALSE),"")</f>
        <v/>
      </c>
    </row>
    <row r="19" spans="1:31" s="590" customFormat="1" ht="15" hidden="1" outlineLevel="1">
      <c r="A19" s="575" t="s">
        <v>101</v>
      </c>
      <c r="B19" s="575" t="str">
        <f>IFERROR(VLOOKUP(B$12,選定!$C$3:$AG$100,6,FALSE),"")</f>
        <v/>
      </c>
      <c r="C19" s="575" t="str">
        <f>IFERROR(VLOOKUP(C$12,選定!$C$3:$AG$100,6,FALSE),"")</f>
        <v/>
      </c>
      <c r="D19" s="575" t="str">
        <f>IFERROR(VLOOKUP(D$12,選定!$C$3:$AG$100,6,FALSE),"")</f>
        <v/>
      </c>
      <c r="E19" s="575" t="str">
        <f>IFERROR(VLOOKUP(E$12,選定!$C$3:$AG$100,6,FALSE),"")</f>
        <v/>
      </c>
      <c r="F19" s="575" t="str">
        <f>IFERROR(VLOOKUP(F$12,選定!$C$3:$AG$100,6,FALSE),"")</f>
        <v/>
      </c>
      <c r="G19" s="575" t="str">
        <f>IFERROR(VLOOKUP(G$12,選定!$C$3:$AG$100,6,FALSE),"")</f>
        <v/>
      </c>
      <c r="H19" s="575" t="str">
        <f>IFERROR(VLOOKUP(H$12,選定!$C$3:$AG$100,6,FALSE),"")</f>
        <v/>
      </c>
      <c r="I19" s="575" t="str">
        <f>IFERROR(VLOOKUP(I$12,選定!$C$3:$AG$100,6,FALSE),"")</f>
        <v/>
      </c>
      <c r="J19" s="575" t="str">
        <f>IFERROR(VLOOKUP(J$12,選定!$C$3:$AG$100,6,FALSE),"")</f>
        <v/>
      </c>
      <c r="K19" s="575" t="str">
        <f>IFERROR(VLOOKUP(K$12,選定!$C$3:$AG$100,6,FALSE),"")</f>
        <v/>
      </c>
      <c r="L19" s="575" t="str">
        <f>IFERROR(VLOOKUP(L$12,選定!$C$3:$AG$100,6,FALSE),"")</f>
        <v/>
      </c>
      <c r="M19" s="575" t="str">
        <f>IFERROR(VLOOKUP(M$12,選定!$C$3:$AG$100,6,FALSE),"")</f>
        <v/>
      </c>
      <c r="N19" s="575" t="str">
        <f>IFERROR(VLOOKUP(N$12,選定!$C$3:$AG$100,6,FALSE),"")</f>
        <v/>
      </c>
      <c r="O19" s="575" t="str">
        <f>IFERROR(VLOOKUP(O$12,選定!$C$3:$AG$100,6,FALSE),"")</f>
        <v/>
      </c>
      <c r="P19" s="575" t="str">
        <f>IFERROR(VLOOKUP(P$12,選定!$C$3:$AG$100,6,FALSE),"")</f>
        <v/>
      </c>
      <c r="Q19" s="575" t="str">
        <f>IFERROR(VLOOKUP(Q$12,選定!$C$3:$AG$100,6,FALSE),"")</f>
        <v/>
      </c>
      <c r="R19" s="575" t="str">
        <f>IFERROR(VLOOKUP(R$12,選定!$C$3:$AG$100,6,FALSE),"")</f>
        <v/>
      </c>
      <c r="S19" s="575" t="str">
        <f>IFERROR(VLOOKUP(S$12,選定!$C$3:$AG$100,6,FALSE),"")</f>
        <v/>
      </c>
      <c r="T19" s="575" t="str">
        <f>IFERROR(VLOOKUP(T$12,選定!$C$3:$AG$100,6,FALSE),"")</f>
        <v/>
      </c>
      <c r="U19" s="575" t="str">
        <f>IFERROR(VLOOKUP(U$12,選定!$C$3:$AG$100,6,FALSE),"")</f>
        <v/>
      </c>
      <c r="V19" s="575" t="str">
        <f>IFERROR(VLOOKUP(V$12,選定!$C$3:$AG$100,6,FALSE),"")</f>
        <v/>
      </c>
      <c r="W19" s="575" t="str">
        <f>IFERROR(VLOOKUP(W$12,選定!$C$3:$AG$100,6,FALSE),"")</f>
        <v/>
      </c>
      <c r="X19" s="575" t="str">
        <f>IFERROR(VLOOKUP(X$12,選定!$C$3:$AG$100,6,FALSE),"")</f>
        <v/>
      </c>
      <c r="Y19" s="575" t="str">
        <f>IFERROR(VLOOKUP(Y$12,選定!$C$3:$AG$100,6,FALSE),"")</f>
        <v/>
      </c>
      <c r="Z19" s="575" t="str">
        <f>IFERROR(VLOOKUP(Z$12,選定!$C$3:$AG$100,6,FALSE),"")</f>
        <v/>
      </c>
      <c r="AA19" s="575" t="str">
        <f>IFERROR(VLOOKUP(AA$12,選定!$C$3:$AG$100,6,FALSE),"")</f>
        <v/>
      </c>
      <c r="AB19" s="575" t="str">
        <f>IFERROR(VLOOKUP(AB$12,選定!$C$3:$AG$100,6,FALSE),"")</f>
        <v/>
      </c>
      <c r="AC19" s="575" t="str">
        <f>IFERROR(VLOOKUP(AC$12,選定!$C$3:$AG$100,6,FALSE),"")</f>
        <v/>
      </c>
      <c r="AD19" s="575" t="str">
        <f>IFERROR(VLOOKUP(AD$12,選定!$C$3:$AG$100,6,FALSE),"")</f>
        <v/>
      </c>
      <c r="AE19" s="575" t="str">
        <f>IFERROR(VLOOKUP(AE$12,選定!$C$3:$AG$100,6,FALSE),"")</f>
        <v/>
      </c>
    </row>
    <row r="20" spans="1:31" s="84" customFormat="1" ht="15" hidden="1" outlineLevel="1">
      <c r="A20" s="573" t="s">
        <v>102</v>
      </c>
      <c r="B20" s="573" t="str">
        <f>IFERROR(VLOOKUP(B$12,選定!$C$3:$AG$100,7,FALSE),"")</f>
        <v/>
      </c>
      <c r="C20" s="573" t="str">
        <f>IFERROR(VLOOKUP(C$12,選定!$C$3:$AG$100,7,FALSE),"")</f>
        <v/>
      </c>
      <c r="D20" s="573" t="str">
        <f>IFERROR(VLOOKUP(D$12,選定!$C$3:$AG$100,7,FALSE),"")</f>
        <v/>
      </c>
      <c r="E20" s="573" t="str">
        <f>IFERROR(VLOOKUP(E$12,選定!$C$3:$AG$100,7,FALSE),"")</f>
        <v/>
      </c>
      <c r="F20" s="573" t="str">
        <f>IFERROR(VLOOKUP(F$12,選定!$C$3:$AG$100,7,FALSE),"")</f>
        <v/>
      </c>
      <c r="G20" s="573" t="str">
        <f>IFERROR(VLOOKUP(G$12,選定!$C$3:$AG$100,7,FALSE),"")</f>
        <v/>
      </c>
      <c r="H20" s="573" t="str">
        <f>IFERROR(VLOOKUP(H$12,選定!$C$3:$AG$100,7,FALSE),"")</f>
        <v/>
      </c>
      <c r="I20" s="573" t="str">
        <f>IFERROR(VLOOKUP(I$12,選定!$C$3:$AG$100,7,FALSE),"")</f>
        <v/>
      </c>
      <c r="J20" s="573" t="str">
        <f>IFERROR(VLOOKUP(J$12,選定!$C$3:$AG$100,7,FALSE),"")</f>
        <v/>
      </c>
      <c r="K20" s="573" t="str">
        <f>IFERROR(VLOOKUP(K$12,選定!$C$3:$AG$100,7,FALSE),"")</f>
        <v/>
      </c>
      <c r="L20" s="573" t="str">
        <f>IFERROR(VLOOKUP(L$12,選定!$C$3:$AG$100,7,FALSE),"")</f>
        <v/>
      </c>
      <c r="M20" s="573" t="str">
        <f>IFERROR(VLOOKUP(M$12,選定!$C$3:$AG$100,7,FALSE),"")</f>
        <v/>
      </c>
      <c r="N20" s="573" t="str">
        <f>IFERROR(VLOOKUP(N$12,選定!$C$3:$AG$100,7,FALSE),"")</f>
        <v/>
      </c>
      <c r="O20" s="573" t="str">
        <f>IFERROR(VLOOKUP(O$12,選定!$C$3:$AG$100,7,FALSE),"")</f>
        <v/>
      </c>
      <c r="P20" s="573" t="str">
        <f>IFERROR(VLOOKUP(P$12,選定!$C$3:$AG$100,7,FALSE),"")</f>
        <v/>
      </c>
      <c r="Q20" s="573" t="str">
        <f>IFERROR(VLOOKUP(Q$12,選定!$C$3:$AG$100,7,FALSE),"")</f>
        <v/>
      </c>
      <c r="R20" s="573" t="str">
        <f>IFERROR(VLOOKUP(R$12,選定!$C$3:$AG$100,7,FALSE),"")</f>
        <v/>
      </c>
      <c r="S20" s="573" t="str">
        <f>IFERROR(VLOOKUP(S$12,選定!$C$3:$AG$100,7,FALSE),"")</f>
        <v/>
      </c>
      <c r="T20" s="573" t="str">
        <f>IFERROR(VLOOKUP(T$12,選定!$C$3:$AG$100,7,FALSE),"")</f>
        <v/>
      </c>
      <c r="U20" s="573" t="str">
        <f>IFERROR(VLOOKUP(U$12,選定!$C$3:$AG$100,7,FALSE),"")</f>
        <v/>
      </c>
      <c r="V20" s="573" t="str">
        <f>IFERROR(VLOOKUP(V$12,選定!$C$3:$AG$100,7,FALSE),"")</f>
        <v/>
      </c>
      <c r="W20" s="573" t="str">
        <f>IFERROR(VLOOKUP(W$12,選定!$C$3:$AG$100,7,FALSE),"")</f>
        <v/>
      </c>
      <c r="X20" s="573" t="str">
        <f>IFERROR(VLOOKUP(X$12,選定!$C$3:$AG$100,7,FALSE),"")</f>
        <v/>
      </c>
      <c r="Y20" s="573" t="str">
        <f>IFERROR(VLOOKUP(Y$12,選定!$C$3:$AG$100,7,FALSE),"")</f>
        <v/>
      </c>
      <c r="Z20" s="573" t="str">
        <f>IFERROR(VLOOKUP(Z$12,選定!$C$3:$AG$100,7,FALSE),"")</f>
        <v/>
      </c>
      <c r="AA20" s="573" t="str">
        <f>IFERROR(VLOOKUP(AA$12,選定!$C$3:$AG$100,7,FALSE),"")</f>
        <v/>
      </c>
      <c r="AB20" s="573" t="str">
        <f>IFERROR(VLOOKUP(AB$12,選定!$C$3:$AG$100,7,FALSE),"")</f>
        <v/>
      </c>
      <c r="AC20" s="573" t="str">
        <f>IFERROR(VLOOKUP(AC$12,選定!$C$3:$AG$100,7,FALSE),"")</f>
        <v/>
      </c>
      <c r="AD20" s="573" t="str">
        <f>IFERROR(VLOOKUP(AD$12,選定!$C$3:$AG$100,7,FALSE),"")</f>
        <v/>
      </c>
      <c r="AE20" s="573" t="str">
        <f>IFERROR(VLOOKUP(AE$12,選定!$C$3:$AG$100,7,FALSE),"")</f>
        <v/>
      </c>
    </row>
    <row r="21" spans="1:31" s="21" customFormat="1" ht="15" hidden="1" outlineLevel="1">
      <c r="A21" s="565"/>
      <c r="B21" s="565"/>
      <c r="C21" s="565"/>
      <c r="D21" s="565"/>
      <c r="E21" s="565"/>
      <c r="F21" s="565"/>
      <c r="G21" s="565"/>
      <c r="H21" s="565"/>
      <c r="I21" s="565"/>
      <c r="J21" s="565"/>
      <c r="K21" s="565"/>
      <c r="L21" s="565"/>
      <c r="M21" s="565"/>
      <c r="N21" s="565"/>
      <c r="O21" s="565"/>
      <c r="P21" s="565"/>
      <c r="Q21" s="565"/>
      <c r="R21" s="565"/>
      <c r="S21" s="565"/>
      <c r="T21" s="565"/>
      <c r="U21" s="565"/>
      <c r="V21" s="565"/>
      <c r="W21" s="565"/>
      <c r="X21" s="565"/>
      <c r="Y21" s="565"/>
      <c r="Z21" s="565"/>
      <c r="AA21" s="565"/>
      <c r="AB21" s="565"/>
      <c r="AC21" s="565"/>
      <c r="AD21" s="565"/>
      <c r="AE21" s="565"/>
    </row>
    <row r="22" spans="1:31" s="21" customFormat="1" ht="15" collapsed="1">
      <c r="A22" s="565" t="s">
        <v>104</v>
      </c>
      <c r="B22" s="565" t="str">
        <f>IFERROR(VLOOKUP(B$12,選定!$C$3:$AG$100,9,FALSE),"")</f>
        <v/>
      </c>
      <c r="C22" s="565" t="str">
        <f>IFERROR(VLOOKUP(C$12,選定!$C$3:$AG$100,9,FALSE),"")</f>
        <v/>
      </c>
      <c r="D22" s="565" t="str">
        <f>IFERROR(VLOOKUP(D$12,選定!$C$3:$AG$100,9,FALSE),"")</f>
        <v/>
      </c>
      <c r="E22" s="565" t="str">
        <f>IFERROR(VLOOKUP(E$12,選定!$C$3:$AG$100,9,FALSE),"")</f>
        <v/>
      </c>
      <c r="F22" s="565" t="str">
        <f>IFERROR(VLOOKUP(F$12,選定!$C$3:$AG$100,9,FALSE),"")</f>
        <v/>
      </c>
      <c r="G22" s="565" t="str">
        <f>IFERROR(VLOOKUP(G$12,選定!$C$3:$AG$100,9,FALSE),"")</f>
        <v/>
      </c>
      <c r="H22" s="565" t="str">
        <f>IFERROR(VLOOKUP(H$12,選定!$C$3:$AG$100,9,FALSE),"")</f>
        <v/>
      </c>
      <c r="I22" s="565" t="str">
        <f>IFERROR(VLOOKUP(I$12,選定!$C$3:$AG$100,9,FALSE),"")</f>
        <v/>
      </c>
      <c r="J22" s="565" t="str">
        <f>IFERROR(VLOOKUP(J$12,選定!$C$3:$AG$100,9,FALSE),"")</f>
        <v/>
      </c>
      <c r="K22" s="565" t="str">
        <f>IFERROR(VLOOKUP(K$12,選定!$C$3:$AG$100,9,FALSE),"")</f>
        <v/>
      </c>
      <c r="L22" s="565" t="str">
        <f>IFERROR(VLOOKUP(L$12,選定!$C$3:$AG$100,9,FALSE),"")</f>
        <v/>
      </c>
      <c r="M22" s="565" t="str">
        <f>IFERROR(VLOOKUP(M$12,選定!$C$3:$AG$100,9,FALSE),"")</f>
        <v/>
      </c>
      <c r="N22" s="565" t="str">
        <f>IFERROR(VLOOKUP(N$12,選定!$C$3:$AG$100,9,FALSE),"")</f>
        <v/>
      </c>
      <c r="O22" s="565" t="str">
        <f>IFERROR(VLOOKUP(O$12,選定!$C$3:$AG$100,9,FALSE),"")</f>
        <v/>
      </c>
      <c r="P22" s="565" t="str">
        <f>IFERROR(VLOOKUP(P$12,選定!$C$3:$AG$100,9,FALSE),"")</f>
        <v/>
      </c>
      <c r="Q22" s="565" t="str">
        <f>IFERROR(VLOOKUP(Q$12,選定!$C$3:$AG$100,9,FALSE),"")</f>
        <v/>
      </c>
      <c r="R22" s="565" t="str">
        <f>IFERROR(VLOOKUP(R$12,選定!$C$3:$AG$100,9,FALSE),"")</f>
        <v/>
      </c>
      <c r="S22" s="565" t="str">
        <f>IFERROR(VLOOKUP(S$12,選定!$C$3:$AG$100,9,FALSE),"")</f>
        <v/>
      </c>
      <c r="T22" s="565" t="str">
        <f>IFERROR(VLOOKUP(T$12,選定!$C$3:$AG$100,9,FALSE),"")</f>
        <v/>
      </c>
      <c r="U22" s="565" t="str">
        <f>IFERROR(VLOOKUP(U$12,選定!$C$3:$AG$100,9,FALSE),"")</f>
        <v/>
      </c>
      <c r="V22" s="565" t="str">
        <f>IFERROR(VLOOKUP(V$12,選定!$C$3:$AG$100,9,FALSE),"")</f>
        <v/>
      </c>
      <c r="W22" s="565" t="str">
        <f>IFERROR(VLOOKUP(W$12,選定!$C$3:$AG$100,9,FALSE),"")</f>
        <v/>
      </c>
      <c r="X22" s="565" t="str">
        <f>IFERROR(VLOOKUP(X$12,選定!$C$3:$AG$100,9,FALSE),"")</f>
        <v/>
      </c>
      <c r="Y22" s="565" t="str">
        <f>IFERROR(VLOOKUP(Y$12,選定!$C$3:$AG$100,9,FALSE),"")</f>
        <v/>
      </c>
      <c r="Z22" s="565" t="str">
        <f>IFERROR(VLOOKUP(Z$12,選定!$C$3:$AG$100,9,FALSE),"")</f>
        <v/>
      </c>
      <c r="AA22" s="565" t="str">
        <f>IFERROR(VLOOKUP(AA$12,選定!$C$3:$AG$100,9,FALSE),"")</f>
        <v/>
      </c>
      <c r="AB22" s="565" t="str">
        <f>IFERROR(VLOOKUP(AB$12,選定!$C$3:$AG$100,9,FALSE),"")</f>
        <v/>
      </c>
      <c r="AC22" s="565" t="str">
        <f>IFERROR(VLOOKUP(AC$12,選定!$C$3:$AG$100,9,FALSE),"")</f>
        <v/>
      </c>
      <c r="AD22" s="565" t="str">
        <f>IFERROR(VLOOKUP(AD$12,選定!$C$3:$AG$100,9,FALSE),"")</f>
        <v/>
      </c>
      <c r="AE22" s="565" t="str">
        <f>IFERROR(VLOOKUP(AE$12,選定!$C$3:$AG$100,9,FALSE),"")</f>
        <v/>
      </c>
    </row>
    <row r="23" spans="1:31" s="21" customFormat="1" ht="15">
      <c r="A23" s="565" t="s">
        <v>96</v>
      </c>
      <c r="B23" s="565" t="str">
        <f>IFERROR(VLOOKUP(B$12,選定!$C$3:$AG$100,10,FALSE),"")</f>
        <v/>
      </c>
      <c r="C23" s="565" t="str">
        <f>IFERROR(VLOOKUP(C$12,選定!$C$3:$AG$100,10,FALSE),"")</f>
        <v/>
      </c>
      <c r="D23" s="565" t="str">
        <f>IFERROR(VLOOKUP(D$12,選定!$C$3:$AG$100,10,FALSE),"")</f>
        <v/>
      </c>
      <c r="E23" s="565" t="str">
        <f>IFERROR(VLOOKUP(E$12,選定!$C$3:$AG$100,10,FALSE),"")</f>
        <v/>
      </c>
      <c r="F23" s="565" t="str">
        <f>IFERROR(VLOOKUP(F$12,選定!$C$3:$AG$100,10,FALSE),"")</f>
        <v/>
      </c>
      <c r="G23" s="565" t="str">
        <f>IFERROR(VLOOKUP(G$12,選定!$C$3:$AG$100,10,FALSE),"")</f>
        <v/>
      </c>
      <c r="H23" s="565" t="str">
        <f>IFERROR(VLOOKUP(H$12,選定!$C$3:$AG$100,10,FALSE),"")</f>
        <v/>
      </c>
      <c r="I23" s="565" t="str">
        <f>IFERROR(VLOOKUP(I$12,選定!$C$3:$AG$100,10,FALSE),"")</f>
        <v/>
      </c>
      <c r="J23" s="565" t="str">
        <f>IFERROR(VLOOKUP(J$12,選定!$C$3:$AG$100,10,FALSE),"")</f>
        <v/>
      </c>
      <c r="K23" s="565" t="str">
        <f>IFERROR(VLOOKUP(K$12,選定!$C$3:$AG$100,10,FALSE),"")</f>
        <v/>
      </c>
      <c r="L23" s="565" t="str">
        <f>IFERROR(VLOOKUP(L$12,選定!$C$3:$AG$100,10,FALSE),"")</f>
        <v/>
      </c>
      <c r="M23" s="565" t="str">
        <f>IFERROR(VLOOKUP(M$12,選定!$C$3:$AG$100,10,FALSE),"")</f>
        <v/>
      </c>
      <c r="N23" s="565" t="str">
        <f>IFERROR(VLOOKUP(N$12,選定!$C$3:$AG$100,10,FALSE),"")</f>
        <v/>
      </c>
      <c r="O23" s="565" t="str">
        <f>IFERROR(VLOOKUP(O$12,選定!$C$3:$AG$100,10,FALSE),"")</f>
        <v/>
      </c>
      <c r="P23" s="565" t="str">
        <f>IFERROR(VLOOKUP(P$12,選定!$C$3:$AG$100,10,FALSE),"")</f>
        <v/>
      </c>
      <c r="Q23" s="565" t="str">
        <f>IFERROR(VLOOKUP(Q$12,選定!$C$3:$AG$100,10,FALSE),"")</f>
        <v/>
      </c>
      <c r="R23" s="565" t="str">
        <f>IFERROR(VLOOKUP(R$12,選定!$C$3:$AG$100,10,FALSE),"")</f>
        <v/>
      </c>
      <c r="S23" s="565" t="str">
        <f>IFERROR(VLOOKUP(S$12,選定!$C$3:$AG$100,10,FALSE),"")</f>
        <v/>
      </c>
      <c r="T23" s="565" t="str">
        <f>IFERROR(VLOOKUP(T$12,選定!$C$3:$AG$100,10,FALSE),"")</f>
        <v/>
      </c>
      <c r="U23" s="565" t="str">
        <f>IFERROR(VLOOKUP(U$12,選定!$C$3:$AG$100,10,FALSE),"")</f>
        <v/>
      </c>
      <c r="V23" s="565" t="str">
        <f>IFERROR(VLOOKUP(V$12,選定!$C$3:$AG$100,10,FALSE),"")</f>
        <v/>
      </c>
      <c r="W23" s="565" t="str">
        <f>IFERROR(VLOOKUP(W$12,選定!$C$3:$AG$100,10,FALSE),"")</f>
        <v/>
      </c>
      <c r="X23" s="565" t="str">
        <f>IFERROR(VLOOKUP(X$12,選定!$C$3:$AG$100,10,FALSE),"")</f>
        <v/>
      </c>
      <c r="Y23" s="565" t="str">
        <f>IFERROR(VLOOKUP(Y$12,選定!$C$3:$AG$100,10,FALSE),"")</f>
        <v/>
      </c>
      <c r="Z23" s="565" t="str">
        <f>IFERROR(VLOOKUP(Z$12,選定!$C$3:$AG$100,10,FALSE),"")</f>
        <v/>
      </c>
      <c r="AA23" s="565" t="str">
        <f>IFERROR(VLOOKUP(AA$12,選定!$C$3:$AG$100,10,FALSE),"")</f>
        <v/>
      </c>
      <c r="AB23" s="565" t="str">
        <f>IFERROR(VLOOKUP(AB$12,選定!$C$3:$AG$100,10,FALSE),"")</f>
        <v/>
      </c>
      <c r="AC23" s="565" t="str">
        <f>IFERROR(VLOOKUP(AC$12,選定!$C$3:$AG$100,10,FALSE),"")</f>
        <v/>
      </c>
      <c r="AD23" s="565" t="str">
        <f>IFERROR(VLOOKUP(AD$12,選定!$C$3:$AG$100,10,FALSE),"")</f>
        <v/>
      </c>
      <c r="AE23" s="565" t="str">
        <f>IFERROR(VLOOKUP(AE$12,選定!$C$3:$AG$100,10,FALSE),"")</f>
        <v/>
      </c>
    </row>
    <row r="24" spans="1:31" s="21" customFormat="1" ht="15.75" thickBot="1">
      <c r="A24" s="585" t="s">
        <v>475</v>
      </c>
      <c r="B24" s="565" t="str">
        <f>IFERROR(VLOOKUP(B$12,選定!$C$3:$AG$100,11,FALSE),"")</f>
        <v/>
      </c>
      <c r="C24" s="565" t="str">
        <f>IFERROR(VLOOKUP(C$12,選定!$C$3:$AG$100,11,FALSE),"")</f>
        <v/>
      </c>
      <c r="D24" s="565" t="str">
        <f>IFERROR(VLOOKUP(D$12,選定!$C$3:$AG$100,11,FALSE),"")</f>
        <v/>
      </c>
      <c r="E24" s="565" t="str">
        <f>IFERROR(VLOOKUP(E$12,選定!$C$3:$AG$100,11,FALSE),"")</f>
        <v/>
      </c>
      <c r="F24" s="565" t="str">
        <f>IFERROR(VLOOKUP(F$12,選定!$C$3:$AG$100,11,FALSE),"")</f>
        <v/>
      </c>
      <c r="G24" s="565" t="str">
        <f>IFERROR(VLOOKUP(G$12,選定!$C$3:$AG$100,11,FALSE),"")</f>
        <v/>
      </c>
      <c r="H24" s="565" t="str">
        <f>IFERROR(VLOOKUP(H$12,選定!$C$3:$AG$100,11,FALSE),"")</f>
        <v/>
      </c>
      <c r="I24" s="565" t="str">
        <f>IFERROR(VLOOKUP(I$12,選定!$C$3:$AG$100,11,FALSE),"")</f>
        <v/>
      </c>
      <c r="J24" s="565" t="str">
        <f>IFERROR(VLOOKUP(J$12,選定!$C$3:$AG$100,11,FALSE),"")</f>
        <v/>
      </c>
      <c r="K24" s="565" t="str">
        <f>IFERROR(VLOOKUP(K$12,選定!$C$3:$AG$100,11,FALSE),"")</f>
        <v/>
      </c>
      <c r="L24" s="565" t="str">
        <f>IFERROR(VLOOKUP(L$12,選定!$C$3:$AG$100,11,FALSE),"")</f>
        <v/>
      </c>
      <c r="M24" s="565" t="str">
        <f>IFERROR(VLOOKUP(M$12,選定!$C$3:$AG$100,11,FALSE),"")</f>
        <v/>
      </c>
      <c r="N24" s="565" t="str">
        <f>IFERROR(VLOOKUP(N$12,選定!$C$3:$AG$100,11,FALSE),"")</f>
        <v/>
      </c>
      <c r="O24" s="565" t="str">
        <f>IFERROR(VLOOKUP(O$12,選定!$C$3:$AG$100,11,FALSE),"")</f>
        <v/>
      </c>
      <c r="P24" s="565" t="str">
        <f>IFERROR(VLOOKUP(P$12,選定!$C$3:$AG$100,11,FALSE),"")</f>
        <v/>
      </c>
      <c r="Q24" s="565" t="str">
        <f>IFERROR(VLOOKUP(Q$12,選定!$C$3:$AG$100,11,FALSE),"")</f>
        <v/>
      </c>
      <c r="R24" s="565" t="str">
        <f>IFERROR(VLOOKUP(R$12,選定!$C$3:$AG$100,11,FALSE),"")</f>
        <v/>
      </c>
      <c r="S24" s="565" t="str">
        <f>IFERROR(VLOOKUP(S$12,選定!$C$3:$AG$100,11,FALSE),"")</f>
        <v/>
      </c>
      <c r="T24" s="565" t="str">
        <f>IFERROR(VLOOKUP(T$12,選定!$C$3:$AG$100,11,FALSE),"")</f>
        <v/>
      </c>
      <c r="U24" s="565" t="str">
        <f>IFERROR(VLOOKUP(U$12,選定!$C$3:$AG$100,11,FALSE),"")</f>
        <v/>
      </c>
      <c r="V24" s="565" t="str">
        <f>IFERROR(VLOOKUP(V$12,選定!$C$3:$AG$100,11,FALSE),"")</f>
        <v/>
      </c>
      <c r="W24" s="565" t="str">
        <f>IFERROR(VLOOKUP(W$12,選定!$C$3:$AG$100,11,FALSE),"")</f>
        <v/>
      </c>
      <c r="X24" s="565" t="str">
        <f>IFERROR(VLOOKUP(X$12,選定!$C$3:$AG$100,11,FALSE),"")</f>
        <v/>
      </c>
      <c r="Y24" s="565" t="str">
        <f>IFERROR(VLOOKUP(Y$12,選定!$C$3:$AG$100,11,FALSE),"")</f>
        <v/>
      </c>
      <c r="Z24" s="565" t="str">
        <f>IFERROR(VLOOKUP(Z$12,選定!$C$3:$AG$100,11,FALSE),"")</f>
        <v/>
      </c>
      <c r="AA24" s="565" t="str">
        <f>IFERROR(VLOOKUP(AA$12,選定!$C$3:$AG$100,11,FALSE),"")</f>
        <v/>
      </c>
      <c r="AB24" s="565" t="str">
        <f>IFERROR(VLOOKUP(AB$12,選定!$C$3:$AG$100,11,FALSE),"")</f>
        <v/>
      </c>
      <c r="AC24" s="565" t="str">
        <f>IFERROR(VLOOKUP(AC$12,選定!$C$3:$AG$100,11,FALSE),"")</f>
        <v/>
      </c>
      <c r="AD24" s="565" t="str">
        <f>IFERROR(VLOOKUP(AD$12,選定!$C$3:$AG$100,11,FALSE),"")</f>
        <v/>
      </c>
      <c r="AE24" s="565" t="str">
        <f>IFERROR(VLOOKUP(AE$12,選定!$C$3:$AG$100,11,FALSE),"")</f>
        <v/>
      </c>
    </row>
    <row r="25" spans="1:31" s="21" customFormat="1" ht="15.75" hidden="1" thickBot="1">
      <c r="A25" s="599" t="s">
        <v>106</v>
      </c>
      <c r="B25" s="565" t="str">
        <f>IFERROR(VLOOKUP(B$12,選定!$C$3:$AG$100,12,FALSE),"")</f>
        <v/>
      </c>
      <c r="C25" s="565" t="str">
        <f>IFERROR(VLOOKUP(C$12,選定!$C$3:$AG$100,12,FALSE),"")</f>
        <v/>
      </c>
      <c r="D25" s="565" t="str">
        <f>IFERROR(VLOOKUP(D$12,選定!$C$3:$AG$100,12,FALSE),"")</f>
        <v/>
      </c>
      <c r="E25" s="565" t="str">
        <f>IFERROR(VLOOKUP(E$12,選定!$C$3:$AG$100,12,FALSE),"")</f>
        <v/>
      </c>
      <c r="F25" s="565" t="str">
        <f>IFERROR(VLOOKUP(F$12,選定!$C$3:$AG$100,12,FALSE),"")</f>
        <v/>
      </c>
      <c r="G25" s="565" t="str">
        <f>IFERROR(VLOOKUP(G$12,選定!$C$3:$AG$100,12,FALSE),"")</f>
        <v/>
      </c>
      <c r="H25" s="565" t="str">
        <f>IFERROR(VLOOKUP(H$12,選定!$C$3:$AG$100,12,FALSE),"")</f>
        <v/>
      </c>
      <c r="I25" s="565" t="str">
        <f>IFERROR(VLOOKUP(I$12,選定!$C$3:$AG$100,12,FALSE),"")</f>
        <v/>
      </c>
      <c r="J25" s="565" t="str">
        <f>IFERROR(VLOOKUP(J$12,選定!$C$3:$AG$100,12,FALSE),"")</f>
        <v/>
      </c>
      <c r="K25" s="565" t="str">
        <f>IFERROR(VLOOKUP(K$12,選定!$C$3:$AG$100,12,FALSE),"")</f>
        <v/>
      </c>
      <c r="L25" s="565" t="str">
        <f>IFERROR(VLOOKUP(L$12,選定!$C$3:$AG$100,12,FALSE),"")</f>
        <v/>
      </c>
      <c r="M25" s="565" t="str">
        <f>IFERROR(VLOOKUP(M$12,選定!$C$3:$AG$100,12,FALSE),"")</f>
        <v/>
      </c>
      <c r="N25" s="565" t="str">
        <f>IFERROR(VLOOKUP(N$12,選定!$C$3:$AG$100,12,FALSE),"")</f>
        <v/>
      </c>
      <c r="O25" s="565" t="str">
        <f>IFERROR(VLOOKUP(O$12,選定!$C$3:$AG$100,12,FALSE),"")</f>
        <v/>
      </c>
      <c r="P25" s="565" t="str">
        <f>IFERROR(VLOOKUP(P$12,選定!$C$3:$AG$100,12,FALSE),"")</f>
        <v/>
      </c>
      <c r="Q25" s="565" t="str">
        <f>IFERROR(VLOOKUP(Q$12,選定!$C$3:$AG$100,12,FALSE),"")</f>
        <v/>
      </c>
      <c r="R25" s="565" t="str">
        <f>IFERROR(VLOOKUP(R$12,選定!$C$3:$AG$100,12,FALSE),"")</f>
        <v/>
      </c>
      <c r="S25" s="565" t="str">
        <f>IFERROR(VLOOKUP(S$12,選定!$C$3:$AG$100,12,FALSE),"")</f>
        <v/>
      </c>
      <c r="T25" s="565" t="str">
        <f>IFERROR(VLOOKUP(T$12,選定!$C$3:$AG$100,12,FALSE),"")</f>
        <v/>
      </c>
      <c r="U25" s="565" t="str">
        <f>IFERROR(VLOOKUP(U$12,選定!$C$3:$AG$100,12,FALSE),"")</f>
        <v/>
      </c>
      <c r="V25" s="565" t="str">
        <f>IFERROR(VLOOKUP(V$12,選定!$C$3:$AG$100,12,FALSE),"")</f>
        <v/>
      </c>
      <c r="W25" s="565" t="str">
        <f>IFERROR(VLOOKUP(W$12,選定!$C$3:$AG$100,12,FALSE),"")</f>
        <v/>
      </c>
      <c r="X25" s="565" t="str">
        <f>IFERROR(VLOOKUP(X$12,選定!$C$3:$AG$100,12,FALSE),"")</f>
        <v/>
      </c>
      <c r="Y25" s="565" t="str">
        <f>IFERROR(VLOOKUP(Y$12,選定!$C$3:$AG$100,12,FALSE),"")</f>
        <v/>
      </c>
      <c r="Z25" s="565" t="str">
        <f>IFERROR(VLOOKUP(Z$12,選定!$C$3:$AG$100,12,FALSE),"")</f>
        <v/>
      </c>
      <c r="AA25" s="565" t="str">
        <f>IFERROR(VLOOKUP(AA$12,選定!$C$3:$AG$100,12,FALSE),"")</f>
        <v/>
      </c>
      <c r="AB25" s="565" t="str">
        <f>IFERROR(VLOOKUP(AB$12,選定!$C$3:$AG$100,12,FALSE),"")</f>
        <v/>
      </c>
      <c r="AC25" s="565" t="str">
        <f>IFERROR(VLOOKUP(AC$12,選定!$C$3:$AG$100,12,FALSE),"")</f>
        <v/>
      </c>
      <c r="AD25" s="565" t="str">
        <f>IFERROR(VLOOKUP(AD$12,選定!$C$3:$AG$100,12,FALSE),"")</f>
        <v/>
      </c>
      <c r="AE25" s="565" t="str">
        <f>IFERROR(VLOOKUP(AE$12,選定!$C$3:$AG$100,12,FALSE),"")</f>
        <v/>
      </c>
    </row>
    <row r="26" spans="1:31" s="21" customFormat="1" ht="15.75" hidden="1" thickBot="1">
      <c r="A26" s="599" t="s">
        <v>107</v>
      </c>
      <c r="B26" s="565" t="str">
        <f>IFERROR(VLOOKUP(B$12,選定!$C$3:$AG$100,13,FALSE),"")</f>
        <v/>
      </c>
      <c r="C26" s="565" t="str">
        <f>IFERROR(VLOOKUP(C$12,選定!$C$3:$AG$100,13,FALSE),"")</f>
        <v/>
      </c>
      <c r="D26" s="565" t="str">
        <f>IFERROR(VLOOKUP(D$12,選定!$C$3:$AG$100,13,FALSE),"")</f>
        <v/>
      </c>
      <c r="E26" s="565" t="str">
        <f>IFERROR(VLOOKUP(E$12,選定!$C$3:$AG$100,13,FALSE),"")</f>
        <v/>
      </c>
      <c r="F26" s="565" t="str">
        <f>IFERROR(VLOOKUP(F$12,選定!$C$3:$AG$100,13,FALSE),"")</f>
        <v/>
      </c>
      <c r="G26" s="565" t="str">
        <f>IFERROR(VLOOKUP(G$12,選定!$C$3:$AG$100,13,FALSE),"")</f>
        <v/>
      </c>
      <c r="H26" s="565" t="str">
        <f>IFERROR(VLOOKUP(H$12,選定!$C$3:$AG$100,13,FALSE),"")</f>
        <v/>
      </c>
      <c r="I26" s="565" t="str">
        <f>IFERROR(VLOOKUP(I$12,選定!$C$3:$AG$100,13,FALSE),"")</f>
        <v/>
      </c>
      <c r="J26" s="565" t="str">
        <f>IFERROR(VLOOKUP(J$12,選定!$C$3:$AG$100,13,FALSE),"")</f>
        <v/>
      </c>
      <c r="K26" s="565" t="str">
        <f>IFERROR(VLOOKUP(K$12,選定!$C$3:$AG$100,13,FALSE),"")</f>
        <v/>
      </c>
      <c r="L26" s="565" t="str">
        <f>IFERROR(VLOOKUP(L$12,選定!$C$3:$AG$100,13,FALSE),"")</f>
        <v/>
      </c>
      <c r="M26" s="565" t="str">
        <f>IFERROR(VLOOKUP(M$12,選定!$C$3:$AG$100,13,FALSE),"")</f>
        <v/>
      </c>
      <c r="N26" s="565" t="str">
        <f>IFERROR(VLOOKUP(N$12,選定!$C$3:$AG$100,13,FALSE),"")</f>
        <v/>
      </c>
      <c r="O26" s="565" t="str">
        <f>IFERROR(VLOOKUP(O$12,選定!$C$3:$AG$100,13,FALSE),"")</f>
        <v/>
      </c>
      <c r="P26" s="565" t="str">
        <f>IFERROR(VLOOKUP(P$12,選定!$C$3:$AG$100,13,FALSE),"")</f>
        <v/>
      </c>
      <c r="Q26" s="565" t="str">
        <f>IFERROR(VLOOKUP(Q$12,選定!$C$3:$AG$100,13,FALSE),"")</f>
        <v/>
      </c>
      <c r="R26" s="565" t="str">
        <f>IFERROR(VLOOKUP(R$12,選定!$C$3:$AG$100,13,FALSE),"")</f>
        <v/>
      </c>
      <c r="S26" s="565" t="str">
        <f>IFERROR(VLOOKUP(S$12,選定!$C$3:$AG$100,13,FALSE),"")</f>
        <v/>
      </c>
      <c r="T26" s="565" t="str">
        <f>IFERROR(VLOOKUP(T$12,選定!$C$3:$AG$100,13,FALSE),"")</f>
        <v/>
      </c>
      <c r="U26" s="565" t="str">
        <f>IFERROR(VLOOKUP(U$12,選定!$C$3:$AG$100,13,FALSE),"")</f>
        <v/>
      </c>
      <c r="V26" s="565" t="str">
        <f>IFERROR(VLOOKUP(V$12,選定!$C$3:$AG$100,13,FALSE),"")</f>
        <v/>
      </c>
      <c r="W26" s="565" t="str">
        <f>IFERROR(VLOOKUP(W$12,選定!$C$3:$AG$100,13,FALSE),"")</f>
        <v/>
      </c>
      <c r="X26" s="565" t="str">
        <f>IFERROR(VLOOKUP(X$12,選定!$C$3:$AG$100,13,FALSE),"")</f>
        <v/>
      </c>
      <c r="Y26" s="565" t="str">
        <f>IFERROR(VLOOKUP(Y$12,選定!$C$3:$AG$100,13,FALSE),"")</f>
        <v/>
      </c>
      <c r="Z26" s="565" t="str">
        <f>IFERROR(VLOOKUP(Z$12,選定!$C$3:$AG$100,13,FALSE),"")</f>
        <v/>
      </c>
      <c r="AA26" s="565" t="str">
        <f>IFERROR(VLOOKUP(AA$12,選定!$C$3:$AG$100,13,FALSE),"")</f>
        <v/>
      </c>
      <c r="AB26" s="565" t="str">
        <f>IFERROR(VLOOKUP(AB$12,選定!$C$3:$AG$100,13,FALSE),"")</f>
        <v/>
      </c>
      <c r="AC26" s="565" t="str">
        <f>IFERROR(VLOOKUP(AC$12,選定!$C$3:$AG$100,13,FALSE),"")</f>
        <v/>
      </c>
      <c r="AD26" s="565" t="str">
        <f>IFERROR(VLOOKUP(AD$12,選定!$C$3:$AG$100,13,FALSE),"")</f>
        <v/>
      </c>
      <c r="AE26" s="565" t="str">
        <f>IFERROR(VLOOKUP(AE$12,選定!$C$3:$AG$100,13,FALSE),"")</f>
        <v/>
      </c>
    </row>
    <row r="27" spans="1:31" s="84" customFormat="1" ht="15.75" hidden="1" thickBot="1">
      <c r="A27" s="602" t="s">
        <v>108</v>
      </c>
      <c r="B27" s="573" t="str">
        <f>IFERROR(VLOOKUP(B$12,選定!$C$3:$AG$100,14,FALSE),"")</f>
        <v/>
      </c>
      <c r="C27" s="573" t="str">
        <f>IFERROR(VLOOKUP(C$12,選定!$C$3:$AG$100,14,FALSE),"")</f>
        <v/>
      </c>
      <c r="D27" s="573" t="str">
        <f>IFERROR(VLOOKUP(D$12,選定!$C$3:$AG$100,14,FALSE),"")</f>
        <v/>
      </c>
      <c r="E27" s="573" t="str">
        <f>IFERROR(VLOOKUP(E$12,選定!$C$3:$AG$100,14,FALSE),"")</f>
        <v/>
      </c>
      <c r="F27" s="573" t="str">
        <f>IFERROR(VLOOKUP(F$12,選定!$C$3:$AG$100,14,FALSE),"")</f>
        <v/>
      </c>
      <c r="G27" s="573" t="str">
        <f>IFERROR(VLOOKUP(G$12,選定!$C$3:$AG$100,14,FALSE),"")</f>
        <v/>
      </c>
      <c r="H27" s="573" t="str">
        <f>IFERROR(VLOOKUP(H$12,選定!$C$3:$AG$100,14,FALSE),"")</f>
        <v/>
      </c>
      <c r="I27" s="573" t="str">
        <f>IFERROR(VLOOKUP(I$12,選定!$C$3:$AG$100,14,FALSE),"")</f>
        <v/>
      </c>
      <c r="J27" s="573" t="str">
        <f>IFERROR(VLOOKUP(J$12,選定!$C$3:$AG$100,14,FALSE),"")</f>
        <v/>
      </c>
      <c r="K27" s="573" t="str">
        <f>IFERROR(VLOOKUP(K$12,選定!$C$3:$AG$100,14,FALSE),"")</f>
        <v/>
      </c>
      <c r="L27" s="573" t="str">
        <f>IFERROR(VLOOKUP(L$12,選定!$C$3:$AG$100,14,FALSE),"")</f>
        <v/>
      </c>
      <c r="M27" s="573" t="str">
        <f>IFERROR(VLOOKUP(M$12,選定!$C$3:$AG$100,14,FALSE),"")</f>
        <v/>
      </c>
      <c r="N27" s="573" t="str">
        <f>IFERROR(VLOOKUP(N$12,選定!$C$3:$AG$100,14,FALSE),"")</f>
        <v/>
      </c>
      <c r="O27" s="573" t="str">
        <f>IFERROR(VLOOKUP(O$12,選定!$C$3:$AG$100,14,FALSE),"")</f>
        <v/>
      </c>
      <c r="P27" s="573" t="str">
        <f>IFERROR(VLOOKUP(P$12,選定!$C$3:$AG$100,14,FALSE),"")</f>
        <v/>
      </c>
      <c r="Q27" s="573" t="str">
        <f>IFERROR(VLOOKUP(Q$12,選定!$C$3:$AG$100,14,FALSE),"")</f>
        <v/>
      </c>
      <c r="R27" s="573" t="str">
        <f>IFERROR(VLOOKUP(R$12,選定!$C$3:$AG$100,14,FALSE),"")</f>
        <v/>
      </c>
      <c r="S27" s="573" t="str">
        <f>IFERROR(VLOOKUP(S$12,選定!$C$3:$AG$100,14,FALSE),"")</f>
        <v/>
      </c>
      <c r="T27" s="573" t="str">
        <f>IFERROR(VLOOKUP(T$12,選定!$C$3:$AG$100,14,FALSE),"")</f>
        <v/>
      </c>
      <c r="U27" s="573" t="str">
        <f>IFERROR(VLOOKUP(U$12,選定!$C$3:$AG$100,14,FALSE),"")</f>
        <v/>
      </c>
      <c r="V27" s="573" t="str">
        <f>IFERROR(VLOOKUP(V$12,選定!$C$3:$AG$100,14,FALSE),"")</f>
        <v/>
      </c>
      <c r="W27" s="573" t="str">
        <f>IFERROR(VLOOKUP(W$12,選定!$C$3:$AG$100,14,FALSE),"")</f>
        <v/>
      </c>
      <c r="X27" s="573" t="str">
        <f>IFERROR(VLOOKUP(X$12,選定!$C$3:$AG$100,14,FALSE),"")</f>
        <v/>
      </c>
      <c r="Y27" s="573" t="str">
        <f>IFERROR(VLOOKUP(Y$12,選定!$C$3:$AG$100,14,FALSE),"")</f>
        <v/>
      </c>
      <c r="Z27" s="573" t="str">
        <f>IFERROR(VLOOKUP(Z$12,選定!$C$3:$AG$100,14,FALSE),"")</f>
        <v/>
      </c>
      <c r="AA27" s="573" t="str">
        <f>IFERROR(VLOOKUP(AA$12,選定!$C$3:$AG$100,14,FALSE),"")</f>
        <v/>
      </c>
      <c r="AB27" s="573" t="str">
        <f>IFERROR(VLOOKUP(AB$12,選定!$C$3:$AG$100,14,FALSE),"")</f>
        <v/>
      </c>
      <c r="AC27" s="573" t="str">
        <f>IFERROR(VLOOKUP(AC$12,選定!$C$3:$AG$100,14,FALSE),"")</f>
        <v/>
      </c>
      <c r="AD27" s="573" t="str">
        <f>IFERROR(VLOOKUP(AD$12,選定!$C$3:$AG$100,14,FALSE),"")</f>
        <v/>
      </c>
      <c r="AE27" s="573" t="str">
        <f>IFERROR(VLOOKUP(AE$12,選定!$C$3:$AG$100,14,FALSE),"")</f>
        <v/>
      </c>
    </row>
    <row r="28" spans="1:31" s="21" customFormat="1" ht="15.75" hidden="1" thickBot="1">
      <c r="A28" s="599"/>
      <c r="B28" s="585"/>
      <c r="C28" s="585"/>
      <c r="D28" s="585"/>
      <c r="E28" s="585"/>
      <c r="F28" s="585"/>
      <c r="G28" s="585"/>
      <c r="H28" s="585"/>
      <c r="I28" s="585"/>
      <c r="J28" s="585"/>
      <c r="K28" s="585"/>
      <c r="L28" s="585"/>
      <c r="M28" s="585"/>
      <c r="N28" s="585"/>
      <c r="O28" s="585"/>
      <c r="P28" s="585"/>
      <c r="Q28" s="585"/>
      <c r="R28" s="585"/>
      <c r="S28" s="585"/>
      <c r="T28" s="585"/>
      <c r="U28" s="585"/>
      <c r="V28" s="585"/>
      <c r="W28" s="585"/>
      <c r="X28" s="585"/>
      <c r="Y28" s="585"/>
      <c r="Z28" s="585"/>
      <c r="AA28" s="585"/>
      <c r="AB28" s="585"/>
      <c r="AC28" s="585"/>
      <c r="AD28" s="585"/>
      <c r="AE28" s="585"/>
    </row>
    <row r="29" spans="1:31" s="21" customFormat="1" ht="15.75" hidden="1" thickBot="1">
      <c r="A29" s="599" t="s">
        <v>110</v>
      </c>
      <c r="B29" s="585" t="str">
        <f>IFERROR(VLOOKUP(B$12,選定!$C$3:$AG$100,16,FALSE),"")</f>
        <v/>
      </c>
      <c r="C29" s="585" t="str">
        <f>IFERROR(VLOOKUP(C$12,選定!$C$3:$AG$100,16,FALSE),"")</f>
        <v/>
      </c>
      <c r="D29" s="585" t="str">
        <f>IFERROR(VLOOKUP(D$12,選定!$C$3:$AG$100,16,FALSE),"")</f>
        <v/>
      </c>
      <c r="E29" s="585" t="str">
        <f>IFERROR(VLOOKUP(E$12,選定!$C$3:$AG$100,16,FALSE),"")</f>
        <v/>
      </c>
      <c r="F29" s="585" t="str">
        <f>IFERROR(VLOOKUP(F$12,選定!$C$3:$AG$100,16,FALSE),"")</f>
        <v/>
      </c>
      <c r="G29" s="585" t="str">
        <f>IFERROR(VLOOKUP(G$12,選定!$C$3:$AG$100,16,FALSE),"")</f>
        <v/>
      </c>
      <c r="H29" s="585" t="str">
        <f>IFERROR(VLOOKUP(H$12,選定!$C$3:$AG$100,16,FALSE),"")</f>
        <v/>
      </c>
      <c r="I29" s="585" t="str">
        <f>IFERROR(VLOOKUP(I$12,選定!$C$3:$AG$100,16,FALSE),"")</f>
        <v/>
      </c>
      <c r="J29" s="585" t="str">
        <f>IFERROR(VLOOKUP(J$12,選定!$C$3:$AG$100,16,FALSE),"")</f>
        <v/>
      </c>
      <c r="K29" s="585" t="str">
        <f>IFERROR(VLOOKUP(K$12,選定!$C$3:$AG$100,16,FALSE),"")</f>
        <v/>
      </c>
      <c r="L29" s="585" t="str">
        <f>IFERROR(VLOOKUP(L$12,選定!$C$3:$AG$100,16,FALSE),"")</f>
        <v/>
      </c>
      <c r="M29" s="585" t="str">
        <f>IFERROR(VLOOKUP(M$12,選定!$C$3:$AG$100,16,FALSE),"")</f>
        <v/>
      </c>
      <c r="N29" s="585" t="str">
        <f>IFERROR(VLOOKUP(N$12,選定!$C$3:$AG$100,16,FALSE),"")</f>
        <v/>
      </c>
      <c r="O29" s="585" t="str">
        <f>IFERROR(VLOOKUP(O$12,選定!$C$3:$AG$100,16,FALSE),"")</f>
        <v/>
      </c>
      <c r="P29" s="585" t="str">
        <f>IFERROR(VLOOKUP(P$12,選定!$C$3:$AG$100,16,FALSE),"")</f>
        <v/>
      </c>
      <c r="Q29" s="585" t="str">
        <f>IFERROR(VLOOKUP(Q$12,選定!$C$3:$AG$100,16,FALSE),"")</f>
        <v/>
      </c>
      <c r="R29" s="585" t="str">
        <f>IFERROR(VLOOKUP(R$12,選定!$C$3:$AG$100,16,FALSE),"")</f>
        <v/>
      </c>
      <c r="S29" s="585" t="str">
        <f>IFERROR(VLOOKUP(S$12,選定!$C$3:$AG$100,16,FALSE),"")</f>
        <v/>
      </c>
      <c r="T29" s="585" t="str">
        <f>IFERROR(VLOOKUP(T$12,選定!$C$3:$AG$100,16,FALSE),"")</f>
        <v/>
      </c>
      <c r="U29" s="585" t="str">
        <f>IFERROR(VLOOKUP(U$12,選定!$C$3:$AG$100,16,FALSE),"")</f>
        <v/>
      </c>
      <c r="V29" s="585" t="str">
        <f>IFERROR(VLOOKUP(V$12,選定!$C$3:$AG$100,16,FALSE),"")</f>
        <v/>
      </c>
      <c r="W29" s="585" t="str">
        <f>IFERROR(VLOOKUP(W$12,選定!$C$3:$AG$100,16,FALSE),"")</f>
        <v/>
      </c>
      <c r="X29" s="585" t="str">
        <f>IFERROR(VLOOKUP(X$12,選定!$C$3:$AG$100,16,FALSE),"")</f>
        <v/>
      </c>
      <c r="Y29" s="585" t="str">
        <f>IFERROR(VLOOKUP(Y$12,選定!$C$3:$AG$100,16,FALSE),"")</f>
        <v/>
      </c>
      <c r="Z29" s="585" t="str">
        <f>IFERROR(VLOOKUP(Z$12,選定!$C$3:$AG$100,16,FALSE),"")</f>
        <v/>
      </c>
      <c r="AA29" s="585" t="str">
        <f>IFERROR(VLOOKUP(AA$12,選定!$C$3:$AG$100,16,FALSE),"")</f>
        <v/>
      </c>
      <c r="AB29" s="585" t="str">
        <f>IFERROR(VLOOKUP(AB$12,選定!$C$3:$AG$100,16,FALSE),"")</f>
        <v/>
      </c>
      <c r="AC29" s="585" t="str">
        <f>IFERROR(VLOOKUP(AC$12,選定!$C$3:$AG$100,16,FALSE),"")</f>
        <v/>
      </c>
      <c r="AD29" s="585" t="str">
        <f>IFERROR(VLOOKUP(AD$12,選定!$C$3:$AG$100,16,FALSE),"")</f>
        <v/>
      </c>
      <c r="AE29" s="585" t="str">
        <f>IFERROR(VLOOKUP(AE$12,選定!$C$3:$AG$100,16,FALSE),"")</f>
        <v/>
      </c>
    </row>
    <row r="30" spans="1:31" s="84" customFormat="1" ht="15.75" hidden="1" thickBot="1">
      <c r="A30" s="602" t="s">
        <v>111</v>
      </c>
      <c r="B30" s="592" t="str">
        <f>IFERROR(VLOOKUP(B$12,選定!$C$3:$AG$100,17,FALSE),"")</f>
        <v/>
      </c>
      <c r="C30" s="592" t="str">
        <f>IFERROR(VLOOKUP(C$12,選定!$C$3:$AG$100,17,FALSE),"")</f>
        <v/>
      </c>
      <c r="D30" s="592" t="str">
        <f>IFERROR(VLOOKUP(D$12,選定!$C$3:$AG$100,17,FALSE),"")</f>
        <v/>
      </c>
      <c r="E30" s="592" t="str">
        <f>IFERROR(VLOOKUP(E$12,選定!$C$3:$AG$100,17,FALSE),"")</f>
        <v/>
      </c>
      <c r="F30" s="592" t="str">
        <f>IFERROR(VLOOKUP(F$12,選定!$C$3:$AG$100,17,FALSE),"")</f>
        <v/>
      </c>
      <c r="G30" s="592" t="str">
        <f>IFERROR(VLOOKUP(G$12,選定!$C$3:$AG$100,17,FALSE),"")</f>
        <v/>
      </c>
      <c r="H30" s="592" t="str">
        <f>IFERROR(VLOOKUP(H$12,選定!$C$3:$AG$100,17,FALSE),"")</f>
        <v/>
      </c>
      <c r="I30" s="592" t="str">
        <f>IFERROR(VLOOKUP(I$12,選定!$C$3:$AG$100,17,FALSE),"")</f>
        <v/>
      </c>
      <c r="J30" s="592" t="str">
        <f>IFERROR(VLOOKUP(J$12,選定!$C$3:$AG$100,17,FALSE),"")</f>
        <v/>
      </c>
      <c r="K30" s="592" t="str">
        <f>IFERROR(VLOOKUP(K$12,選定!$C$3:$AG$100,17,FALSE),"")</f>
        <v/>
      </c>
      <c r="L30" s="592" t="str">
        <f>IFERROR(VLOOKUP(L$12,選定!$C$3:$AG$100,17,FALSE),"")</f>
        <v/>
      </c>
      <c r="M30" s="592" t="str">
        <f>IFERROR(VLOOKUP(M$12,選定!$C$3:$AG$100,17,FALSE),"")</f>
        <v/>
      </c>
      <c r="N30" s="592" t="str">
        <f>IFERROR(VLOOKUP(N$12,選定!$C$3:$AG$100,17,FALSE),"")</f>
        <v/>
      </c>
      <c r="O30" s="592" t="str">
        <f>IFERROR(VLOOKUP(O$12,選定!$C$3:$AG$100,17,FALSE),"")</f>
        <v/>
      </c>
      <c r="P30" s="592" t="str">
        <f>IFERROR(VLOOKUP(P$12,選定!$C$3:$AG$100,17,FALSE),"")</f>
        <v/>
      </c>
      <c r="Q30" s="592" t="str">
        <f>IFERROR(VLOOKUP(Q$12,選定!$C$3:$AG$100,17,FALSE),"")</f>
        <v/>
      </c>
      <c r="R30" s="592" t="str">
        <f>IFERROR(VLOOKUP(R$12,選定!$C$3:$AG$100,17,FALSE),"")</f>
        <v/>
      </c>
      <c r="S30" s="592" t="str">
        <f>IFERROR(VLOOKUP(S$12,選定!$C$3:$AG$100,17,FALSE),"")</f>
        <v/>
      </c>
      <c r="T30" s="592" t="str">
        <f>IFERROR(VLOOKUP(T$12,選定!$C$3:$AG$100,17,FALSE),"")</f>
        <v/>
      </c>
      <c r="U30" s="592" t="str">
        <f>IFERROR(VLOOKUP(U$12,選定!$C$3:$AG$100,17,FALSE),"")</f>
        <v/>
      </c>
      <c r="V30" s="592" t="str">
        <f>IFERROR(VLOOKUP(V$12,選定!$C$3:$AG$100,17,FALSE),"")</f>
        <v/>
      </c>
      <c r="W30" s="592" t="str">
        <f>IFERROR(VLOOKUP(W$12,選定!$C$3:$AG$100,17,FALSE),"")</f>
        <v/>
      </c>
      <c r="X30" s="592" t="str">
        <f>IFERROR(VLOOKUP(X$12,選定!$C$3:$AG$100,17,FALSE),"")</f>
        <v/>
      </c>
      <c r="Y30" s="592" t="str">
        <f>IFERROR(VLOOKUP(Y$12,選定!$C$3:$AG$100,17,FALSE),"")</f>
        <v/>
      </c>
      <c r="Z30" s="592" t="str">
        <f>IFERROR(VLOOKUP(Z$12,選定!$C$3:$AG$100,17,FALSE),"")</f>
        <v/>
      </c>
      <c r="AA30" s="592" t="str">
        <f>IFERROR(VLOOKUP(AA$12,選定!$C$3:$AG$100,17,FALSE),"")</f>
        <v/>
      </c>
      <c r="AB30" s="592" t="str">
        <f>IFERROR(VLOOKUP(AB$12,選定!$C$3:$AG$100,17,FALSE),"")</f>
        <v/>
      </c>
      <c r="AC30" s="592" t="str">
        <f>IFERROR(VLOOKUP(AC$12,選定!$C$3:$AG$100,17,FALSE),"")</f>
        <v/>
      </c>
      <c r="AD30" s="592" t="str">
        <f>IFERROR(VLOOKUP(AD$12,選定!$C$3:$AG$100,17,FALSE),"")</f>
        <v/>
      </c>
      <c r="AE30" s="592" t="str">
        <f>IFERROR(VLOOKUP(AE$12,選定!$C$3:$AG$100,17,FALSE),"")</f>
        <v/>
      </c>
    </row>
    <row r="31" spans="1:31" s="21" customFormat="1" ht="15.75" hidden="1" thickBot="1">
      <c r="A31" s="599"/>
      <c r="B31" s="585"/>
      <c r="C31" s="585"/>
      <c r="D31" s="585"/>
      <c r="E31" s="585"/>
      <c r="F31" s="585"/>
      <c r="G31" s="585"/>
      <c r="H31" s="585"/>
      <c r="I31" s="585"/>
      <c r="J31" s="585"/>
      <c r="K31" s="585"/>
      <c r="L31" s="585"/>
      <c r="M31" s="585"/>
      <c r="N31" s="585"/>
      <c r="O31" s="585"/>
      <c r="P31" s="585"/>
      <c r="Q31" s="585"/>
      <c r="R31" s="585"/>
      <c r="S31" s="585"/>
      <c r="T31" s="585"/>
      <c r="U31" s="585"/>
      <c r="V31" s="585"/>
      <c r="W31" s="585"/>
      <c r="X31" s="585"/>
      <c r="Y31" s="585"/>
      <c r="Z31" s="585"/>
      <c r="AA31" s="585"/>
      <c r="AB31" s="585"/>
      <c r="AC31" s="585"/>
      <c r="AD31" s="585"/>
      <c r="AE31" s="585"/>
    </row>
    <row r="32" spans="1:31" s="21" customFormat="1" ht="15.75" hidden="1" thickBot="1">
      <c r="A32" s="599" t="s">
        <v>113</v>
      </c>
      <c r="B32" s="585" t="str">
        <f>IFERROR(VLOOKUP(B$12,選定!$C$3:$AG$100,19,FALSE),"")</f>
        <v/>
      </c>
      <c r="C32" s="585" t="str">
        <f>IFERROR(VLOOKUP(C$12,選定!$C$3:$AG$100,19,FALSE),"")</f>
        <v/>
      </c>
      <c r="D32" s="585" t="str">
        <f>IFERROR(VLOOKUP(D$12,選定!$C$3:$AG$100,19,FALSE),"")</f>
        <v/>
      </c>
      <c r="E32" s="585" t="str">
        <f>IFERROR(VLOOKUP(E$12,選定!$C$3:$AG$100,19,FALSE),"")</f>
        <v/>
      </c>
      <c r="F32" s="585" t="str">
        <f>IFERROR(VLOOKUP(F$12,選定!$C$3:$AG$100,19,FALSE),"")</f>
        <v/>
      </c>
      <c r="G32" s="585" t="str">
        <f>IFERROR(VLOOKUP(G$12,選定!$C$3:$AG$100,19,FALSE),"")</f>
        <v/>
      </c>
      <c r="H32" s="585" t="str">
        <f>IFERROR(VLOOKUP(H$12,選定!$C$3:$AG$100,19,FALSE),"")</f>
        <v/>
      </c>
      <c r="I32" s="585" t="str">
        <f>IFERROR(VLOOKUP(I$12,選定!$C$3:$AG$100,19,FALSE),"")</f>
        <v/>
      </c>
      <c r="J32" s="585" t="str">
        <f>IFERROR(VLOOKUP(J$12,選定!$C$3:$AG$100,19,FALSE),"")</f>
        <v/>
      </c>
      <c r="K32" s="585" t="str">
        <f>IFERROR(VLOOKUP(K$12,選定!$C$3:$AG$100,19,FALSE),"")</f>
        <v/>
      </c>
      <c r="L32" s="585" t="str">
        <f>IFERROR(VLOOKUP(L$12,選定!$C$3:$AG$100,19,FALSE),"")</f>
        <v/>
      </c>
      <c r="M32" s="585" t="str">
        <f>IFERROR(VLOOKUP(M$12,選定!$C$3:$AG$100,19,FALSE),"")</f>
        <v/>
      </c>
      <c r="N32" s="585" t="str">
        <f>IFERROR(VLOOKUP(N$12,選定!$C$3:$AG$100,19,FALSE),"")</f>
        <v/>
      </c>
      <c r="O32" s="585" t="str">
        <f>IFERROR(VLOOKUP(O$12,選定!$C$3:$AG$100,19,FALSE),"")</f>
        <v/>
      </c>
      <c r="P32" s="585" t="str">
        <f>IFERROR(VLOOKUP(P$12,選定!$C$3:$AG$100,19,FALSE),"")</f>
        <v/>
      </c>
      <c r="Q32" s="585" t="str">
        <f>IFERROR(VLOOKUP(Q$12,選定!$C$3:$AG$100,19,FALSE),"")</f>
        <v/>
      </c>
      <c r="R32" s="585" t="str">
        <f>IFERROR(VLOOKUP(R$12,選定!$C$3:$AG$100,19,FALSE),"")</f>
        <v/>
      </c>
      <c r="S32" s="585" t="str">
        <f>IFERROR(VLOOKUP(S$12,選定!$C$3:$AG$100,19,FALSE),"")</f>
        <v/>
      </c>
      <c r="T32" s="585" t="str">
        <f>IFERROR(VLOOKUP(T$12,選定!$C$3:$AG$100,19,FALSE),"")</f>
        <v/>
      </c>
      <c r="U32" s="585" t="str">
        <f>IFERROR(VLOOKUP(U$12,選定!$C$3:$AG$100,19,FALSE),"")</f>
        <v/>
      </c>
      <c r="V32" s="585" t="str">
        <f>IFERROR(VLOOKUP(V$12,選定!$C$3:$AG$100,19,FALSE),"")</f>
        <v/>
      </c>
      <c r="W32" s="585" t="str">
        <f>IFERROR(VLOOKUP(W$12,選定!$C$3:$AG$100,19,FALSE),"")</f>
        <v/>
      </c>
      <c r="X32" s="585" t="str">
        <f>IFERROR(VLOOKUP(X$12,選定!$C$3:$AG$100,19,FALSE),"")</f>
        <v/>
      </c>
      <c r="Y32" s="585" t="str">
        <f>IFERROR(VLOOKUP(Y$12,選定!$C$3:$AG$100,19,FALSE),"")</f>
        <v/>
      </c>
      <c r="Z32" s="585" t="str">
        <f>IFERROR(VLOOKUP(Z$12,選定!$C$3:$AG$100,19,FALSE),"")</f>
        <v/>
      </c>
      <c r="AA32" s="585" t="str">
        <f>IFERROR(VLOOKUP(AA$12,選定!$C$3:$AG$100,19,FALSE),"")</f>
        <v/>
      </c>
      <c r="AB32" s="585" t="str">
        <f>IFERROR(VLOOKUP(AB$12,選定!$C$3:$AG$100,19,FALSE),"")</f>
        <v/>
      </c>
      <c r="AC32" s="585" t="str">
        <f>IFERROR(VLOOKUP(AC$12,選定!$C$3:$AG$100,19,FALSE),"")</f>
        <v/>
      </c>
      <c r="AD32" s="585" t="str">
        <f>IFERROR(VLOOKUP(AD$12,選定!$C$3:$AG$100,19,FALSE),"")</f>
        <v/>
      </c>
      <c r="AE32" s="585" t="str">
        <f>IFERROR(VLOOKUP(AE$12,選定!$C$3:$AG$100,19,FALSE),"")</f>
        <v/>
      </c>
    </row>
    <row r="33" spans="1:31" s="84" customFormat="1" ht="15.75" hidden="1" thickBot="1">
      <c r="A33" s="602" t="s">
        <v>114</v>
      </c>
      <c r="B33" s="592" t="str">
        <f>IFERROR(VLOOKUP(B$12,選定!$C$3:$AG$100,20,FALSE),"")</f>
        <v/>
      </c>
      <c r="C33" s="592" t="str">
        <f>IFERROR(VLOOKUP(C$12,選定!$C$3:$AG$100,20,FALSE),"")</f>
        <v/>
      </c>
      <c r="D33" s="592" t="str">
        <f>IFERROR(VLOOKUP(D$12,選定!$C$3:$AG$100,20,FALSE),"")</f>
        <v/>
      </c>
      <c r="E33" s="592" t="str">
        <f>IFERROR(VLOOKUP(E$12,選定!$C$3:$AG$100,20,FALSE),"")</f>
        <v/>
      </c>
      <c r="F33" s="592" t="str">
        <f>IFERROR(VLOOKUP(F$12,選定!$C$3:$AG$100,20,FALSE),"")</f>
        <v/>
      </c>
      <c r="G33" s="592" t="str">
        <f>IFERROR(VLOOKUP(G$12,選定!$C$3:$AG$100,20,FALSE),"")</f>
        <v/>
      </c>
      <c r="H33" s="592" t="str">
        <f>IFERROR(VLOOKUP(H$12,選定!$C$3:$AG$100,20,FALSE),"")</f>
        <v/>
      </c>
      <c r="I33" s="592" t="str">
        <f>IFERROR(VLOOKUP(I$12,選定!$C$3:$AG$100,20,FALSE),"")</f>
        <v/>
      </c>
      <c r="J33" s="592" t="str">
        <f>IFERROR(VLOOKUP(J$12,選定!$C$3:$AG$100,20,FALSE),"")</f>
        <v/>
      </c>
      <c r="K33" s="592" t="str">
        <f>IFERROR(VLOOKUP(K$12,選定!$C$3:$AG$100,20,FALSE),"")</f>
        <v/>
      </c>
      <c r="L33" s="592" t="str">
        <f>IFERROR(VLOOKUP(L$12,選定!$C$3:$AG$100,20,FALSE),"")</f>
        <v/>
      </c>
      <c r="M33" s="592" t="str">
        <f>IFERROR(VLOOKUP(M$12,選定!$C$3:$AG$100,20,FALSE),"")</f>
        <v/>
      </c>
      <c r="N33" s="592" t="str">
        <f>IFERROR(VLOOKUP(N$12,選定!$C$3:$AG$100,20,FALSE),"")</f>
        <v/>
      </c>
      <c r="O33" s="592" t="str">
        <f>IFERROR(VLOOKUP(O$12,選定!$C$3:$AG$100,20,FALSE),"")</f>
        <v/>
      </c>
      <c r="P33" s="592" t="str">
        <f>IFERROR(VLOOKUP(P$12,選定!$C$3:$AG$100,20,FALSE),"")</f>
        <v/>
      </c>
      <c r="Q33" s="592" t="str">
        <f>IFERROR(VLOOKUP(Q$12,選定!$C$3:$AG$100,20,FALSE),"")</f>
        <v/>
      </c>
      <c r="R33" s="592" t="str">
        <f>IFERROR(VLOOKUP(R$12,選定!$C$3:$AG$100,20,FALSE),"")</f>
        <v/>
      </c>
      <c r="S33" s="592" t="str">
        <f>IFERROR(VLOOKUP(S$12,選定!$C$3:$AG$100,20,FALSE),"")</f>
        <v/>
      </c>
      <c r="T33" s="592" t="str">
        <f>IFERROR(VLOOKUP(T$12,選定!$C$3:$AG$100,20,FALSE),"")</f>
        <v/>
      </c>
      <c r="U33" s="592" t="str">
        <f>IFERROR(VLOOKUP(U$12,選定!$C$3:$AG$100,20,FALSE),"")</f>
        <v/>
      </c>
      <c r="V33" s="592" t="str">
        <f>IFERROR(VLOOKUP(V$12,選定!$C$3:$AG$100,20,FALSE),"")</f>
        <v/>
      </c>
      <c r="W33" s="592" t="str">
        <f>IFERROR(VLOOKUP(W$12,選定!$C$3:$AG$100,20,FALSE),"")</f>
        <v/>
      </c>
      <c r="X33" s="592" t="str">
        <f>IFERROR(VLOOKUP(X$12,選定!$C$3:$AG$100,20,FALSE),"")</f>
        <v/>
      </c>
      <c r="Y33" s="592" t="str">
        <f>IFERROR(VLOOKUP(Y$12,選定!$C$3:$AG$100,20,FALSE),"")</f>
        <v/>
      </c>
      <c r="Z33" s="592" t="str">
        <f>IFERROR(VLOOKUP(Z$12,選定!$C$3:$AG$100,20,FALSE),"")</f>
        <v/>
      </c>
      <c r="AA33" s="592" t="str">
        <f>IFERROR(VLOOKUP(AA$12,選定!$C$3:$AG$100,20,FALSE),"")</f>
        <v/>
      </c>
      <c r="AB33" s="592" t="str">
        <f>IFERROR(VLOOKUP(AB$12,選定!$C$3:$AG$100,20,FALSE),"")</f>
        <v/>
      </c>
      <c r="AC33" s="592" t="str">
        <f>IFERROR(VLOOKUP(AC$12,選定!$C$3:$AG$100,20,FALSE),"")</f>
        <v/>
      </c>
      <c r="AD33" s="592" t="str">
        <f>IFERROR(VLOOKUP(AD$12,選定!$C$3:$AG$100,20,FALSE),"")</f>
        <v/>
      </c>
      <c r="AE33" s="592" t="str">
        <f>IFERROR(VLOOKUP(AE$12,選定!$C$3:$AG$100,20,FALSE),"")</f>
        <v/>
      </c>
    </row>
    <row r="34" spans="1:31" s="21" customFormat="1" ht="15.75" hidden="1" thickBot="1">
      <c r="A34" s="599"/>
      <c r="B34" s="585"/>
      <c r="C34" s="585"/>
      <c r="D34" s="585"/>
      <c r="E34" s="585"/>
      <c r="F34" s="585"/>
      <c r="G34" s="585"/>
      <c r="H34" s="585"/>
      <c r="I34" s="585"/>
      <c r="J34" s="585"/>
      <c r="K34" s="585"/>
      <c r="L34" s="585"/>
      <c r="M34" s="585"/>
      <c r="N34" s="585"/>
      <c r="O34" s="585"/>
      <c r="P34" s="585"/>
      <c r="Q34" s="585"/>
      <c r="R34" s="585"/>
      <c r="S34" s="585"/>
      <c r="T34" s="585"/>
      <c r="U34" s="585"/>
      <c r="V34" s="585"/>
      <c r="W34" s="585"/>
      <c r="X34" s="585"/>
      <c r="Y34" s="585"/>
      <c r="Z34" s="585"/>
      <c r="AA34" s="585"/>
      <c r="AB34" s="585"/>
      <c r="AC34" s="585"/>
      <c r="AD34" s="585"/>
      <c r="AE34" s="585"/>
    </row>
    <row r="35" spans="1:31" s="589" customFormat="1" ht="15.75" hidden="1" thickBot="1">
      <c r="A35" s="600" t="s">
        <v>117</v>
      </c>
      <c r="B35" s="588" t="str">
        <f>IFERROR(VLOOKUP(B$12,選定!$C$3:$AG$100,22,FALSE),"")</f>
        <v/>
      </c>
      <c r="C35" s="588" t="str">
        <f>IFERROR(VLOOKUP(C$12,選定!$C$3:$AG$100,22,FALSE),"")</f>
        <v/>
      </c>
      <c r="D35" s="588" t="str">
        <f>IFERROR(VLOOKUP(D$12,選定!$C$3:$AG$100,22,FALSE),"")</f>
        <v/>
      </c>
      <c r="E35" s="588" t="str">
        <f>IFERROR(VLOOKUP(E$12,選定!$C$3:$AG$100,22,FALSE),"")</f>
        <v/>
      </c>
      <c r="F35" s="588" t="str">
        <f>IFERROR(VLOOKUP(F$12,選定!$C$3:$AG$100,22,FALSE),"")</f>
        <v/>
      </c>
      <c r="G35" s="588" t="str">
        <f>IFERROR(VLOOKUP(G$12,選定!$C$3:$AG$100,22,FALSE),"")</f>
        <v/>
      </c>
      <c r="H35" s="588" t="str">
        <f>IFERROR(VLOOKUP(H$12,選定!$C$3:$AG$100,22,FALSE),"")</f>
        <v/>
      </c>
      <c r="I35" s="588" t="str">
        <f>IFERROR(VLOOKUP(I$12,選定!$C$3:$AG$100,22,FALSE),"")</f>
        <v/>
      </c>
      <c r="J35" s="588" t="str">
        <f>IFERROR(VLOOKUP(J$12,選定!$C$3:$AG$100,22,FALSE),"")</f>
        <v/>
      </c>
      <c r="K35" s="588" t="str">
        <f>IFERROR(VLOOKUP(K$12,選定!$C$3:$AG$100,22,FALSE),"")</f>
        <v/>
      </c>
      <c r="L35" s="588" t="str">
        <f>IFERROR(VLOOKUP(L$12,選定!$C$3:$AG$100,22,FALSE),"")</f>
        <v/>
      </c>
      <c r="M35" s="588" t="str">
        <f>IFERROR(VLOOKUP(M$12,選定!$C$3:$AG$100,22,FALSE),"")</f>
        <v/>
      </c>
      <c r="N35" s="588" t="str">
        <f>IFERROR(VLOOKUP(N$12,選定!$C$3:$AG$100,22,FALSE),"")</f>
        <v/>
      </c>
      <c r="O35" s="588" t="str">
        <f>IFERROR(VLOOKUP(O$12,選定!$C$3:$AG$100,22,FALSE),"")</f>
        <v/>
      </c>
      <c r="P35" s="588" t="str">
        <f>IFERROR(VLOOKUP(P$12,選定!$C$3:$AG$100,22,FALSE),"")</f>
        <v/>
      </c>
      <c r="Q35" s="588" t="str">
        <f>IFERROR(VLOOKUP(Q$12,選定!$C$3:$AG$100,22,FALSE),"")</f>
        <v/>
      </c>
      <c r="R35" s="588" t="str">
        <f>IFERROR(VLOOKUP(R$12,選定!$C$3:$AG$100,22,FALSE),"")</f>
        <v/>
      </c>
      <c r="S35" s="588" t="str">
        <f>IFERROR(VLOOKUP(S$12,選定!$C$3:$AG$100,22,FALSE),"")</f>
        <v/>
      </c>
      <c r="T35" s="588" t="str">
        <f>IFERROR(VLOOKUP(T$12,選定!$C$3:$AG$100,22,FALSE),"")</f>
        <v/>
      </c>
      <c r="U35" s="588" t="str">
        <f>IFERROR(VLOOKUP(U$12,選定!$C$3:$AG$100,22,FALSE),"")</f>
        <v/>
      </c>
      <c r="V35" s="588" t="str">
        <f>IFERROR(VLOOKUP(V$12,選定!$C$3:$AG$100,22,FALSE),"")</f>
        <v/>
      </c>
      <c r="W35" s="588" t="str">
        <f>IFERROR(VLOOKUP(W$12,選定!$C$3:$AG$100,22,FALSE),"")</f>
        <v/>
      </c>
      <c r="X35" s="588" t="str">
        <f>IFERROR(VLOOKUP(X$12,選定!$C$3:$AG$100,22,FALSE),"")</f>
        <v/>
      </c>
      <c r="Y35" s="588" t="str">
        <f>IFERROR(VLOOKUP(Y$12,選定!$C$3:$AG$100,22,FALSE),"")</f>
        <v/>
      </c>
      <c r="Z35" s="588" t="str">
        <f>IFERROR(VLOOKUP(Z$12,選定!$C$3:$AG$100,22,FALSE),"")</f>
        <v/>
      </c>
      <c r="AA35" s="588" t="str">
        <f>IFERROR(VLOOKUP(AA$12,選定!$C$3:$AG$100,22,FALSE),"")</f>
        <v/>
      </c>
      <c r="AB35" s="588" t="str">
        <f>IFERROR(VLOOKUP(AB$12,選定!$C$3:$AG$100,22,FALSE),"")</f>
        <v/>
      </c>
      <c r="AC35" s="588" t="str">
        <f>IFERROR(VLOOKUP(AC$12,選定!$C$3:$AG$100,22,FALSE),"")</f>
        <v/>
      </c>
      <c r="AD35" s="588" t="str">
        <f>IFERROR(VLOOKUP(AD$12,選定!$C$3:$AG$100,22,FALSE),"")</f>
        <v/>
      </c>
      <c r="AE35" s="588" t="str">
        <f>IFERROR(VLOOKUP(AE$12,選定!$C$3:$AG$100,22,FALSE),"")</f>
        <v/>
      </c>
    </row>
    <row r="36" spans="1:31" s="590" customFormat="1" ht="15.75" hidden="1" thickBot="1">
      <c r="A36" s="601" t="s">
        <v>118</v>
      </c>
      <c r="B36" s="591" t="str">
        <f>IFERROR(VLOOKUP(B$12,選定!$C$3:$AG$100,23,FALSE),"")</f>
        <v/>
      </c>
      <c r="C36" s="591" t="str">
        <f>IFERROR(VLOOKUP(C$12,選定!$C$3:$AG$100,23,FALSE),"")</f>
        <v/>
      </c>
      <c r="D36" s="591" t="str">
        <f>IFERROR(VLOOKUP(D$12,選定!$C$3:$AG$100,23,FALSE),"")</f>
        <v/>
      </c>
      <c r="E36" s="591" t="str">
        <f>IFERROR(VLOOKUP(E$12,選定!$C$3:$AG$100,23,FALSE),"")</f>
        <v/>
      </c>
      <c r="F36" s="591" t="str">
        <f>IFERROR(VLOOKUP(F$12,選定!$C$3:$AG$100,23,FALSE),"")</f>
        <v/>
      </c>
      <c r="G36" s="591" t="str">
        <f>IFERROR(VLOOKUP(G$12,選定!$C$3:$AG$100,23,FALSE),"")</f>
        <v/>
      </c>
      <c r="H36" s="591" t="str">
        <f>IFERROR(VLOOKUP(H$12,選定!$C$3:$AG$100,23,FALSE),"")</f>
        <v/>
      </c>
      <c r="I36" s="591" t="str">
        <f>IFERROR(VLOOKUP(I$12,選定!$C$3:$AG$100,23,FALSE),"")</f>
        <v/>
      </c>
      <c r="J36" s="591" t="str">
        <f>IFERROR(VLOOKUP(J$12,選定!$C$3:$AG$100,23,FALSE),"")</f>
        <v/>
      </c>
      <c r="K36" s="591" t="str">
        <f>IFERROR(VLOOKUP(K$12,選定!$C$3:$AG$100,23,FALSE),"")</f>
        <v/>
      </c>
      <c r="L36" s="591" t="str">
        <f>IFERROR(VLOOKUP(L$12,選定!$C$3:$AG$100,23,FALSE),"")</f>
        <v/>
      </c>
      <c r="M36" s="591" t="str">
        <f>IFERROR(VLOOKUP(M$12,選定!$C$3:$AG$100,23,FALSE),"")</f>
        <v/>
      </c>
      <c r="N36" s="591" t="str">
        <f>IFERROR(VLOOKUP(N$12,選定!$C$3:$AG$100,23,FALSE),"")</f>
        <v/>
      </c>
      <c r="O36" s="591" t="str">
        <f>IFERROR(VLOOKUP(O$12,選定!$C$3:$AG$100,23,FALSE),"")</f>
        <v/>
      </c>
      <c r="P36" s="591" t="str">
        <f>IFERROR(VLOOKUP(P$12,選定!$C$3:$AG$100,23,FALSE),"")</f>
        <v/>
      </c>
      <c r="Q36" s="591" t="str">
        <f>IFERROR(VLOOKUP(Q$12,選定!$C$3:$AG$100,23,FALSE),"")</f>
        <v/>
      </c>
      <c r="R36" s="591" t="str">
        <f>IFERROR(VLOOKUP(R$12,選定!$C$3:$AG$100,23,FALSE),"")</f>
        <v/>
      </c>
      <c r="S36" s="591" t="str">
        <f>IFERROR(VLOOKUP(S$12,選定!$C$3:$AG$100,23,FALSE),"")</f>
        <v/>
      </c>
      <c r="T36" s="591" t="str">
        <f>IFERROR(VLOOKUP(T$12,選定!$C$3:$AG$100,23,FALSE),"")</f>
        <v/>
      </c>
      <c r="U36" s="591" t="str">
        <f>IFERROR(VLOOKUP(U$12,選定!$C$3:$AG$100,23,FALSE),"")</f>
        <v/>
      </c>
      <c r="V36" s="591" t="str">
        <f>IFERROR(VLOOKUP(V$12,選定!$C$3:$AG$100,23,FALSE),"")</f>
        <v/>
      </c>
      <c r="W36" s="591" t="str">
        <f>IFERROR(VLOOKUP(W$12,選定!$C$3:$AG$100,23,FALSE),"")</f>
        <v/>
      </c>
      <c r="X36" s="591" t="str">
        <f>IFERROR(VLOOKUP(X$12,選定!$C$3:$AG$100,23,FALSE),"")</f>
        <v/>
      </c>
      <c r="Y36" s="591" t="str">
        <f>IFERROR(VLOOKUP(Y$12,選定!$C$3:$AG$100,23,FALSE),"")</f>
        <v/>
      </c>
      <c r="Z36" s="591" t="str">
        <f>IFERROR(VLOOKUP(Z$12,選定!$C$3:$AG$100,23,FALSE),"")</f>
        <v/>
      </c>
      <c r="AA36" s="591" t="str">
        <f>IFERROR(VLOOKUP(AA$12,選定!$C$3:$AG$100,23,FALSE),"")</f>
        <v/>
      </c>
      <c r="AB36" s="591" t="str">
        <f>IFERROR(VLOOKUP(AB$12,選定!$C$3:$AG$100,23,FALSE),"")</f>
        <v/>
      </c>
      <c r="AC36" s="591" t="str">
        <f>IFERROR(VLOOKUP(AC$12,選定!$C$3:$AG$100,23,FALSE),"")</f>
        <v/>
      </c>
      <c r="AD36" s="591" t="str">
        <f>IFERROR(VLOOKUP(AD$12,選定!$C$3:$AG$100,23,FALSE),"")</f>
        <v/>
      </c>
      <c r="AE36" s="591" t="str">
        <f>IFERROR(VLOOKUP(AE$12,選定!$C$3:$AG$100,23,FALSE),"")</f>
        <v/>
      </c>
    </row>
    <row r="37" spans="1:31" s="21" customFormat="1" ht="15.75" hidden="1" thickBot="1">
      <c r="A37" s="599" t="s">
        <v>119</v>
      </c>
      <c r="B37" s="585" t="str">
        <f>IFERROR(VLOOKUP(B$12,選定!$C$3:$AG$100,24,FALSE),"")</f>
        <v/>
      </c>
      <c r="C37" s="585" t="str">
        <f>IFERROR(VLOOKUP(C$12,選定!$C$3:$AG$100,24,FALSE),"")</f>
        <v/>
      </c>
      <c r="D37" s="585" t="str">
        <f>IFERROR(VLOOKUP(D$12,選定!$C$3:$AG$100,24,FALSE),"")</f>
        <v/>
      </c>
      <c r="E37" s="585" t="str">
        <f>IFERROR(VLOOKUP(E$12,選定!$C$3:$AG$100,24,FALSE),"")</f>
        <v/>
      </c>
      <c r="F37" s="585" t="str">
        <f>IFERROR(VLOOKUP(F$12,選定!$C$3:$AG$100,24,FALSE),"")</f>
        <v/>
      </c>
      <c r="G37" s="585" t="str">
        <f>IFERROR(VLOOKUP(G$12,選定!$C$3:$AG$100,24,FALSE),"")</f>
        <v/>
      </c>
      <c r="H37" s="585" t="str">
        <f>IFERROR(VLOOKUP(H$12,選定!$C$3:$AG$100,24,FALSE),"")</f>
        <v/>
      </c>
      <c r="I37" s="585" t="str">
        <f>IFERROR(VLOOKUP(I$12,選定!$C$3:$AG$100,24,FALSE),"")</f>
        <v/>
      </c>
      <c r="J37" s="585" t="str">
        <f>IFERROR(VLOOKUP(J$12,選定!$C$3:$AG$100,24,FALSE),"")</f>
        <v/>
      </c>
      <c r="K37" s="585" t="str">
        <f>IFERROR(VLOOKUP(K$12,選定!$C$3:$AG$100,24,FALSE),"")</f>
        <v/>
      </c>
      <c r="L37" s="585" t="str">
        <f>IFERROR(VLOOKUP(L$12,選定!$C$3:$AG$100,24,FALSE),"")</f>
        <v/>
      </c>
      <c r="M37" s="585" t="str">
        <f>IFERROR(VLOOKUP(M$12,選定!$C$3:$AG$100,24,FALSE),"")</f>
        <v/>
      </c>
      <c r="N37" s="585" t="str">
        <f>IFERROR(VLOOKUP(N$12,選定!$C$3:$AG$100,24,FALSE),"")</f>
        <v/>
      </c>
      <c r="O37" s="585" t="str">
        <f>IFERROR(VLOOKUP(O$12,選定!$C$3:$AG$100,24,FALSE),"")</f>
        <v/>
      </c>
      <c r="P37" s="585" t="str">
        <f>IFERROR(VLOOKUP(P$12,選定!$C$3:$AG$100,24,FALSE),"")</f>
        <v/>
      </c>
      <c r="Q37" s="585" t="str">
        <f>IFERROR(VLOOKUP(Q$12,選定!$C$3:$AG$100,24,FALSE),"")</f>
        <v/>
      </c>
      <c r="R37" s="585" t="str">
        <f>IFERROR(VLOOKUP(R$12,選定!$C$3:$AG$100,24,FALSE),"")</f>
        <v/>
      </c>
      <c r="S37" s="585" t="str">
        <f>IFERROR(VLOOKUP(S$12,選定!$C$3:$AG$100,24,FALSE),"")</f>
        <v/>
      </c>
      <c r="T37" s="585" t="str">
        <f>IFERROR(VLOOKUP(T$12,選定!$C$3:$AG$100,24,FALSE),"")</f>
        <v/>
      </c>
      <c r="U37" s="585" t="str">
        <f>IFERROR(VLOOKUP(U$12,選定!$C$3:$AG$100,24,FALSE),"")</f>
        <v/>
      </c>
      <c r="V37" s="585" t="str">
        <f>IFERROR(VLOOKUP(V$12,選定!$C$3:$AG$100,24,FALSE),"")</f>
        <v/>
      </c>
      <c r="W37" s="585" t="str">
        <f>IFERROR(VLOOKUP(W$12,選定!$C$3:$AG$100,24,FALSE),"")</f>
        <v/>
      </c>
      <c r="X37" s="585" t="str">
        <f>IFERROR(VLOOKUP(X$12,選定!$C$3:$AG$100,24,FALSE),"")</f>
        <v/>
      </c>
      <c r="Y37" s="585" t="str">
        <f>IFERROR(VLOOKUP(Y$12,選定!$C$3:$AG$100,24,FALSE),"")</f>
        <v/>
      </c>
      <c r="Z37" s="585" t="str">
        <f>IFERROR(VLOOKUP(Z$12,選定!$C$3:$AG$100,24,FALSE),"")</f>
        <v/>
      </c>
      <c r="AA37" s="585" t="str">
        <f>IFERROR(VLOOKUP(AA$12,選定!$C$3:$AG$100,24,FALSE),"")</f>
        <v/>
      </c>
      <c r="AB37" s="585" t="str">
        <f>IFERROR(VLOOKUP(AB$12,選定!$C$3:$AG$100,24,FALSE),"")</f>
        <v/>
      </c>
      <c r="AC37" s="585" t="str">
        <f>IFERROR(VLOOKUP(AC$12,選定!$C$3:$AG$100,24,FALSE),"")</f>
        <v/>
      </c>
      <c r="AD37" s="585" t="str">
        <f>IFERROR(VLOOKUP(AD$12,選定!$C$3:$AG$100,24,FALSE),"")</f>
        <v/>
      </c>
      <c r="AE37" s="585" t="str">
        <f>IFERROR(VLOOKUP(AE$12,選定!$C$3:$AG$100,24,FALSE),"")</f>
        <v/>
      </c>
    </row>
    <row r="38" spans="1:31" s="21" customFormat="1" ht="15.75" thickTop="1">
      <c r="A38" s="667" t="s">
        <v>120</v>
      </c>
      <c r="B38" s="605" t="str">
        <f>IFERROR(VLOOKUP(B$12,選定!$C$3:$AG$100,27,FALSE),"")</f>
        <v/>
      </c>
      <c r="C38" s="605" t="str">
        <f>IFERROR(VLOOKUP(C$12,選定!$C$3:$AG$100,27,FALSE),"")</f>
        <v/>
      </c>
      <c r="D38" s="605" t="str">
        <f>IFERROR(VLOOKUP(D$12,選定!$C$3:$AG$100,27,FALSE),"")</f>
        <v/>
      </c>
      <c r="E38" s="605" t="str">
        <f>IFERROR(VLOOKUP(E$12,選定!$C$3:$AG$100,27,FALSE),"")</f>
        <v/>
      </c>
      <c r="F38" s="605" t="str">
        <f>IFERROR(VLOOKUP(F$12,選定!$C$3:$AG$100,27,FALSE),"")</f>
        <v/>
      </c>
      <c r="G38" s="605" t="str">
        <f>IFERROR(VLOOKUP(G$12,選定!$C$3:$AG$100,27,FALSE),"")</f>
        <v/>
      </c>
      <c r="H38" s="605" t="str">
        <f>IFERROR(VLOOKUP(H$12,選定!$C$3:$AG$100,27,FALSE),"")</f>
        <v/>
      </c>
      <c r="I38" s="605" t="str">
        <f>IFERROR(VLOOKUP(I$12,選定!$C$3:$AG$100,27,FALSE),"")</f>
        <v/>
      </c>
      <c r="J38" s="605" t="str">
        <f>IFERROR(VLOOKUP(J$12,選定!$C$3:$AG$100,27,FALSE),"")</f>
        <v/>
      </c>
      <c r="K38" s="605" t="str">
        <f>IFERROR(VLOOKUP(K$12,選定!$C$3:$AG$100,27,FALSE),"")</f>
        <v/>
      </c>
      <c r="L38" s="605" t="str">
        <f>IFERROR(VLOOKUP(L$12,選定!$C$3:$AG$100,27,FALSE),"")</f>
        <v/>
      </c>
      <c r="M38" s="605" t="str">
        <f>IFERROR(VLOOKUP(M$12,選定!$C$3:$AG$100,27,FALSE),"")</f>
        <v/>
      </c>
      <c r="N38" s="605" t="str">
        <f>IFERROR(VLOOKUP(N$12,選定!$C$3:$AG$100,27,FALSE),"")</f>
        <v/>
      </c>
      <c r="O38" s="605" t="str">
        <f>IFERROR(VLOOKUP(O$12,選定!$C$3:$AG$100,27,FALSE),"")</f>
        <v/>
      </c>
      <c r="P38" s="605" t="str">
        <f>IFERROR(VLOOKUP(P$12,選定!$C$3:$AG$100,27,FALSE),"")</f>
        <v/>
      </c>
      <c r="Q38" s="605" t="str">
        <f>IFERROR(VLOOKUP(Q$12,選定!$C$3:$AG$100,27,FALSE),"")</f>
        <v/>
      </c>
      <c r="R38" s="605" t="str">
        <f>IFERROR(VLOOKUP(R$12,選定!$C$3:$AG$100,27,FALSE),"")</f>
        <v/>
      </c>
      <c r="S38" s="605" t="str">
        <f>IFERROR(VLOOKUP(S$12,選定!$C$3:$AG$100,27,FALSE),"")</f>
        <v/>
      </c>
      <c r="T38" s="605" t="str">
        <f>IFERROR(VLOOKUP(T$12,選定!$C$3:$AG$100,27,FALSE),"")</f>
        <v/>
      </c>
      <c r="U38" s="605" t="str">
        <f>IFERROR(VLOOKUP(U$12,選定!$C$3:$AG$100,27,FALSE),"")</f>
        <v/>
      </c>
      <c r="V38" s="605" t="str">
        <f>IFERROR(VLOOKUP(V$12,選定!$C$3:$AG$100,27,FALSE),"")</f>
        <v/>
      </c>
      <c r="W38" s="605" t="str">
        <f>IFERROR(VLOOKUP(W$12,選定!$C$3:$AG$100,27,FALSE),"")</f>
        <v/>
      </c>
      <c r="X38" s="605" t="str">
        <f>IFERROR(VLOOKUP(X$12,選定!$C$3:$AG$100,27,FALSE),"")</f>
        <v/>
      </c>
      <c r="Y38" s="605" t="str">
        <f>IFERROR(VLOOKUP(Y$12,選定!$C$3:$AG$100,27,FALSE),"")</f>
        <v/>
      </c>
      <c r="Z38" s="605" t="str">
        <f>IFERROR(VLOOKUP(Z$12,選定!$C$3:$AG$100,27,FALSE),"")</f>
        <v/>
      </c>
      <c r="AA38" s="605" t="str">
        <f>IFERROR(VLOOKUP(AA$12,選定!$C$3:$AG$100,27,FALSE),"")</f>
        <v/>
      </c>
      <c r="AB38" s="605" t="str">
        <f>IFERROR(VLOOKUP(AB$12,選定!$C$3:$AG$100,27,FALSE),"")</f>
        <v/>
      </c>
      <c r="AC38" s="605" t="str">
        <f>IFERROR(VLOOKUP(AC$12,選定!$C$3:$AG$100,27,FALSE),"")</f>
        <v/>
      </c>
      <c r="AD38" s="605" t="str">
        <f>IFERROR(VLOOKUP(AD$12,選定!$C$3:$AG$100,27,FALSE),"")</f>
        <v/>
      </c>
      <c r="AE38" s="605" t="str">
        <f>IFERROR(VLOOKUP(AE$12,選定!$C$3:$AG$100,27,FALSE),"")</f>
        <v/>
      </c>
    </row>
    <row r="39" spans="1:31" s="21" customFormat="1" ht="15">
      <c r="A39" s="585" t="s">
        <v>121</v>
      </c>
      <c r="B39" s="585" t="str">
        <f>IFERROR(VLOOKUP(B$12,選定!$C$3:$AG$100,28,FALSE),"")</f>
        <v/>
      </c>
      <c r="C39" s="585" t="str">
        <f>IFERROR(VLOOKUP(C$12,選定!$C$3:$AG$100,28,FALSE),"")</f>
        <v/>
      </c>
      <c r="D39" s="585" t="str">
        <f>IFERROR(VLOOKUP(D$12,選定!$C$3:$AG$100,28,FALSE),"")</f>
        <v/>
      </c>
      <c r="E39" s="585" t="str">
        <f>IFERROR(VLOOKUP(E$12,選定!$C$3:$AG$100,28,FALSE),"")</f>
        <v/>
      </c>
      <c r="F39" s="585" t="str">
        <f>IFERROR(VLOOKUP(F$12,選定!$C$3:$AG$100,28,FALSE),"")</f>
        <v/>
      </c>
      <c r="G39" s="585" t="str">
        <f>IFERROR(VLOOKUP(G$12,選定!$C$3:$AG$100,28,FALSE),"")</f>
        <v/>
      </c>
      <c r="H39" s="585" t="str">
        <f>IFERROR(VLOOKUP(H$12,選定!$C$3:$AG$100,28,FALSE),"")</f>
        <v/>
      </c>
      <c r="I39" s="585" t="str">
        <f>IFERROR(VLOOKUP(I$12,選定!$C$3:$AG$100,28,FALSE),"")</f>
        <v/>
      </c>
      <c r="J39" s="585" t="str">
        <f>IFERROR(VLOOKUP(J$12,選定!$C$3:$AG$100,28,FALSE),"")</f>
        <v/>
      </c>
      <c r="K39" s="585" t="str">
        <f>IFERROR(VLOOKUP(K$12,選定!$C$3:$AG$100,28,FALSE),"")</f>
        <v/>
      </c>
      <c r="L39" s="585" t="str">
        <f>IFERROR(VLOOKUP(L$12,選定!$C$3:$AG$100,28,FALSE),"")</f>
        <v/>
      </c>
      <c r="M39" s="585" t="str">
        <f>IFERROR(VLOOKUP(M$12,選定!$C$3:$AG$100,28,FALSE),"")</f>
        <v/>
      </c>
      <c r="N39" s="585" t="str">
        <f>IFERROR(VLOOKUP(N$12,選定!$C$3:$AG$100,28,FALSE),"")</f>
        <v/>
      </c>
      <c r="O39" s="585" t="str">
        <f>IFERROR(VLOOKUP(O$12,選定!$C$3:$AG$100,28,FALSE),"")</f>
        <v/>
      </c>
      <c r="P39" s="585" t="str">
        <f>IFERROR(VLOOKUP(P$12,選定!$C$3:$AG$100,28,FALSE),"")</f>
        <v/>
      </c>
      <c r="Q39" s="585" t="str">
        <f>IFERROR(VLOOKUP(Q$12,選定!$C$3:$AG$100,28,FALSE),"")</f>
        <v/>
      </c>
      <c r="R39" s="585" t="str">
        <f>IFERROR(VLOOKUP(R$12,選定!$C$3:$AG$100,28,FALSE),"")</f>
        <v/>
      </c>
      <c r="S39" s="585" t="str">
        <f>IFERROR(VLOOKUP(S$12,選定!$C$3:$AG$100,28,FALSE),"")</f>
        <v/>
      </c>
      <c r="T39" s="585" t="str">
        <f>IFERROR(VLOOKUP(T$12,選定!$C$3:$AG$100,28,FALSE),"")</f>
        <v/>
      </c>
      <c r="U39" s="585" t="str">
        <f>IFERROR(VLOOKUP(U$12,選定!$C$3:$AG$100,28,FALSE),"")</f>
        <v/>
      </c>
      <c r="V39" s="585" t="str">
        <f>IFERROR(VLOOKUP(V$12,選定!$C$3:$AG$100,28,FALSE),"")</f>
        <v/>
      </c>
      <c r="W39" s="585" t="str">
        <f>IFERROR(VLOOKUP(W$12,選定!$C$3:$AG$100,28,FALSE),"")</f>
        <v/>
      </c>
      <c r="X39" s="585" t="str">
        <f>IFERROR(VLOOKUP(X$12,選定!$C$3:$AG$100,28,FALSE),"")</f>
        <v/>
      </c>
      <c r="Y39" s="585" t="str">
        <f>IFERROR(VLOOKUP(Y$12,選定!$C$3:$AG$100,28,FALSE),"")</f>
        <v/>
      </c>
      <c r="Z39" s="585" t="str">
        <f>IFERROR(VLOOKUP(Z$12,選定!$C$3:$AG$100,28,FALSE),"")</f>
        <v/>
      </c>
      <c r="AA39" s="585" t="str">
        <f>IFERROR(VLOOKUP(AA$12,選定!$C$3:$AG$100,28,FALSE),"")</f>
        <v/>
      </c>
      <c r="AB39" s="585" t="str">
        <f>IFERROR(VLOOKUP(AB$12,選定!$C$3:$AG$100,28,FALSE),"")</f>
        <v/>
      </c>
      <c r="AC39" s="585" t="str">
        <f>IFERROR(VLOOKUP(AC$12,選定!$C$3:$AG$100,28,FALSE),"")</f>
        <v/>
      </c>
      <c r="AD39" s="585" t="str">
        <f>IFERROR(VLOOKUP(AD$12,選定!$C$3:$AG$100,28,FALSE),"")</f>
        <v/>
      </c>
      <c r="AE39" s="585" t="str">
        <f>IFERROR(VLOOKUP(AE$12,選定!$C$3:$AG$100,28,FALSE),"")</f>
        <v/>
      </c>
    </row>
    <row r="40" spans="1:31" s="581" customFormat="1" ht="15" hidden="1">
      <c r="A40" s="603" t="s">
        <v>122</v>
      </c>
      <c r="B40" s="593" t="str">
        <f>IFERROR(VLOOKUP(B$12,選定!$C$3:$AG$100,27,FALSE),"")</f>
        <v/>
      </c>
      <c r="C40" s="593" t="str">
        <f>IFERROR(VLOOKUP(C$12,選定!$C$3:$AG$100,27,FALSE),"")</f>
        <v/>
      </c>
      <c r="D40" s="593" t="str">
        <f>IFERROR(VLOOKUP(D$12,選定!$C$3:$AG$100,27,FALSE),"")</f>
        <v/>
      </c>
      <c r="E40" s="593" t="str">
        <f>IFERROR(VLOOKUP(E$12,選定!$C$3:$AG$100,27,FALSE),"")</f>
        <v/>
      </c>
      <c r="F40" s="593" t="str">
        <f>IFERROR(VLOOKUP(F$12,選定!$C$3:$AG$100,27,FALSE),"")</f>
        <v/>
      </c>
      <c r="G40" s="593" t="str">
        <f>IFERROR(VLOOKUP(G$12,選定!$C$3:$AG$100,27,FALSE),"")</f>
        <v/>
      </c>
      <c r="H40" s="593" t="str">
        <f>IFERROR(VLOOKUP(H$12,選定!$C$3:$AG$100,27,FALSE),"")</f>
        <v/>
      </c>
      <c r="I40" s="593" t="str">
        <f>IFERROR(VLOOKUP(I$12,選定!$C$3:$AG$100,27,FALSE),"")</f>
        <v/>
      </c>
      <c r="J40" s="593" t="str">
        <f>IFERROR(VLOOKUP(J$12,選定!$C$3:$AG$100,27,FALSE),"")</f>
        <v/>
      </c>
      <c r="K40" s="593" t="str">
        <f>IFERROR(VLOOKUP(K$12,選定!$C$3:$AG$100,27,FALSE),"")</f>
        <v/>
      </c>
      <c r="L40" s="593" t="str">
        <f>IFERROR(VLOOKUP(L$12,選定!$C$3:$AG$100,27,FALSE),"")</f>
        <v/>
      </c>
      <c r="M40" s="593" t="str">
        <f>IFERROR(VLOOKUP(M$12,選定!$C$3:$AG$100,27,FALSE),"")</f>
        <v/>
      </c>
      <c r="N40" s="593" t="str">
        <f>IFERROR(VLOOKUP(N$12,選定!$C$3:$AG$100,27,FALSE),"")</f>
        <v/>
      </c>
      <c r="O40" s="593" t="str">
        <f>IFERROR(VLOOKUP(O$12,選定!$C$3:$AG$100,27,FALSE),"")</f>
        <v/>
      </c>
      <c r="P40" s="593" t="str">
        <f>IFERROR(VLOOKUP(P$12,選定!$C$3:$AG$100,27,FALSE),"")</f>
        <v/>
      </c>
      <c r="Q40" s="593" t="str">
        <f>IFERROR(VLOOKUP(Q$12,選定!$C$3:$AG$100,27,FALSE),"")</f>
        <v/>
      </c>
      <c r="R40" s="593" t="str">
        <f>IFERROR(VLOOKUP(R$12,選定!$C$3:$AG$100,27,FALSE),"")</f>
        <v/>
      </c>
      <c r="S40" s="593" t="str">
        <f>IFERROR(VLOOKUP(S$12,選定!$C$3:$AG$100,27,FALSE),"")</f>
        <v/>
      </c>
      <c r="T40" s="593" t="str">
        <f>IFERROR(VLOOKUP(T$12,選定!$C$3:$AG$100,27,FALSE),"")</f>
        <v/>
      </c>
      <c r="U40" s="593" t="str">
        <f>IFERROR(VLOOKUP(U$12,選定!$C$3:$AG$100,27,FALSE),"")</f>
        <v/>
      </c>
      <c r="V40" s="593" t="str">
        <f>IFERROR(VLOOKUP(V$12,選定!$C$3:$AG$100,27,FALSE),"")</f>
        <v/>
      </c>
      <c r="W40" s="593" t="str">
        <f>IFERROR(VLOOKUP(W$12,選定!$C$3:$AG$100,27,FALSE),"")</f>
        <v/>
      </c>
      <c r="X40" s="593" t="str">
        <f>IFERROR(VLOOKUP(X$12,選定!$C$3:$AG$100,27,FALSE),"")</f>
        <v/>
      </c>
      <c r="Y40" s="593" t="str">
        <f>IFERROR(VLOOKUP(Y$12,選定!$C$3:$AG$100,27,FALSE),"")</f>
        <v/>
      </c>
      <c r="Z40" s="593" t="str">
        <f>IFERROR(VLOOKUP(Z$12,選定!$C$3:$AG$100,27,FALSE),"")</f>
        <v/>
      </c>
      <c r="AA40" s="593" t="str">
        <f>IFERROR(VLOOKUP(AA$12,選定!$C$3:$AG$100,27,FALSE),"")</f>
        <v/>
      </c>
      <c r="AB40" s="593" t="str">
        <f>IFERROR(VLOOKUP(AB$12,選定!$C$3:$AG$100,27,FALSE),"")</f>
        <v/>
      </c>
      <c r="AC40" s="593" t="str">
        <f>IFERROR(VLOOKUP(AC$12,選定!$C$3:$AG$100,27,FALSE),"")</f>
        <v/>
      </c>
      <c r="AD40" s="593" t="str">
        <f>IFERROR(VLOOKUP(AD$12,選定!$C$3:$AG$100,27,FALSE),"")</f>
        <v/>
      </c>
      <c r="AE40" s="593" t="str">
        <f>IFERROR(VLOOKUP(AE$12,選定!$C$3:$AG$100,27,FALSE),"")</f>
        <v/>
      </c>
    </row>
    <row r="41" spans="1:31" s="21" customFormat="1" ht="15" hidden="1">
      <c r="A41" s="599" t="s">
        <v>123</v>
      </c>
      <c r="B41" s="585" t="str">
        <f>IFERROR(VLOOKUP(B$12,選定!$C$3:$AG$100,28,FALSE),"")</f>
        <v/>
      </c>
      <c r="C41" s="585" t="str">
        <f>IFERROR(VLOOKUP(C$12,選定!$C$3:$AG$100,28,FALSE),"")</f>
        <v/>
      </c>
      <c r="D41" s="585" t="str">
        <f>IFERROR(VLOOKUP(D$12,選定!$C$3:$AG$100,28,FALSE),"")</f>
        <v/>
      </c>
      <c r="E41" s="585" t="str">
        <f>IFERROR(VLOOKUP(E$12,選定!$C$3:$AG$100,28,FALSE),"")</f>
        <v/>
      </c>
      <c r="F41" s="585" t="str">
        <f>IFERROR(VLOOKUP(F$12,選定!$C$3:$AG$100,28,FALSE),"")</f>
        <v/>
      </c>
      <c r="G41" s="585" t="str">
        <f>IFERROR(VLOOKUP(G$12,選定!$C$3:$AG$100,28,FALSE),"")</f>
        <v/>
      </c>
      <c r="H41" s="585" t="str">
        <f>IFERROR(VLOOKUP(H$12,選定!$C$3:$AG$100,28,FALSE),"")</f>
        <v/>
      </c>
      <c r="I41" s="585" t="str">
        <f>IFERROR(VLOOKUP(I$12,選定!$C$3:$AG$100,28,FALSE),"")</f>
        <v/>
      </c>
      <c r="J41" s="585" t="str">
        <f>IFERROR(VLOOKUP(J$12,選定!$C$3:$AG$100,28,FALSE),"")</f>
        <v/>
      </c>
      <c r="K41" s="585" t="str">
        <f>IFERROR(VLOOKUP(K$12,選定!$C$3:$AG$100,28,FALSE),"")</f>
        <v/>
      </c>
      <c r="L41" s="585" t="str">
        <f>IFERROR(VLOOKUP(L$12,選定!$C$3:$AG$100,28,FALSE),"")</f>
        <v/>
      </c>
      <c r="M41" s="585" t="str">
        <f>IFERROR(VLOOKUP(M$12,選定!$C$3:$AG$100,28,FALSE),"")</f>
        <v/>
      </c>
      <c r="N41" s="585" t="str">
        <f>IFERROR(VLOOKUP(N$12,選定!$C$3:$AG$100,28,FALSE),"")</f>
        <v/>
      </c>
      <c r="O41" s="585" t="str">
        <f>IFERROR(VLOOKUP(O$12,選定!$C$3:$AG$100,28,FALSE),"")</f>
        <v/>
      </c>
      <c r="P41" s="585" t="str">
        <f>IFERROR(VLOOKUP(P$12,選定!$C$3:$AG$100,28,FALSE),"")</f>
        <v/>
      </c>
      <c r="Q41" s="585" t="str">
        <f>IFERROR(VLOOKUP(Q$12,選定!$C$3:$AG$100,28,FALSE),"")</f>
        <v/>
      </c>
      <c r="R41" s="585" t="str">
        <f>IFERROR(VLOOKUP(R$12,選定!$C$3:$AG$100,28,FALSE),"")</f>
        <v/>
      </c>
      <c r="S41" s="585" t="str">
        <f>IFERROR(VLOOKUP(S$12,選定!$C$3:$AG$100,28,FALSE),"")</f>
        <v/>
      </c>
      <c r="T41" s="585" t="str">
        <f>IFERROR(VLOOKUP(T$12,選定!$C$3:$AG$100,28,FALSE),"")</f>
        <v/>
      </c>
      <c r="U41" s="585" t="str">
        <f>IFERROR(VLOOKUP(U$12,選定!$C$3:$AG$100,28,FALSE),"")</f>
        <v/>
      </c>
      <c r="V41" s="585" t="str">
        <f>IFERROR(VLOOKUP(V$12,選定!$C$3:$AG$100,28,FALSE),"")</f>
        <v/>
      </c>
      <c r="W41" s="585" t="str">
        <f>IFERROR(VLOOKUP(W$12,選定!$C$3:$AG$100,28,FALSE),"")</f>
        <v/>
      </c>
      <c r="X41" s="585" t="str">
        <f>IFERROR(VLOOKUP(X$12,選定!$C$3:$AG$100,28,FALSE),"")</f>
        <v/>
      </c>
      <c r="Y41" s="585" t="str">
        <f>IFERROR(VLOOKUP(Y$12,選定!$C$3:$AG$100,28,FALSE),"")</f>
        <v/>
      </c>
      <c r="Z41" s="585" t="str">
        <f>IFERROR(VLOOKUP(Z$12,選定!$C$3:$AG$100,28,FALSE),"")</f>
        <v/>
      </c>
      <c r="AA41" s="585" t="str">
        <f>IFERROR(VLOOKUP(AA$12,選定!$C$3:$AG$100,28,FALSE),"")</f>
        <v/>
      </c>
      <c r="AB41" s="585" t="str">
        <f>IFERROR(VLOOKUP(AB$12,選定!$C$3:$AG$100,28,FALSE),"")</f>
        <v/>
      </c>
      <c r="AC41" s="585" t="str">
        <f>IFERROR(VLOOKUP(AC$12,選定!$C$3:$AG$100,28,FALSE),"")</f>
        <v/>
      </c>
      <c r="AD41" s="585" t="str">
        <f>IFERROR(VLOOKUP(AD$12,選定!$C$3:$AG$100,28,FALSE),"")</f>
        <v/>
      </c>
      <c r="AE41" s="585" t="str">
        <f>IFERROR(VLOOKUP(AE$12,選定!$C$3:$AG$100,28,FALSE),"")</f>
        <v/>
      </c>
    </row>
    <row r="42" spans="1:31" s="21" customFormat="1" ht="15">
      <c r="A42" s="1446" t="s">
        <v>476</v>
      </c>
      <c r="B42" s="576"/>
      <c r="C42" s="576"/>
      <c r="D42" s="576"/>
      <c r="E42" s="576"/>
      <c r="F42" s="576"/>
      <c r="G42" s="576"/>
      <c r="H42" s="576"/>
      <c r="I42" s="576"/>
      <c r="J42" s="576"/>
      <c r="K42" s="576"/>
      <c r="L42" s="576"/>
      <c r="M42" s="576"/>
      <c r="N42" s="576"/>
      <c r="O42" s="576"/>
      <c r="P42" s="576"/>
      <c r="Q42" s="576"/>
      <c r="R42" s="576"/>
      <c r="S42" s="576"/>
      <c r="T42" s="576"/>
      <c r="U42" s="576"/>
      <c r="V42" s="576"/>
      <c r="W42" s="576"/>
      <c r="X42" s="576"/>
      <c r="Y42" s="576"/>
      <c r="Z42" s="576"/>
      <c r="AA42" s="576"/>
      <c r="AB42" s="576"/>
      <c r="AC42" s="576"/>
      <c r="AD42" s="576"/>
      <c r="AE42" s="576"/>
    </row>
    <row r="43" spans="1:31" s="21" customFormat="1" ht="15">
      <c r="A43" s="1447"/>
      <c r="B43" s="577"/>
      <c r="C43" s="577"/>
      <c r="D43" s="577"/>
      <c r="E43" s="577"/>
      <c r="F43" s="577"/>
      <c r="G43" s="577"/>
      <c r="H43" s="577"/>
      <c r="I43" s="577"/>
      <c r="J43" s="577"/>
      <c r="K43" s="577"/>
      <c r="L43" s="577"/>
      <c r="M43" s="577"/>
      <c r="N43" s="577"/>
      <c r="O43" s="577"/>
      <c r="P43" s="577"/>
      <c r="Q43" s="577"/>
      <c r="R43" s="577"/>
      <c r="S43" s="577"/>
      <c r="T43" s="577"/>
      <c r="U43" s="577"/>
      <c r="V43" s="577"/>
      <c r="W43" s="577"/>
      <c r="X43" s="577"/>
      <c r="Y43" s="577"/>
      <c r="Z43" s="577"/>
      <c r="AA43" s="577"/>
      <c r="AB43" s="577"/>
      <c r="AC43" s="577"/>
      <c r="AD43" s="577"/>
      <c r="AE43" s="577"/>
    </row>
    <row r="44" spans="1:31" s="21" customFormat="1" ht="18" customHeight="1">
      <c r="A44" s="1448"/>
      <c r="B44" s="578"/>
      <c r="C44" s="578"/>
      <c r="D44" s="578"/>
      <c r="E44" s="578"/>
      <c r="F44" s="578"/>
      <c r="G44" s="578"/>
      <c r="H44" s="579"/>
      <c r="I44" s="578"/>
      <c r="J44" s="578"/>
      <c r="K44" s="578"/>
      <c r="L44" s="578"/>
      <c r="M44" s="578"/>
      <c r="N44" s="578"/>
      <c r="O44" s="579"/>
      <c r="P44" s="578"/>
      <c r="Q44" s="578"/>
      <c r="R44" s="578"/>
      <c r="S44" s="578"/>
      <c r="T44" s="578"/>
      <c r="U44" s="578"/>
      <c r="V44" s="579"/>
      <c r="W44" s="578"/>
      <c r="X44" s="578"/>
      <c r="Y44" s="578"/>
      <c r="Z44" s="578"/>
      <c r="AA44" s="578"/>
      <c r="AB44" s="578"/>
      <c r="AC44" s="579"/>
      <c r="AD44" s="578"/>
      <c r="AE44" s="578"/>
    </row>
    <row r="45" spans="1:31" s="708" customFormat="1" ht="15.75" thickBot="1">
      <c r="A45" s="707"/>
      <c r="H45" s="709">
        <v>10</v>
      </c>
      <c r="O45" s="707"/>
      <c r="P45" s="709" t="s">
        <v>477</v>
      </c>
      <c r="V45" s="707"/>
      <c r="X45" s="708" t="s">
        <v>478</v>
      </c>
      <c r="AC45" s="707"/>
      <c r="AE45" s="708" t="s">
        <v>479</v>
      </c>
    </row>
    <row r="46" spans="1:31">
      <c r="A46" s="1443" t="s">
        <v>480</v>
      </c>
      <c r="B46" s="363"/>
      <c r="C46" s="363"/>
      <c r="D46" s="363"/>
      <c r="E46" s="363"/>
      <c r="F46" s="363"/>
      <c r="G46" s="363"/>
      <c r="H46" s="363"/>
      <c r="I46" s="363"/>
      <c r="J46" s="363"/>
      <c r="K46" s="363"/>
      <c r="L46" s="363"/>
      <c r="M46" s="363"/>
      <c r="N46" s="363"/>
      <c r="O46" s="363"/>
      <c r="P46" s="363"/>
      <c r="Q46" s="363"/>
      <c r="R46" s="363"/>
      <c r="S46" s="363"/>
      <c r="T46" s="363"/>
      <c r="U46" s="363"/>
      <c r="V46" s="363"/>
      <c r="W46" s="363"/>
      <c r="X46" s="363"/>
      <c r="Y46" s="363"/>
      <c r="Z46" s="363"/>
      <c r="AA46" s="363"/>
      <c r="AB46" s="363"/>
      <c r="AC46" s="363"/>
      <c r="AD46" s="363"/>
      <c r="AE46" s="363"/>
    </row>
    <row r="47" spans="1:31">
      <c r="A47" s="1444"/>
      <c r="B47" s="364"/>
      <c r="C47" s="364"/>
      <c r="D47" s="364"/>
      <c r="E47" s="364"/>
      <c r="F47" s="364"/>
      <c r="G47" s="364"/>
      <c r="H47" s="364"/>
      <c r="I47" s="364"/>
      <c r="J47" s="364"/>
      <c r="K47" s="364"/>
      <c r="L47" s="364"/>
      <c r="M47" s="364"/>
      <c r="N47" s="364"/>
      <c r="O47" s="364"/>
      <c r="P47" s="364"/>
      <c r="Q47" s="364"/>
      <c r="R47" s="364"/>
      <c r="S47" s="364"/>
      <c r="T47" s="364"/>
      <c r="U47" s="364"/>
      <c r="V47" s="364"/>
      <c r="W47" s="364"/>
      <c r="X47" s="364"/>
      <c r="Y47" s="364"/>
      <c r="Z47" s="364"/>
      <c r="AA47" s="364"/>
      <c r="AB47" s="364"/>
      <c r="AC47" s="364"/>
      <c r="AD47" s="364"/>
      <c r="AE47" s="364"/>
    </row>
    <row r="48" spans="1:31">
      <c r="A48" s="1444"/>
      <c r="B48"/>
      <c r="C48" s="364"/>
      <c r="D48"/>
      <c r="E48" s="364"/>
      <c r="F48"/>
      <c r="G48" s="364"/>
      <c r="H48" s="364"/>
      <c r="I48" s="364"/>
      <c r="J48" s="364"/>
      <c r="K48" s="364"/>
      <c r="L48" s="364"/>
      <c r="M48" s="364"/>
      <c r="N48" s="364"/>
      <c r="O48" s="364"/>
      <c r="P48" s="364"/>
      <c r="Q48" s="364"/>
      <c r="R48" s="364"/>
      <c r="S48" s="364"/>
      <c r="T48" s="364"/>
      <c r="U48" s="364"/>
      <c r="V48" s="364"/>
      <c r="W48" s="364"/>
      <c r="X48" s="364"/>
      <c r="Y48" s="364"/>
      <c r="Z48" s="364"/>
      <c r="AA48" s="364"/>
      <c r="AB48" s="364"/>
      <c r="AC48" s="364"/>
      <c r="AD48" s="364"/>
      <c r="AE48" s="364"/>
    </row>
    <row r="49" spans="1:31">
      <c r="A49" s="1444"/>
      <c r="B49" s="364"/>
      <c r="C49" s="364"/>
      <c r="D49" s="364"/>
      <c r="E49" s="364"/>
      <c r="F49" s="364"/>
      <c r="G49" s="364"/>
      <c r="H49"/>
      <c r="I49" s="364"/>
      <c r="J49" s="364"/>
      <c r="K49" s="364"/>
      <c r="L49" s="364"/>
      <c r="M49" s="364"/>
      <c r="N49" s="364"/>
      <c r="O49" s="364"/>
      <c r="P49" s="364"/>
      <c r="Q49" s="364"/>
      <c r="R49" s="364"/>
      <c r="S49" s="364"/>
      <c r="T49" s="364"/>
      <c r="U49" s="364"/>
      <c r="V49" s="364"/>
      <c r="W49" s="364"/>
      <c r="X49" s="364"/>
      <c r="Y49" s="364"/>
      <c r="Z49" s="364"/>
      <c r="AA49" s="364"/>
      <c r="AB49" s="364"/>
      <c r="AC49" s="364"/>
      <c r="AD49" s="364"/>
      <c r="AE49" s="364"/>
    </row>
    <row r="50" spans="1:31" ht="19.5" thickBot="1">
      <c r="A50" s="1445"/>
      <c r="B50" s="365"/>
      <c r="C50" s="365"/>
      <c r="D50" s="365"/>
      <c r="E50" s="365"/>
      <c r="F50" s="365"/>
      <c r="G50" s="365"/>
      <c r="H50" s="365"/>
      <c r="I50" s="365"/>
      <c r="J50" s="365"/>
      <c r="K50" s="365"/>
      <c r="L50" s="365"/>
      <c r="M50" s="365"/>
      <c r="N50" s="365"/>
      <c r="O50" s="365"/>
      <c r="P50" s="365"/>
      <c r="Q50" s="365"/>
      <c r="R50" s="365"/>
      <c r="S50" s="365"/>
      <c r="T50" s="365"/>
      <c r="U50" s="365"/>
      <c r="V50" s="365"/>
      <c r="W50" s="365"/>
      <c r="X50" s="365"/>
      <c r="Y50" s="365"/>
      <c r="Z50" s="365"/>
      <c r="AA50" s="365"/>
      <c r="AB50" s="365"/>
      <c r="AC50" s="365"/>
      <c r="AD50" s="365"/>
      <c r="AE50" s="365"/>
    </row>
    <row r="51" spans="1:31" ht="19.5" thickBot="1"/>
    <row r="52" spans="1:31" s="252" customFormat="1" ht="18.399999999999999" customHeight="1" thickTop="1">
      <c r="B52" s="252" t="s">
        <v>481</v>
      </c>
      <c r="C52" s="252" t="s">
        <v>482</v>
      </c>
      <c r="E52" s="1439" t="s">
        <v>483</v>
      </c>
      <c r="F52" s="1440"/>
      <c r="G52" s="516"/>
      <c r="H52" s="516"/>
      <c r="I52" s="516"/>
      <c r="J52" s="516"/>
      <c r="K52" s="516"/>
      <c r="L52" s="516"/>
      <c r="M52" s="516"/>
      <c r="N52" s="516"/>
      <c r="O52" s="516"/>
      <c r="P52" s="517"/>
    </row>
    <row r="53" spans="1:31" s="252" customFormat="1">
      <c r="B53" s="252" t="s">
        <v>484</v>
      </c>
      <c r="C53" s="252" t="s">
        <v>485</v>
      </c>
      <c r="E53" s="1441"/>
      <c r="F53" s="1442"/>
      <c r="P53" s="519"/>
    </row>
    <row r="54" spans="1:31" s="252" customFormat="1">
      <c r="B54" s="252" t="s">
        <v>486</v>
      </c>
      <c r="C54" s="252" t="s">
        <v>487</v>
      </c>
      <c r="E54" s="518"/>
      <c r="P54" s="519"/>
    </row>
    <row r="55" spans="1:31">
      <c r="E55" s="520"/>
      <c r="P55" s="521"/>
    </row>
    <row r="56" spans="1:31">
      <c r="E56" s="520"/>
      <c r="P56" s="521"/>
    </row>
    <row r="57" spans="1:31">
      <c r="E57" s="520"/>
      <c r="P57" s="521"/>
    </row>
    <row r="58" spans="1:31">
      <c r="E58" s="520"/>
      <c r="P58" s="521"/>
    </row>
    <row r="59" spans="1:31">
      <c r="E59" s="520"/>
      <c r="P59" s="521"/>
    </row>
    <row r="60" spans="1:31">
      <c r="E60" s="520"/>
      <c r="P60" s="521"/>
    </row>
    <row r="61" spans="1:31">
      <c r="E61" s="520"/>
      <c r="P61" s="521"/>
    </row>
    <row r="62" spans="1:31">
      <c r="E62" s="520"/>
      <c r="P62" s="521"/>
    </row>
    <row r="63" spans="1:31">
      <c r="E63" s="520"/>
      <c r="P63" s="521"/>
    </row>
    <row r="64" spans="1:31">
      <c r="E64" s="520"/>
      <c r="P64" s="521"/>
    </row>
    <row r="65" spans="1:28">
      <c r="E65" s="520"/>
      <c r="P65" s="521"/>
    </row>
    <row r="66" spans="1:28">
      <c r="E66" s="520"/>
      <c r="P66" s="521"/>
    </row>
    <row r="67" spans="1:28">
      <c r="E67" s="520"/>
      <c r="P67" s="521"/>
    </row>
    <row r="68" spans="1:28">
      <c r="E68" s="520"/>
      <c r="P68" s="521"/>
    </row>
    <row r="69" spans="1:28">
      <c r="E69" s="520"/>
      <c r="P69" s="521"/>
    </row>
    <row r="70" spans="1:28">
      <c r="E70" s="520"/>
      <c r="P70" s="521"/>
    </row>
    <row r="71" spans="1:28">
      <c r="E71" s="520"/>
      <c r="P71" s="521"/>
    </row>
    <row r="72" spans="1:28">
      <c r="E72" s="520"/>
      <c r="P72" s="521"/>
    </row>
    <row r="73" spans="1:28">
      <c r="E73" s="520"/>
      <c r="P73" s="521"/>
    </row>
    <row r="74" spans="1:28" ht="19.5" thickBot="1">
      <c r="E74" s="522"/>
      <c r="F74" s="523"/>
      <c r="G74" s="523"/>
      <c r="H74" s="524"/>
      <c r="I74" s="523"/>
      <c r="J74" s="523"/>
      <c r="K74" s="523"/>
      <c r="L74" s="523"/>
      <c r="M74" s="523"/>
      <c r="N74" s="523"/>
      <c r="O74" s="524"/>
      <c r="P74" s="525"/>
    </row>
    <row r="75" spans="1:28" ht="19.5" thickTop="1"/>
    <row r="80" spans="1:28">
      <c r="A80" s="6" t="s">
        <v>97</v>
      </c>
      <c r="B80" s="5" t="s">
        <v>98</v>
      </c>
      <c r="C80" s="5" t="s">
        <v>99</v>
      </c>
      <c r="D80" s="5" t="s">
        <v>100</v>
      </c>
      <c r="E80" s="5" t="s">
        <v>101</v>
      </c>
      <c r="F80" s="5" t="s">
        <v>102</v>
      </c>
      <c r="G80" s="5" t="s">
        <v>103</v>
      </c>
      <c r="H80" s="6" t="s">
        <v>104</v>
      </c>
      <c r="I80" s="5" t="s">
        <v>96</v>
      </c>
      <c r="J80" s="5" t="s">
        <v>475</v>
      </c>
      <c r="K80" s="5" t="s">
        <v>106</v>
      </c>
      <c r="L80" s="5" t="s">
        <v>107</v>
      </c>
      <c r="M80" s="5" t="s">
        <v>108</v>
      </c>
      <c r="N80" s="5" t="s">
        <v>109</v>
      </c>
      <c r="O80" s="6" t="s">
        <v>110</v>
      </c>
      <c r="P80" s="5" t="s">
        <v>111</v>
      </c>
      <c r="Q80" s="5" t="s">
        <v>112</v>
      </c>
      <c r="R80" s="5" t="s">
        <v>113</v>
      </c>
      <c r="S80" s="5" t="s">
        <v>114</v>
      </c>
      <c r="T80" s="5" t="s">
        <v>115</v>
      </c>
      <c r="U80" s="5" t="s">
        <v>117</v>
      </c>
      <c r="V80" s="6" t="s">
        <v>118</v>
      </c>
      <c r="W80" s="5" t="s">
        <v>119</v>
      </c>
      <c r="X80" s="5" t="s">
        <v>120</v>
      </c>
      <c r="Y80" s="5" t="s">
        <v>121</v>
      </c>
      <c r="Z80" s="5" t="s">
        <v>122</v>
      </c>
      <c r="AA80" s="5" t="s">
        <v>123</v>
      </c>
      <c r="AB80" s="5" t="s">
        <v>124</v>
      </c>
    </row>
  </sheetData>
  <mergeCells count="7">
    <mergeCell ref="A1:H2"/>
    <mergeCell ref="I1:P2"/>
    <mergeCell ref="Q1:X2"/>
    <mergeCell ref="Y1:AE2"/>
    <mergeCell ref="E52:F53"/>
    <mergeCell ref="A46:A50"/>
    <mergeCell ref="A42:A44"/>
  </mergeCells>
  <phoneticPr fontId="2"/>
  <conditionalFormatting sqref="A12:AE12">
    <cfRule type="cellIs" dxfId="11" priority="2" operator="equal">
      <formula>0</formula>
    </cfRule>
  </conditionalFormatting>
  <conditionalFormatting sqref="A10:XFD10">
    <cfRule type="cellIs" dxfId="10" priority="3" operator="equal">
      <formula>0</formula>
    </cfRule>
  </conditionalFormatting>
  <conditionalFormatting sqref="A13:XFD13">
    <cfRule type="cellIs" dxfId="9" priority="1" operator="equal">
      <formula>0</formula>
    </cfRule>
  </conditionalFormatting>
  <conditionalFormatting sqref="B12:N12">
    <cfRule type="cellIs" dxfId="8" priority="36" operator="equal">
      <formula>0</formula>
    </cfRule>
  </conditionalFormatting>
  <conditionalFormatting sqref="B5:AE6">
    <cfRule type="cellIs" dxfId="7" priority="10" operator="equal">
      <formula>0</formula>
    </cfRule>
  </conditionalFormatting>
  <conditionalFormatting sqref="B8:AE10">
    <cfRule type="cellIs" dxfId="6" priority="11" operator="equal">
      <formula>0</formula>
    </cfRule>
  </conditionalFormatting>
  <conditionalFormatting sqref="B13:AE13">
    <cfRule type="cellIs" dxfId="5" priority="37" operator="equal">
      <formula>0</formula>
    </cfRule>
  </conditionalFormatting>
  <conditionalFormatting sqref="B15:AE43">
    <cfRule type="cellIs" dxfId="4" priority="14" operator="equal">
      <formula>0</formula>
    </cfRule>
  </conditionalFormatting>
  <conditionalFormatting sqref="O12:AE13">
    <cfRule type="cellIs" dxfId="3" priority="12" operator="equal">
      <formula>0</formula>
    </cfRule>
  </conditionalFormatting>
  <printOptions horizontalCentered="1" verticalCentered="1"/>
  <pageMargins left="0" right="0" top="0.19685039370078741" bottom="0" header="0.31496062992125984" footer="0.31496062992125984"/>
  <pageSetup paperSize="9" scale="95" orientation="landscape" r:id="rId1"/>
  <colBreaks count="3" manualBreakCount="3">
    <brk id="8" max="44" man="1"/>
    <brk id="16" max="44" man="1"/>
    <brk id="24" max="44"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78C77-EF15-4576-8DD3-D99A3A1D48B3}">
  <sheetPr>
    <tabColor theme="9" tint="-0.499984740745262"/>
  </sheetPr>
  <dimension ref="A1:M34"/>
  <sheetViews>
    <sheetView view="pageBreakPreview" zoomScaleNormal="100" zoomScaleSheetLayoutView="100" workbookViewId="0">
      <selection activeCell="I12" sqref="I12:I15"/>
    </sheetView>
  </sheetViews>
  <sheetFormatPr defaultColWidth="8.75" defaultRowHeight="16.149999999999999" customHeight="1"/>
  <cols>
    <col min="1" max="1" width="4.125" style="614" customWidth="1"/>
    <col min="2" max="2" width="11.75" style="614" customWidth="1"/>
    <col min="3" max="3" width="8.25" style="614" bestFit="1" customWidth="1"/>
    <col min="4" max="4" width="18.125" style="614" customWidth="1"/>
    <col min="5" max="5" width="9.625" style="614" bestFit="1" customWidth="1"/>
    <col min="6" max="6" width="18.125" style="614" customWidth="1"/>
    <col min="7" max="7" width="2.75" style="614" bestFit="1" customWidth="1"/>
    <col min="8" max="8" width="4.25" style="614" customWidth="1"/>
    <col min="9" max="9" width="11.75" style="614" customWidth="1"/>
    <col min="10" max="10" width="8.25" style="614" bestFit="1" customWidth="1"/>
    <col min="11" max="11" width="18.125" style="614" customWidth="1"/>
    <col min="12" max="12" width="9.625" style="614" bestFit="1" customWidth="1"/>
    <col min="13" max="13" width="18.125" style="614" customWidth="1"/>
    <col min="14" max="16384" width="8.75" style="614"/>
  </cols>
  <sheetData>
    <row r="1" spans="1:13" ht="16.149999999999999" customHeight="1">
      <c r="A1" s="1462" t="s">
        <v>488</v>
      </c>
      <c r="B1" s="1462"/>
      <c r="C1" s="1462"/>
      <c r="D1" s="1462"/>
      <c r="E1" s="1462"/>
      <c r="F1" s="1462"/>
      <c r="G1" s="1462"/>
      <c r="H1" s="1462"/>
      <c r="I1" s="1462"/>
      <c r="J1" s="1462"/>
      <c r="K1" s="1462"/>
      <c r="L1" s="1462"/>
      <c r="M1" s="1462"/>
    </row>
    <row r="2" spans="1:13" ht="16.149999999999999" customHeight="1">
      <c r="A2" s="1462"/>
      <c r="B2" s="1462"/>
      <c r="C2" s="1462"/>
      <c r="D2" s="1462"/>
      <c r="E2" s="1462"/>
      <c r="F2" s="1462"/>
      <c r="G2" s="1462"/>
      <c r="H2" s="1462"/>
      <c r="I2" s="1462"/>
      <c r="J2" s="1462"/>
      <c r="K2" s="1462"/>
      <c r="L2" s="1462"/>
      <c r="M2" s="1462"/>
    </row>
    <row r="3" spans="1:13" ht="16.149999999999999" customHeight="1" thickBot="1"/>
    <row r="4" spans="1:13" ht="16.149999999999999" customHeight="1">
      <c r="A4" s="1457">
        <v>1</v>
      </c>
      <c r="B4" s="1454" t="s">
        <v>466</v>
      </c>
      <c r="C4" s="638" t="s">
        <v>489</v>
      </c>
      <c r="D4" s="639" t="str">
        <f>☆入力!B49</f>
        <v/>
      </c>
      <c r="E4" s="638" t="s">
        <v>215</v>
      </c>
      <c r="F4" s="640">
        <f>☆入力!C49</f>
        <v>0</v>
      </c>
      <c r="G4" s="615"/>
      <c r="H4" s="1457">
        <v>7</v>
      </c>
      <c r="I4" s="1454" t="s">
        <v>466</v>
      </c>
      <c r="J4" s="638" t="s">
        <v>489</v>
      </c>
      <c r="K4" s="639" t="str">
        <f>☆入力!B55</f>
        <v/>
      </c>
      <c r="L4" s="638" t="s">
        <v>215</v>
      </c>
      <c r="M4" s="640">
        <f>☆入力!C55</f>
        <v>0</v>
      </c>
    </row>
    <row r="5" spans="1:13" ht="16.149999999999999" customHeight="1">
      <c r="A5" s="1458"/>
      <c r="B5" s="1455"/>
      <c r="C5" s="635" t="s">
        <v>305</v>
      </c>
      <c r="D5" s="636">
        <f>☆入力!D49</f>
        <v>0</v>
      </c>
      <c r="E5" s="635" t="s">
        <v>200</v>
      </c>
      <c r="F5" s="641">
        <f>☆入力!L49</f>
        <v>0</v>
      </c>
      <c r="G5" s="615"/>
      <c r="H5" s="1458"/>
      <c r="I5" s="1455"/>
      <c r="J5" s="635" t="s">
        <v>305</v>
      </c>
      <c r="K5" s="636">
        <f>☆入力!D55</f>
        <v>0</v>
      </c>
      <c r="L5" s="635" t="s">
        <v>200</v>
      </c>
      <c r="M5" s="641">
        <f>☆入力!L55</f>
        <v>0</v>
      </c>
    </row>
    <row r="6" spans="1:13" ht="16.149999999999999" customHeight="1">
      <c r="A6" s="1458"/>
      <c r="B6" s="1455"/>
      <c r="C6" s="637" t="s">
        <v>250</v>
      </c>
      <c r="D6" s="1460">
        <f>☆入力!W49</f>
        <v>0</v>
      </c>
      <c r="E6" s="1460"/>
      <c r="F6" s="1461"/>
      <c r="G6" s="615"/>
      <c r="H6" s="1458"/>
      <c r="I6" s="1455"/>
      <c r="J6" s="637" t="s">
        <v>250</v>
      </c>
      <c r="K6" s="1460">
        <f>☆入力!W55</f>
        <v>0</v>
      </c>
      <c r="L6" s="1460"/>
      <c r="M6" s="1461"/>
    </row>
    <row r="7" spans="1:13" ht="16.149999999999999" customHeight="1" thickBot="1">
      <c r="A7" s="1459"/>
      <c r="B7" s="1456"/>
      <c r="C7" s="642" t="s">
        <v>251</v>
      </c>
      <c r="D7" s="1450">
        <f>☆入力!AC49</f>
        <v>0</v>
      </c>
      <c r="E7" s="1451"/>
      <c r="F7" s="1452"/>
      <c r="G7" s="615"/>
      <c r="H7" s="1459"/>
      <c r="I7" s="1456"/>
      <c r="J7" s="642" t="s">
        <v>251</v>
      </c>
      <c r="K7" s="1450">
        <f>☆入力!AC55</f>
        <v>0</v>
      </c>
      <c r="L7" s="1451"/>
      <c r="M7" s="1452"/>
    </row>
    <row r="8" spans="1:13" ht="16.149999999999999" customHeight="1">
      <c r="A8" s="1457">
        <v>2</v>
      </c>
      <c r="B8" s="1454" t="s">
        <v>466</v>
      </c>
      <c r="C8" s="638" t="s">
        <v>489</v>
      </c>
      <c r="D8" s="639" t="str">
        <f>☆入力!B50</f>
        <v/>
      </c>
      <c r="E8" s="638" t="s">
        <v>215</v>
      </c>
      <c r="F8" s="640">
        <f>☆入力!C50</f>
        <v>0</v>
      </c>
      <c r="G8" s="615"/>
      <c r="H8" s="1457">
        <v>8</v>
      </c>
      <c r="I8" s="1454" t="s">
        <v>466</v>
      </c>
      <c r="J8" s="638" t="s">
        <v>489</v>
      </c>
      <c r="K8" s="639" t="str">
        <f>☆入力!B56</f>
        <v/>
      </c>
      <c r="L8" s="638" t="s">
        <v>215</v>
      </c>
      <c r="M8" s="640">
        <f>☆入力!C56</f>
        <v>0</v>
      </c>
    </row>
    <row r="9" spans="1:13" ht="16.149999999999999" customHeight="1">
      <c r="A9" s="1458"/>
      <c r="B9" s="1455"/>
      <c r="C9" s="635" t="s">
        <v>305</v>
      </c>
      <c r="D9" s="636">
        <f>☆入力!D50</f>
        <v>0</v>
      </c>
      <c r="E9" s="635" t="s">
        <v>200</v>
      </c>
      <c r="F9" s="641">
        <f>☆入力!L50</f>
        <v>0</v>
      </c>
      <c r="G9" s="615"/>
      <c r="H9" s="1458"/>
      <c r="I9" s="1455"/>
      <c r="J9" s="635" t="s">
        <v>305</v>
      </c>
      <c r="K9" s="636">
        <f>☆入力!D56</f>
        <v>0</v>
      </c>
      <c r="L9" s="635" t="s">
        <v>200</v>
      </c>
      <c r="M9" s="641">
        <f>☆入力!L56</f>
        <v>0</v>
      </c>
    </row>
    <row r="10" spans="1:13" ht="16.149999999999999" customHeight="1">
      <c r="A10" s="1458"/>
      <c r="B10" s="1455"/>
      <c r="C10" s="637" t="s">
        <v>250</v>
      </c>
      <c r="D10" s="1460">
        <f>☆入力!W50</f>
        <v>0</v>
      </c>
      <c r="E10" s="1460"/>
      <c r="F10" s="1461"/>
      <c r="G10" s="615"/>
      <c r="H10" s="1458"/>
      <c r="I10" s="1455"/>
      <c r="J10" s="637" t="s">
        <v>250</v>
      </c>
      <c r="K10" s="1460">
        <f>☆入力!W56</f>
        <v>0</v>
      </c>
      <c r="L10" s="1460"/>
      <c r="M10" s="1461"/>
    </row>
    <row r="11" spans="1:13" ht="16.149999999999999" customHeight="1" thickBot="1">
      <c r="A11" s="1459"/>
      <c r="B11" s="1456"/>
      <c r="C11" s="642" t="s">
        <v>251</v>
      </c>
      <c r="D11" s="1450">
        <f>☆入力!AC50</f>
        <v>0</v>
      </c>
      <c r="E11" s="1451"/>
      <c r="F11" s="1452"/>
      <c r="G11" s="615"/>
      <c r="H11" s="1459"/>
      <c r="I11" s="1456"/>
      <c r="J11" s="642" t="s">
        <v>251</v>
      </c>
      <c r="K11" s="1450">
        <f>☆入力!AC56</f>
        <v>0</v>
      </c>
      <c r="L11" s="1451"/>
      <c r="M11" s="1452"/>
    </row>
    <row r="12" spans="1:13" ht="16.149999999999999" customHeight="1">
      <c r="A12" s="1457">
        <v>3</v>
      </c>
      <c r="B12" s="1454" t="s">
        <v>466</v>
      </c>
      <c r="C12" s="638" t="s">
        <v>489</v>
      </c>
      <c r="D12" s="639" t="str">
        <f>☆入力!B51</f>
        <v/>
      </c>
      <c r="E12" s="638" t="s">
        <v>215</v>
      </c>
      <c r="F12" s="640">
        <f>☆入力!C51</f>
        <v>0</v>
      </c>
      <c r="G12" s="615"/>
      <c r="H12" s="1457">
        <v>9</v>
      </c>
      <c r="I12" s="1454" t="s">
        <v>466</v>
      </c>
      <c r="J12" s="638" t="s">
        <v>489</v>
      </c>
      <c r="K12" s="639" t="str">
        <f>☆入力!B57</f>
        <v/>
      </c>
      <c r="L12" s="638" t="s">
        <v>215</v>
      </c>
      <c r="M12" s="640">
        <f>☆入力!C57</f>
        <v>0</v>
      </c>
    </row>
    <row r="13" spans="1:13" ht="16.149999999999999" customHeight="1">
      <c r="A13" s="1458"/>
      <c r="B13" s="1455"/>
      <c r="C13" s="635" t="s">
        <v>305</v>
      </c>
      <c r="D13" s="636">
        <f>☆入力!D51</f>
        <v>0</v>
      </c>
      <c r="E13" s="635" t="s">
        <v>200</v>
      </c>
      <c r="F13" s="641">
        <f>☆入力!L51</f>
        <v>0</v>
      </c>
      <c r="G13" s="615"/>
      <c r="H13" s="1458"/>
      <c r="I13" s="1455"/>
      <c r="J13" s="635" t="s">
        <v>305</v>
      </c>
      <c r="K13" s="636">
        <f>☆入力!D57</f>
        <v>0</v>
      </c>
      <c r="L13" s="635" t="s">
        <v>200</v>
      </c>
      <c r="M13" s="641">
        <f>☆入力!L57</f>
        <v>0</v>
      </c>
    </row>
    <row r="14" spans="1:13" ht="16.149999999999999" customHeight="1">
      <c r="A14" s="1458"/>
      <c r="B14" s="1455"/>
      <c r="C14" s="637" t="s">
        <v>250</v>
      </c>
      <c r="D14" s="1460">
        <f>☆入力!W51</f>
        <v>0</v>
      </c>
      <c r="E14" s="1460"/>
      <c r="F14" s="1461"/>
      <c r="G14" s="615"/>
      <c r="H14" s="1458"/>
      <c r="I14" s="1455"/>
      <c r="J14" s="637" t="s">
        <v>250</v>
      </c>
      <c r="K14" s="1460">
        <f>☆入力!W57</f>
        <v>0</v>
      </c>
      <c r="L14" s="1460"/>
      <c r="M14" s="1461"/>
    </row>
    <row r="15" spans="1:13" ht="16.149999999999999" customHeight="1" thickBot="1">
      <c r="A15" s="1459"/>
      <c r="B15" s="1456"/>
      <c r="C15" s="642" t="s">
        <v>251</v>
      </c>
      <c r="D15" s="1450">
        <f>☆入力!AC51</f>
        <v>0</v>
      </c>
      <c r="E15" s="1451"/>
      <c r="F15" s="1452"/>
      <c r="G15" s="615"/>
      <c r="H15" s="1459"/>
      <c r="I15" s="1456"/>
      <c r="J15" s="642" t="s">
        <v>251</v>
      </c>
      <c r="K15" s="1450">
        <f>☆入力!AC57</f>
        <v>0</v>
      </c>
      <c r="L15" s="1451"/>
      <c r="M15" s="1452"/>
    </row>
    <row r="16" spans="1:13" ht="16.149999999999999" customHeight="1">
      <c r="A16" s="1457">
        <v>4</v>
      </c>
      <c r="B16" s="1454" t="s">
        <v>466</v>
      </c>
      <c r="C16" s="638" t="s">
        <v>489</v>
      </c>
      <c r="D16" s="639" t="str">
        <f>☆入力!B52</f>
        <v/>
      </c>
      <c r="E16" s="638" t="s">
        <v>215</v>
      </c>
      <c r="F16" s="640">
        <f>☆入力!C52</f>
        <v>0</v>
      </c>
      <c r="G16" s="615"/>
      <c r="H16" s="1457">
        <v>10</v>
      </c>
      <c r="I16" s="1454" t="s">
        <v>466</v>
      </c>
      <c r="J16" s="638" t="s">
        <v>489</v>
      </c>
      <c r="K16" s="639" t="str">
        <f>☆入力!B58</f>
        <v/>
      </c>
      <c r="L16" s="638" t="s">
        <v>215</v>
      </c>
      <c r="M16" s="640">
        <f>☆入力!C58</f>
        <v>0</v>
      </c>
    </row>
    <row r="17" spans="1:13" ht="16.149999999999999" customHeight="1">
      <c r="A17" s="1458"/>
      <c r="B17" s="1455"/>
      <c r="C17" s="635" t="s">
        <v>305</v>
      </c>
      <c r="D17" s="636">
        <f>☆入力!D52</f>
        <v>0</v>
      </c>
      <c r="E17" s="635" t="s">
        <v>200</v>
      </c>
      <c r="F17" s="641">
        <f>☆入力!L52</f>
        <v>0</v>
      </c>
      <c r="G17" s="615"/>
      <c r="H17" s="1458"/>
      <c r="I17" s="1455"/>
      <c r="J17" s="635" t="s">
        <v>305</v>
      </c>
      <c r="K17" s="636">
        <f>☆入力!D58</f>
        <v>0</v>
      </c>
      <c r="L17" s="635" t="s">
        <v>200</v>
      </c>
      <c r="M17" s="641">
        <f>☆入力!L58</f>
        <v>0</v>
      </c>
    </row>
    <row r="18" spans="1:13" ht="16.149999999999999" customHeight="1">
      <c r="A18" s="1458"/>
      <c r="B18" s="1455"/>
      <c r="C18" s="637" t="s">
        <v>250</v>
      </c>
      <c r="D18" s="1460">
        <f>☆入力!W52</f>
        <v>0</v>
      </c>
      <c r="E18" s="1460"/>
      <c r="F18" s="1461"/>
      <c r="G18" s="615"/>
      <c r="H18" s="1458"/>
      <c r="I18" s="1455"/>
      <c r="J18" s="637" t="s">
        <v>250</v>
      </c>
      <c r="K18" s="1460">
        <f>☆入力!W58</f>
        <v>0</v>
      </c>
      <c r="L18" s="1460"/>
      <c r="M18" s="1461"/>
    </row>
    <row r="19" spans="1:13" ht="16.149999999999999" customHeight="1" thickBot="1">
      <c r="A19" s="1459"/>
      <c r="B19" s="1456"/>
      <c r="C19" s="642" t="s">
        <v>251</v>
      </c>
      <c r="D19" s="1450">
        <f>☆入力!AC52</f>
        <v>0</v>
      </c>
      <c r="E19" s="1451"/>
      <c r="F19" s="1452"/>
      <c r="G19" s="615"/>
      <c r="H19" s="1459"/>
      <c r="I19" s="1456"/>
      <c r="J19" s="642" t="s">
        <v>251</v>
      </c>
      <c r="K19" s="1450">
        <f>☆入力!AC58</f>
        <v>0</v>
      </c>
      <c r="L19" s="1451"/>
      <c r="M19" s="1452"/>
    </row>
    <row r="20" spans="1:13" ht="16.149999999999999" customHeight="1">
      <c r="A20" s="1457">
        <v>5</v>
      </c>
      <c r="B20" s="1454" t="s">
        <v>466</v>
      </c>
      <c r="C20" s="638" t="s">
        <v>489</v>
      </c>
      <c r="D20" s="639" t="str">
        <f>☆入力!B53</f>
        <v/>
      </c>
      <c r="E20" s="638" t="s">
        <v>215</v>
      </c>
      <c r="F20" s="640">
        <f>☆入力!C53</f>
        <v>0</v>
      </c>
      <c r="G20" s="615"/>
      <c r="H20" s="1457">
        <v>11</v>
      </c>
      <c r="I20" s="1454" t="s">
        <v>466</v>
      </c>
      <c r="J20" s="638" t="s">
        <v>489</v>
      </c>
      <c r="K20" s="639" t="str">
        <f>☆入力!B59</f>
        <v/>
      </c>
      <c r="L20" s="638" t="s">
        <v>215</v>
      </c>
      <c r="M20" s="640">
        <f>☆入力!C59</f>
        <v>0</v>
      </c>
    </row>
    <row r="21" spans="1:13" ht="16.149999999999999" customHeight="1">
      <c r="A21" s="1458"/>
      <c r="B21" s="1455"/>
      <c r="C21" s="635" t="s">
        <v>305</v>
      </c>
      <c r="D21" s="636">
        <f>☆入力!D53</f>
        <v>0</v>
      </c>
      <c r="E21" s="635" t="s">
        <v>200</v>
      </c>
      <c r="F21" s="641">
        <f>☆入力!L53</f>
        <v>0</v>
      </c>
      <c r="G21" s="615"/>
      <c r="H21" s="1458"/>
      <c r="I21" s="1455"/>
      <c r="J21" s="635" t="s">
        <v>305</v>
      </c>
      <c r="K21" s="636">
        <f>☆入力!D59</f>
        <v>0</v>
      </c>
      <c r="L21" s="635" t="s">
        <v>200</v>
      </c>
      <c r="M21" s="641">
        <f>☆入力!L59</f>
        <v>0</v>
      </c>
    </row>
    <row r="22" spans="1:13" ht="16.149999999999999" customHeight="1">
      <c r="A22" s="1458"/>
      <c r="B22" s="1455"/>
      <c r="C22" s="637" t="s">
        <v>250</v>
      </c>
      <c r="D22" s="1460">
        <f>☆入力!W53</f>
        <v>0</v>
      </c>
      <c r="E22" s="1460"/>
      <c r="F22" s="1461"/>
      <c r="G22" s="615"/>
      <c r="H22" s="1458"/>
      <c r="I22" s="1455"/>
      <c r="J22" s="637" t="s">
        <v>250</v>
      </c>
      <c r="K22" s="1460">
        <f>☆入力!W59</f>
        <v>0</v>
      </c>
      <c r="L22" s="1460"/>
      <c r="M22" s="1461"/>
    </row>
    <row r="23" spans="1:13" ht="16.149999999999999" customHeight="1" thickBot="1">
      <c r="A23" s="1459"/>
      <c r="B23" s="1456"/>
      <c r="C23" s="642" t="s">
        <v>251</v>
      </c>
      <c r="D23" s="1453">
        <f>☆入力!AC53</f>
        <v>0</v>
      </c>
      <c r="E23" s="1451"/>
      <c r="F23" s="1452"/>
      <c r="G23" s="615"/>
      <c r="H23" s="1459"/>
      <c r="I23" s="1456"/>
      <c r="J23" s="642" t="s">
        <v>251</v>
      </c>
      <c r="K23" s="1450">
        <f>☆入力!AC59</f>
        <v>0</v>
      </c>
      <c r="L23" s="1451"/>
      <c r="M23" s="1452"/>
    </row>
    <row r="24" spans="1:13" ht="16.149999999999999" customHeight="1">
      <c r="A24" s="1457">
        <v>6</v>
      </c>
      <c r="B24" s="1454" t="s">
        <v>466</v>
      </c>
      <c r="C24" s="638" t="s">
        <v>489</v>
      </c>
      <c r="D24" s="639" t="str">
        <f>☆入力!B54</f>
        <v/>
      </c>
      <c r="E24" s="638" t="s">
        <v>215</v>
      </c>
      <c r="F24" s="640">
        <f>☆入力!C54</f>
        <v>0</v>
      </c>
      <c r="G24" s="615"/>
      <c r="H24" s="1457">
        <v>12</v>
      </c>
      <c r="I24" s="1454" t="s">
        <v>466</v>
      </c>
      <c r="J24" s="638" t="s">
        <v>489</v>
      </c>
      <c r="K24" s="639" t="str">
        <f>☆入力!B60</f>
        <v/>
      </c>
      <c r="L24" s="638" t="s">
        <v>215</v>
      </c>
      <c r="M24" s="640">
        <f>☆入力!C60</f>
        <v>0</v>
      </c>
    </row>
    <row r="25" spans="1:13" ht="16.149999999999999" customHeight="1">
      <c r="A25" s="1458"/>
      <c r="B25" s="1455"/>
      <c r="C25" s="635" t="s">
        <v>305</v>
      </c>
      <c r="D25" s="636">
        <f>☆入力!D54</f>
        <v>0</v>
      </c>
      <c r="E25" s="635" t="s">
        <v>200</v>
      </c>
      <c r="F25" s="641">
        <f>☆入力!L54</f>
        <v>0</v>
      </c>
      <c r="G25" s="615"/>
      <c r="H25" s="1458"/>
      <c r="I25" s="1455"/>
      <c r="J25" s="635" t="s">
        <v>305</v>
      </c>
      <c r="K25" s="636">
        <f>☆入力!D60</f>
        <v>0</v>
      </c>
      <c r="L25" s="635" t="s">
        <v>200</v>
      </c>
      <c r="M25" s="641">
        <f>☆入力!L60</f>
        <v>0</v>
      </c>
    </row>
    <row r="26" spans="1:13" ht="16.149999999999999" customHeight="1">
      <c r="A26" s="1458"/>
      <c r="B26" s="1455"/>
      <c r="C26" s="637" t="s">
        <v>250</v>
      </c>
      <c r="D26" s="1460">
        <f>☆入力!W54</f>
        <v>0</v>
      </c>
      <c r="E26" s="1460"/>
      <c r="F26" s="1461"/>
      <c r="G26" s="615"/>
      <c r="H26" s="1458"/>
      <c r="I26" s="1455"/>
      <c r="J26" s="637" t="s">
        <v>250</v>
      </c>
      <c r="K26" s="1460">
        <f>☆入力!W60</f>
        <v>0</v>
      </c>
      <c r="L26" s="1460"/>
      <c r="M26" s="1461"/>
    </row>
    <row r="27" spans="1:13" ht="16.149999999999999" customHeight="1" thickBot="1">
      <c r="A27" s="1459"/>
      <c r="B27" s="1456"/>
      <c r="C27" s="642" t="s">
        <v>251</v>
      </c>
      <c r="D27" s="1453">
        <f>☆入力!AC54</f>
        <v>0</v>
      </c>
      <c r="E27" s="1451"/>
      <c r="F27" s="1452"/>
      <c r="G27" s="615"/>
      <c r="H27" s="1459"/>
      <c r="I27" s="1456"/>
      <c r="J27" s="642" t="s">
        <v>251</v>
      </c>
      <c r="K27" s="1450">
        <f>☆入力!AC60</f>
        <v>0</v>
      </c>
      <c r="L27" s="1451"/>
      <c r="M27" s="1452"/>
    </row>
    <row r="28" spans="1:13" ht="16.149999999999999" customHeight="1">
      <c r="A28" s="615"/>
      <c r="B28" s="618"/>
      <c r="C28" s="617"/>
      <c r="D28" s="615"/>
      <c r="E28" s="617"/>
      <c r="F28" s="615"/>
      <c r="G28" s="615"/>
      <c r="H28" s="615"/>
      <c r="I28" s="618"/>
      <c r="J28" s="617"/>
      <c r="K28" s="615"/>
      <c r="L28" s="617"/>
      <c r="M28" s="615">
        <v>11</v>
      </c>
    </row>
    <row r="29" spans="1:13" s="4" customFormat="1" ht="16.149999999999999" customHeight="1" thickBot="1">
      <c r="A29" s="643" t="s">
        <v>490</v>
      </c>
      <c r="B29" s="631"/>
      <c r="C29" s="631"/>
      <c r="D29" s="632"/>
      <c r="E29" s="632"/>
      <c r="F29" s="632"/>
      <c r="G29" s="83"/>
      <c r="H29" s="83"/>
      <c r="I29" s="633"/>
      <c r="J29" s="634"/>
      <c r="K29" s="632"/>
      <c r="L29" s="632"/>
      <c r="M29" s="632"/>
    </row>
    <row r="30" spans="1:13" ht="16.149999999999999" customHeight="1" thickTop="1">
      <c r="A30" s="366"/>
      <c r="B30" s="366"/>
      <c r="C30" s="366"/>
      <c r="D30" s="615"/>
      <c r="E30" s="617"/>
      <c r="F30" s="615"/>
      <c r="G30" s="615"/>
      <c r="H30" s="615"/>
      <c r="I30" s="618"/>
      <c r="J30" s="617"/>
      <c r="K30" s="615"/>
      <c r="L30" s="617"/>
      <c r="M30" s="615"/>
    </row>
    <row r="31" spans="1:13" s="626" customFormat="1" ht="16.149999999999999" customHeight="1" thickTop="1">
      <c r="A31" s="629"/>
      <c r="B31" s="629" t="s">
        <v>296</v>
      </c>
      <c r="C31" s="629"/>
      <c r="D31" s="623"/>
      <c r="E31" s="625"/>
      <c r="F31" s="623"/>
      <c r="G31" s="623"/>
      <c r="H31" s="623"/>
      <c r="I31" s="624"/>
      <c r="J31" s="625"/>
      <c r="K31" s="623"/>
      <c r="L31" s="625"/>
      <c r="M31" s="623"/>
    </row>
    <row r="32" spans="1:13" s="626" customFormat="1" ht="16.149999999999999" customHeight="1">
      <c r="A32" s="629"/>
      <c r="B32" s="629" t="s">
        <v>297</v>
      </c>
      <c r="C32" s="629"/>
      <c r="D32" s="627"/>
      <c r="E32" s="627"/>
      <c r="F32" s="627"/>
      <c r="G32" s="623"/>
      <c r="H32" s="623"/>
      <c r="I32" s="624"/>
      <c r="J32" s="628"/>
      <c r="K32" s="627"/>
      <c r="L32" s="627"/>
      <c r="M32" s="627"/>
    </row>
    <row r="33" spans="1:13" ht="16.149999999999999" customHeight="1">
      <c r="A33" s="630"/>
      <c r="B33" s="1449" t="s">
        <v>298</v>
      </c>
      <c r="C33" s="1449"/>
      <c r="D33" s="1449"/>
      <c r="E33" s="1449"/>
      <c r="F33" s="1449"/>
      <c r="G33" s="1449"/>
      <c r="H33" s="1449"/>
    </row>
    <row r="34" spans="1:13" ht="16.149999999999999" customHeight="1">
      <c r="A34" s="616"/>
      <c r="B34" s="1449"/>
      <c r="C34" s="1449"/>
      <c r="D34" s="1449"/>
      <c r="E34" s="1449"/>
      <c r="F34" s="1449"/>
      <c r="G34" s="1449"/>
      <c r="H34" s="1449"/>
      <c r="M34" s="614">
        <v>10</v>
      </c>
    </row>
  </sheetData>
  <mergeCells count="50">
    <mergeCell ref="D6:F6"/>
    <mergeCell ref="D10:F10"/>
    <mergeCell ref="D7:F7"/>
    <mergeCell ref="A20:A23"/>
    <mergeCell ref="B20:B23"/>
    <mergeCell ref="A24:A27"/>
    <mergeCell ref="B24:B27"/>
    <mergeCell ref="D14:F14"/>
    <mergeCell ref="D18:F18"/>
    <mergeCell ref="A16:A19"/>
    <mergeCell ref="B16:B19"/>
    <mergeCell ref="I8:I11"/>
    <mergeCell ref="H12:H15"/>
    <mergeCell ref="I12:I15"/>
    <mergeCell ref="H16:H19"/>
    <mergeCell ref="D22:F22"/>
    <mergeCell ref="A1:M2"/>
    <mergeCell ref="K22:M22"/>
    <mergeCell ref="K26:M26"/>
    <mergeCell ref="K14:M14"/>
    <mergeCell ref="A4:A7"/>
    <mergeCell ref="B4:B7"/>
    <mergeCell ref="A8:A11"/>
    <mergeCell ref="B8:B11"/>
    <mergeCell ref="A12:A15"/>
    <mergeCell ref="B12:B15"/>
    <mergeCell ref="K18:M18"/>
    <mergeCell ref="K6:M6"/>
    <mergeCell ref="K10:M10"/>
    <mergeCell ref="H4:H7"/>
    <mergeCell ref="I4:I7"/>
    <mergeCell ref="H8:H11"/>
    <mergeCell ref="K27:M27"/>
    <mergeCell ref="D23:F23"/>
    <mergeCell ref="I16:I19"/>
    <mergeCell ref="H20:H23"/>
    <mergeCell ref="I20:I23"/>
    <mergeCell ref="H24:H27"/>
    <mergeCell ref="I24:I27"/>
    <mergeCell ref="D26:F26"/>
    <mergeCell ref="K7:M7"/>
    <mergeCell ref="K11:M11"/>
    <mergeCell ref="K15:M15"/>
    <mergeCell ref="K19:M19"/>
    <mergeCell ref="K23:M23"/>
    <mergeCell ref="B33:H34"/>
    <mergeCell ref="D11:F11"/>
    <mergeCell ref="D15:F15"/>
    <mergeCell ref="D19:F19"/>
    <mergeCell ref="D27:F27"/>
  </mergeCells>
  <phoneticPr fontId="2"/>
  <conditionalFormatting sqref="A4:M27">
    <cfRule type="cellIs" dxfId="2" priority="2" operator="equal">
      <formula>0</formula>
    </cfRule>
  </conditionalFormatting>
  <conditionalFormatting sqref="D6:F7 K6:M7 D10:F11 K10:M11 D14:F15 K14:M15 D18:F19 K18:M19 D22:F23 K22:M23 D26:F27 K26:M27">
    <cfRule type="cellIs" dxfId="1" priority="1" operator="equal">
      <formula>0</formula>
    </cfRule>
  </conditionalFormatting>
  <printOptions horizontalCentered="1" verticalCentered="1"/>
  <pageMargins left="0.23622047244094491" right="0.23622047244094491" top="0.74803149606299213" bottom="0.74803149606299213" header="0.31496062992125984" footer="0.31496062992125984"/>
  <pageSetup paperSize="9" scale="85" orientation="landscape" r:id="rId1"/>
  <rowBreaks count="1" manualBreakCount="1">
    <brk id="3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F0C90-6A3D-4A6E-BC34-A9EAF1192DF3}">
  <dimension ref="A1:R47"/>
  <sheetViews>
    <sheetView topLeftCell="B1" zoomScale="80" zoomScaleNormal="80" workbookViewId="0">
      <selection activeCell="N3" sqref="N3"/>
    </sheetView>
  </sheetViews>
  <sheetFormatPr defaultColWidth="8.625" defaultRowHeight="16.5" customHeight="1"/>
  <cols>
    <col min="1" max="1" width="5.125" style="224" customWidth="1"/>
    <col min="2" max="11" width="10.625" style="224" customWidth="1"/>
    <col min="12" max="16384" width="8.625" style="224"/>
  </cols>
  <sheetData>
    <row r="1" spans="1:18" ht="16.5" customHeight="1" thickBot="1"/>
    <row r="2" spans="1:18" ht="16.5" customHeight="1" thickBot="1">
      <c r="A2" s="244"/>
      <c r="H2" s="246" t="s">
        <v>491</v>
      </c>
      <c r="I2" s="243"/>
      <c r="J2" s="245" t="s">
        <v>492</v>
      </c>
      <c r="K2" s="242"/>
    </row>
    <row r="3" spans="1:18" ht="16.5" customHeight="1">
      <c r="B3" s="1464" t="s">
        <v>493</v>
      </c>
      <c r="C3" s="1464"/>
      <c r="D3" s="225">
        <f ca="1">☆入力!AL14*(100%-☆入力!AR11)</f>
        <v>0</v>
      </c>
      <c r="M3" s="344" t="s">
        <v>494</v>
      </c>
      <c r="N3" s="509" t="s">
        <v>495</v>
      </c>
      <c r="O3" s="510"/>
      <c r="P3" s="510"/>
      <c r="Q3" s="510"/>
      <c r="R3" s="511"/>
    </row>
    <row r="4" spans="1:18" ht="16.5" customHeight="1" thickBot="1">
      <c r="B4" s="226"/>
      <c r="C4" s="226"/>
      <c r="D4" s="226"/>
      <c r="H4" s="224" t="s">
        <v>496</v>
      </c>
      <c r="M4" s="345" t="s">
        <v>497</v>
      </c>
      <c r="N4" s="512"/>
      <c r="O4" s="513"/>
      <c r="P4" s="513"/>
      <c r="Q4" s="513"/>
      <c r="R4" s="514"/>
    </row>
    <row r="5" spans="1:18" ht="16.5" customHeight="1" thickBot="1">
      <c r="B5" s="1464" t="s">
        <v>498</v>
      </c>
      <c r="C5" s="1465"/>
      <c r="D5" s="230">
        <v>0</v>
      </c>
      <c r="E5" s="224" t="s">
        <v>499</v>
      </c>
      <c r="H5" s="716">
        <v>10</v>
      </c>
      <c r="I5" s="224" t="s">
        <v>500</v>
      </c>
      <c r="M5" s="345" t="s">
        <v>501</v>
      </c>
      <c r="N5" s="512"/>
      <c r="O5" s="513"/>
      <c r="P5" s="513"/>
      <c r="Q5" s="513"/>
      <c r="R5" s="514"/>
    </row>
    <row r="6" spans="1:18" ht="16.5" customHeight="1">
      <c r="C6" s="226"/>
      <c r="D6" s="226"/>
      <c r="F6" s="227"/>
      <c r="K6" s="227"/>
      <c r="M6" s="345" t="s">
        <v>502</v>
      </c>
      <c r="N6" s="512" t="s">
        <v>503</v>
      </c>
      <c r="O6" s="513"/>
      <c r="P6" s="513"/>
      <c r="Q6" s="513"/>
      <c r="R6" s="514"/>
    </row>
    <row r="7" spans="1:18" ht="16.5" customHeight="1" thickBot="1">
      <c r="C7" s="226"/>
      <c r="D7" s="226"/>
      <c r="K7" s="227"/>
      <c r="M7" s="346" t="s">
        <v>504</v>
      </c>
      <c r="N7" s="1476" t="s">
        <v>505</v>
      </c>
      <c r="O7" s="1477"/>
      <c r="P7" s="1477"/>
      <c r="Q7" s="1477"/>
      <c r="R7" s="1478"/>
    </row>
    <row r="8" spans="1:18" ht="16.5" customHeight="1" thickBot="1">
      <c r="B8" s="1466" t="s">
        <v>506</v>
      </c>
      <c r="C8" s="1467"/>
      <c r="D8" s="241">
        <v>0</v>
      </c>
      <c r="K8" s="227"/>
    </row>
    <row r="9" spans="1:18" ht="16.5" customHeight="1">
      <c r="B9" s="224" t="s">
        <v>507</v>
      </c>
      <c r="C9" s="226"/>
      <c r="D9" s="226"/>
    </row>
    <row r="10" spans="1:18" ht="16.5" customHeight="1">
      <c r="D10" s="226"/>
    </row>
    <row r="11" spans="1:18" ht="16.5" customHeight="1">
      <c r="F11" s="228"/>
    </row>
    <row r="12" spans="1:18" ht="16.5" customHeight="1">
      <c r="B12" s="229" t="s">
        <v>508</v>
      </c>
      <c r="C12" s="248">
        <f ca="1">D3+D5</f>
        <v>0</v>
      </c>
      <c r="D12" s="481" t="s">
        <v>509</v>
      </c>
      <c r="E12" s="249" t="str">
        <f ca="1">IFERROR(C12/☆入力!AH14,"0")</f>
        <v>0</v>
      </c>
      <c r="F12" s="481" t="s">
        <v>510</v>
      </c>
      <c r="G12" s="250" t="str">
        <f ca="1">☆入力!AN12</f>
        <v>0</v>
      </c>
    </row>
    <row r="14" spans="1:18" ht="16.5" customHeight="1">
      <c r="B14" s="224" t="s">
        <v>476</v>
      </c>
    </row>
    <row r="15" spans="1:18" ht="16.5" customHeight="1">
      <c r="B15" s="1468"/>
      <c r="C15" s="1469"/>
      <c r="D15" s="1469"/>
      <c r="E15" s="1469"/>
      <c r="F15" s="1469"/>
      <c r="G15" s="1469"/>
      <c r="H15" s="1469"/>
      <c r="I15" s="1469"/>
      <c r="J15" s="1469"/>
      <c r="K15" s="1470"/>
    </row>
    <row r="16" spans="1:18" ht="16.5" customHeight="1">
      <c r="B16" s="1471"/>
      <c r="C16" s="1472"/>
      <c r="D16" s="1472"/>
      <c r="E16" s="1472"/>
      <c r="F16" s="1472"/>
      <c r="G16" s="1472"/>
      <c r="H16" s="1472"/>
      <c r="I16" s="1472"/>
      <c r="J16" s="1472"/>
      <c r="K16" s="1473"/>
    </row>
    <row r="17" spans="2:11" ht="16.5" customHeight="1">
      <c r="B17" s="1471"/>
      <c r="C17" s="1472"/>
      <c r="D17" s="1472"/>
      <c r="E17" s="1472"/>
      <c r="F17" s="1472"/>
      <c r="G17" s="1472"/>
      <c r="H17" s="1472"/>
      <c r="I17" s="1472"/>
      <c r="J17" s="1472"/>
      <c r="K17" s="1473"/>
    </row>
    <row r="18" spans="2:11" ht="16.5" customHeight="1">
      <c r="B18" s="1471"/>
      <c r="C18" s="1472"/>
      <c r="D18" s="1472"/>
      <c r="E18" s="1472"/>
      <c r="F18" s="1472"/>
      <c r="G18" s="1472"/>
      <c r="H18" s="1472"/>
      <c r="I18" s="1472"/>
      <c r="J18" s="1472"/>
      <c r="K18" s="1473"/>
    </row>
    <row r="19" spans="2:11" ht="16.5" customHeight="1">
      <c r="B19" s="1471"/>
      <c r="C19" s="1472"/>
      <c r="D19" s="1472"/>
      <c r="E19" s="1472"/>
      <c r="F19" s="1472"/>
      <c r="G19" s="1472"/>
      <c r="H19" s="1472"/>
      <c r="I19" s="1472"/>
      <c r="J19" s="1472"/>
      <c r="K19" s="1473"/>
    </row>
    <row r="20" spans="2:11" ht="16.5" customHeight="1">
      <c r="B20" s="1479"/>
      <c r="C20" s="1480"/>
      <c r="D20" s="1480"/>
      <c r="E20" s="1480"/>
      <c r="F20" s="1480"/>
      <c r="G20" s="1480"/>
      <c r="H20" s="1480"/>
      <c r="I20" s="1480"/>
      <c r="J20" s="1480"/>
      <c r="K20" s="1481"/>
    </row>
    <row r="24" spans="2:11" ht="16.5" customHeight="1">
      <c r="B24" s="240" t="s">
        <v>511</v>
      </c>
      <c r="C24" s="239"/>
    </row>
    <row r="25" spans="2:11" ht="16.5" customHeight="1">
      <c r="B25" s="717" t="s">
        <v>512</v>
      </c>
      <c r="C25" s="1541" t="s">
        <v>513</v>
      </c>
      <c r="D25" s="1541"/>
      <c r="E25" s="1541"/>
      <c r="F25" s="1541"/>
      <c r="G25" s="1541"/>
      <c r="H25" s="1541"/>
      <c r="I25" s="1541"/>
      <c r="J25" s="1541"/>
      <c r="K25" s="1542"/>
    </row>
    <row r="26" spans="2:11" ht="16.5" customHeight="1">
      <c r="B26" s="718" t="s">
        <v>514</v>
      </c>
      <c r="C26" s="1541" t="s">
        <v>515</v>
      </c>
      <c r="D26" s="1541"/>
      <c r="E26" s="1541"/>
      <c r="F26" s="1541"/>
      <c r="G26" s="1541"/>
      <c r="H26" s="1541"/>
      <c r="I26" s="1541"/>
      <c r="J26" s="1541"/>
      <c r="K26" s="1542"/>
    </row>
    <row r="27" spans="2:11" ht="16.5" customHeight="1">
      <c r="B27" s="718" t="s">
        <v>516</v>
      </c>
      <c r="C27" s="1541" t="s">
        <v>517</v>
      </c>
      <c r="D27" s="1541"/>
      <c r="E27" s="1541"/>
      <c r="F27" s="1541"/>
      <c r="G27" s="1541"/>
      <c r="H27" s="1541"/>
      <c r="I27" s="1541"/>
      <c r="J27" s="1541"/>
      <c r="K27" s="1542"/>
    </row>
    <row r="28" spans="2:11" ht="16.5" customHeight="1">
      <c r="B28" s="718" t="s">
        <v>518</v>
      </c>
      <c r="C28" s="1541" t="s">
        <v>519</v>
      </c>
      <c r="D28" s="1541"/>
      <c r="E28" s="1541"/>
      <c r="F28" s="1541"/>
      <c r="G28" s="1541"/>
      <c r="H28" s="1541"/>
      <c r="I28" s="1541"/>
      <c r="J28" s="1541"/>
      <c r="K28" s="1542"/>
    </row>
    <row r="29" spans="2:11" ht="16.5" customHeight="1">
      <c r="B29" s="719" t="s">
        <v>520</v>
      </c>
      <c r="C29" s="1543" t="s">
        <v>521</v>
      </c>
      <c r="D29" s="1543"/>
      <c r="E29" s="1543"/>
      <c r="F29" s="1543"/>
      <c r="G29" s="1543"/>
      <c r="H29" s="1543"/>
      <c r="I29" s="1543"/>
      <c r="J29" s="1543"/>
      <c r="K29" s="1544"/>
    </row>
    <row r="30" spans="2:11" ht="16.5" customHeight="1">
      <c r="B30" s="719" t="s">
        <v>522</v>
      </c>
      <c r="C30" s="1543" t="s">
        <v>523</v>
      </c>
      <c r="D30" s="1543"/>
      <c r="E30" s="1543"/>
      <c r="F30" s="1543"/>
      <c r="G30" s="1543"/>
      <c r="H30" s="1543"/>
      <c r="I30" s="1543"/>
      <c r="J30" s="1543"/>
      <c r="K30" s="1544"/>
    </row>
    <row r="31" spans="2:11" ht="16.5" customHeight="1">
      <c r="B31" s="720" t="s">
        <v>524</v>
      </c>
      <c r="C31" s="1545" t="s">
        <v>525</v>
      </c>
      <c r="D31" s="1545"/>
      <c r="E31" s="1545"/>
      <c r="F31" s="1545"/>
      <c r="G31" s="1545"/>
      <c r="H31" s="1545"/>
      <c r="I31" s="1545"/>
      <c r="J31" s="1545"/>
      <c r="K31" s="1546"/>
    </row>
    <row r="32" spans="2:11" ht="16.5" customHeight="1">
      <c r="B32" s="235"/>
      <c r="C32" s="1463"/>
      <c r="D32" s="1463"/>
      <c r="E32" s="1463"/>
      <c r="F32" s="1463"/>
      <c r="G32" s="1463"/>
      <c r="H32" s="1463"/>
      <c r="I32" s="1463"/>
      <c r="J32" s="1463"/>
      <c r="K32" s="1463"/>
    </row>
    <row r="33" spans="2:11" ht="16.5" hidden="1" customHeight="1">
      <c r="B33" s="721" t="s">
        <v>526</v>
      </c>
      <c r="C33" s="1541" t="s">
        <v>527</v>
      </c>
      <c r="D33" s="1541"/>
      <c r="E33" s="1541"/>
      <c r="F33" s="1541"/>
      <c r="G33" s="1541"/>
      <c r="H33" s="1541"/>
      <c r="I33" s="1541"/>
      <c r="J33" s="1541"/>
      <c r="K33" s="1542"/>
    </row>
    <row r="34" spans="2:11" ht="16.5" customHeight="1">
      <c r="B34" s="722" t="s">
        <v>528</v>
      </c>
      <c r="C34" s="1543" t="s">
        <v>529</v>
      </c>
      <c r="D34" s="1543"/>
      <c r="E34" s="1543"/>
      <c r="F34" s="1543"/>
      <c r="G34" s="1543"/>
      <c r="H34" s="1543"/>
      <c r="I34" s="1543"/>
      <c r="J34" s="1543"/>
      <c r="K34" s="1544"/>
    </row>
    <row r="35" spans="2:11" ht="16.5" hidden="1" customHeight="1">
      <c r="B35" s="482" t="s">
        <v>530</v>
      </c>
      <c r="C35" s="1543" t="s">
        <v>531</v>
      </c>
      <c r="D35" s="1543"/>
      <c r="E35" s="1543"/>
      <c r="F35" s="1543"/>
      <c r="G35" s="1543"/>
      <c r="H35" s="1543"/>
      <c r="I35" s="1543"/>
      <c r="J35" s="1543"/>
      <c r="K35" s="1544"/>
    </row>
    <row r="36" spans="2:11" ht="16.5" hidden="1" customHeight="1">
      <c r="B36" s="1547" t="s">
        <v>532</v>
      </c>
      <c r="C36" s="1543" t="s">
        <v>533</v>
      </c>
      <c r="D36" s="1543"/>
      <c r="E36" s="1543"/>
      <c r="F36" s="1543"/>
      <c r="G36" s="1543"/>
      <c r="H36" s="1543"/>
      <c r="I36" s="1543"/>
      <c r="J36" s="1543"/>
      <c r="K36" s="1544"/>
    </row>
    <row r="37" spans="2:11" ht="16.5" hidden="1" customHeight="1">
      <c r="B37" s="1547"/>
      <c r="C37" s="1543" t="s">
        <v>534</v>
      </c>
      <c r="D37" s="1543"/>
      <c r="E37" s="1543"/>
      <c r="F37" s="1543"/>
      <c r="G37" s="1543"/>
      <c r="H37" s="1543"/>
      <c r="I37" s="1543"/>
      <c r="J37" s="1543"/>
      <c r="K37" s="1544"/>
    </row>
    <row r="38" spans="2:11" ht="16.5" hidden="1" customHeight="1">
      <c r="B38" s="251" t="s">
        <v>535</v>
      </c>
      <c r="C38" s="1482" t="s">
        <v>536</v>
      </c>
      <c r="D38" s="1482"/>
      <c r="E38" s="1482"/>
      <c r="F38" s="1482"/>
      <c r="G38" s="1482"/>
      <c r="H38" s="1482"/>
      <c r="I38" s="1482"/>
      <c r="J38" s="1482"/>
      <c r="K38" s="1483"/>
    </row>
    <row r="39" spans="2:11" ht="16.5" customHeight="1">
      <c r="B39" s="235"/>
      <c r="C39" s="1463"/>
      <c r="D39" s="1463"/>
      <c r="E39" s="1463"/>
      <c r="F39" s="1463"/>
      <c r="G39" s="1463"/>
      <c r="H39" s="1463"/>
      <c r="I39" s="1463"/>
      <c r="J39" s="1463"/>
      <c r="K39" s="1463"/>
    </row>
    <row r="40" spans="2:11" ht="16.5" customHeight="1">
      <c r="B40" s="237" t="s">
        <v>537</v>
      </c>
      <c r="C40" s="1541" t="s">
        <v>538</v>
      </c>
      <c r="D40" s="1541"/>
      <c r="E40" s="1541"/>
      <c r="F40" s="1541"/>
      <c r="G40" s="1541"/>
      <c r="H40" s="1541"/>
      <c r="I40" s="1541"/>
      <c r="J40" s="1541"/>
      <c r="K40" s="1542"/>
    </row>
    <row r="41" spans="2:11" ht="16.5" hidden="1" customHeight="1">
      <c r="B41" s="238" t="s">
        <v>539</v>
      </c>
      <c r="C41" s="1541" t="s">
        <v>540</v>
      </c>
      <c r="D41" s="1541"/>
      <c r="E41" s="1541"/>
      <c r="F41" s="1541"/>
      <c r="G41" s="1541"/>
      <c r="H41" s="1541"/>
      <c r="I41" s="1541"/>
      <c r="J41" s="1541"/>
      <c r="K41" s="1542"/>
    </row>
    <row r="42" spans="2:11" ht="16.5" hidden="1" customHeight="1">
      <c r="B42" s="236"/>
      <c r="C42" s="1463"/>
      <c r="D42" s="1463"/>
      <c r="E42" s="1463"/>
      <c r="F42" s="1463"/>
      <c r="G42" s="1463"/>
      <c r="H42" s="1463"/>
      <c r="I42" s="1463"/>
      <c r="J42" s="1463"/>
      <c r="K42" s="1463"/>
    </row>
    <row r="43" spans="2:11" ht="16.5" hidden="1" customHeight="1">
      <c r="B43" s="237" t="s">
        <v>541</v>
      </c>
      <c r="C43" s="1541" t="s">
        <v>542</v>
      </c>
      <c r="D43" s="1541"/>
      <c r="E43" s="1541"/>
      <c r="F43" s="1541"/>
      <c r="G43" s="1541"/>
      <c r="H43" s="1541"/>
      <c r="I43" s="1541"/>
      <c r="J43" s="1541"/>
      <c r="K43" s="1542"/>
    </row>
    <row r="44" spans="2:11" ht="16.5" hidden="1" customHeight="1">
      <c r="B44" s="238" t="s">
        <v>543</v>
      </c>
      <c r="C44" s="1545" t="s">
        <v>544</v>
      </c>
      <c r="D44" s="1545"/>
      <c r="E44" s="1545"/>
      <c r="F44" s="1545"/>
      <c r="G44" s="1545"/>
      <c r="H44" s="1545"/>
      <c r="I44" s="1545"/>
      <c r="J44" s="1545"/>
      <c r="K44" s="1546"/>
    </row>
    <row r="45" spans="2:11" ht="16.5" customHeight="1">
      <c r="B45" s="234"/>
    </row>
    <row r="46" spans="2:11" ht="16.5" customHeight="1">
      <c r="B46" s="247" t="s">
        <v>545</v>
      </c>
      <c r="C46" s="1474" t="s">
        <v>546</v>
      </c>
      <c r="D46" s="1474"/>
      <c r="E46" s="1474"/>
      <c r="F46" s="1474"/>
      <c r="G46" s="1474"/>
      <c r="H46" s="1474"/>
      <c r="I46" s="1474"/>
      <c r="J46" s="1474"/>
      <c r="K46" s="1475"/>
    </row>
    <row r="47" spans="2:11" ht="16.5" customHeight="1">
      <c r="B47" s="723" t="s">
        <v>547</v>
      </c>
      <c r="C47" s="1474" t="s">
        <v>548</v>
      </c>
      <c r="D47" s="1474"/>
      <c r="E47" s="1474"/>
      <c r="F47" s="1474"/>
      <c r="G47" s="1474"/>
      <c r="H47" s="1474"/>
      <c r="I47" s="1474"/>
      <c r="J47" s="1474"/>
      <c r="K47" s="1475"/>
    </row>
  </sheetData>
  <mergeCells count="33">
    <mergeCell ref="C28:K28"/>
    <mergeCell ref="C47:K47"/>
    <mergeCell ref="N7:R7"/>
    <mergeCell ref="C44:K44"/>
    <mergeCell ref="C43:K43"/>
    <mergeCell ref="B17:K17"/>
    <mergeCell ref="B18:K18"/>
    <mergeCell ref="B19:K19"/>
    <mergeCell ref="B20:K20"/>
    <mergeCell ref="B36:B37"/>
    <mergeCell ref="C26:K26"/>
    <mergeCell ref="C27:K27"/>
    <mergeCell ref="C46:K46"/>
    <mergeCell ref="C38:K38"/>
    <mergeCell ref="C25:K25"/>
    <mergeCell ref="C29:K29"/>
    <mergeCell ref="B3:C3"/>
    <mergeCell ref="B5:C5"/>
    <mergeCell ref="B8:C8"/>
    <mergeCell ref="B15:K15"/>
    <mergeCell ref="B16:K16"/>
    <mergeCell ref="C30:K30"/>
    <mergeCell ref="C31:K31"/>
    <mergeCell ref="C32:K32"/>
    <mergeCell ref="C33:K33"/>
    <mergeCell ref="C34:K34"/>
    <mergeCell ref="C41:K41"/>
    <mergeCell ref="C42:K42"/>
    <mergeCell ref="C35:K35"/>
    <mergeCell ref="C36:K36"/>
    <mergeCell ref="C37:K37"/>
    <mergeCell ref="C39:K39"/>
    <mergeCell ref="C40:K40"/>
  </mergeCells>
  <phoneticPr fontId="2"/>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2A3015F-C0A9-4B50-B977-87B43C262E96}">
          <x14:formula1>
            <xm:f>LED計算式!$AB$5:$AB$12</xm:f>
          </x14:formula1>
          <xm:sqref>H5</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768C-FD31-4C81-B72A-3DECB4D53842}">
  <sheetPr>
    <pageSetUpPr fitToPage="1"/>
  </sheetPr>
  <dimension ref="A1:T40"/>
  <sheetViews>
    <sheetView showGridLines="0" view="pageBreakPreview" zoomScaleNormal="100" zoomScaleSheetLayoutView="100" workbookViewId="0">
      <selection activeCell="X20" sqref="X20"/>
    </sheetView>
  </sheetViews>
  <sheetFormatPr defaultColWidth="5.75" defaultRowHeight="19.899999999999999" customHeight="1"/>
  <cols>
    <col min="1" max="18" width="5.75" style="682"/>
    <col min="19" max="20" width="5.75" style="682" hidden="1" customWidth="1"/>
    <col min="21" max="16384" width="5.75" style="682"/>
  </cols>
  <sheetData>
    <row r="1" spans="1:20" ht="19.899999999999999" customHeight="1">
      <c r="A1" s="1490" t="s">
        <v>549</v>
      </c>
      <c r="B1" s="1490"/>
      <c r="C1" s="1490"/>
      <c r="D1" s="1490"/>
      <c r="E1" s="1490"/>
      <c r="F1" s="1490"/>
      <c r="G1" s="1490"/>
      <c r="H1" s="1490"/>
      <c r="I1" s="1490"/>
      <c r="J1" s="1490"/>
      <c r="K1" s="1490"/>
      <c r="L1" s="1490"/>
      <c r="M1" s="1548"/>
      <c r="N1" s="1549"/>
      <c r="O1" s="1549"/>
      <c r="P1" s="1549"/>
      <c r="Q1" s="1549"/>
    </row>
    <row r="2" spans="1:20" ht="19.899999999999999" customHeight="1" thickBot="1">
      <c r="A2" s="1491"/>
      <c r="B2" s="1491"/>
      <c r="C2" s="1491"/>
      <c r="D2" s="1491"/>
      <c r="E2" s="1491"/>
      <c r="F2" s="1491"/>
      <c r="G2" s="1491"/>
      <c r="H2" s="1491"/>
      <c r="I2" s="1491"/>
      <c r="J2" s="1491"/>
      <c r="K2" s="1491"/>
      <c r="L2" s="1491"/>
      <c r="M2" s="1492" t="s">
        <v>550</v>
      </c>
      <c r="N2" s="1493"/>
      <c r="O2" s="1550">
        <f ca="1">TODAY()</f>
        <v>46080</v>
      </c>
      <c r="P2" s="1549"/>
      <c r="Q2" s="1549"/>
    </row>
    <row r="3" spans="1:20" ht="10.15" customHeight="1"/>
    <row r="4" spans="1:20" ht="19.899999999999999" customHeight="1">
      <c r="A4" s="1494" t="s">
        <v>551</v>
      </c>
      <c r="B4" s="1494"/>
      <c r="C4" s="1494"/>
      <c r="D4" s="1494"/>
      <c r="E4" s="1494"/>
      <c r="F4" s="1494"/>
      <c r="G4" s="1494"/>
      <c r="H4" s="1494"/>
      <c r="I4" s="1494"/>
      <c r="J4" s="1549" t="s">
        <v>552</v>
      </c>
      <c r="K4" s="1549"/>
    </row>
    <row r="5" spans="1:20" ht="19.899999999999999" customHeight="1">
      <c r="B5" s="1495"/>
      <c r="C5" s="1495"/>
      <c r="D5" s="1496"/>
      <c r="E5" s="1496"/>
      <c r="F5" s="1496"/>
      <c r="G5" s="1496"/>
      <c r="H5" s="1496"/>
    </row>
    <row r="6" spans="1:20" ht="10.15" customHeight="1"/>
    <row r="7" spans="1:20" ht="19.899999999999999" customHeight="1">
      <c r="A7" s="683" t="s">
        <v>553</v>
      </c>
    </row>
    <row r="8" spans="1:20" ht="10.15" customHeight="1"/>
    <row r="9" spans="1:20" ht="19.899999999999999" customHeight="1">
      <c r="A9" s="1497" t="s">
        <v>554</v>
      </c>
      <c r="B9" s="1498"/>
      <c r="C9" s="1499"/>
      <c r="D9" s="1487">
        <f>☆入力!C5</f>
        <v>0</v>
      </c>
      <c r="E9" s="1488"/>
      <c r="F9" s="1488"/>
      <c r="G9" s="1488"/>
      <c r="H9" s="1488"/>
      <c r="I9" s="1488"/>
      <c r="J9" s="1489"/>
      <c r="L9" s="1551" t="str">
        <f>代理店入力用!N3</f>
        <v>株式会社ニッショー</v>
      </c>
      <c r="M9" s="1551"/>
      <c r="N9" s="1551"/>
      <c r="O9" s="1551"/>
      <c r="P9" s="1551"/>
      <c r="Q9" s="1551"/>
      <c r="S9" s="684" t="s">
        <v>555</v>
      </c>
      <c r="T9" s="685">
        <v>0.1</v>
      </c>
    </row>
    <row r="10" spans="1:20" ht="19.899999999999999" customHeight="1">
      <c r="A10" s="1484" t="s">
        <v>556</v>
      </c>
      <c r="B10" s="1485"/>
      <c r="C10" s="1486"/>
      <c r="D10" s="1487">
        <f>☆入力!C6</f>
        <v>0</v>
      </c>
      <c r="E10" s="1488"/>
      <c r="F10" s="1488"/>
      <c r="G10" s="1488"/>
      <c r="H10" s="1488"/>
      <c r="I10" s="1488"/>
      <c r="J10" s="1489"/>
      <c r="L10" s="1549">
        <f>代理店入力用!N4</f>
        <v>0</v>
      </c>
      <c r="M10" s="1549"/>
      <c r="N10" s="1549"/>
      <c r="O10" s="1549"/>
      <c r="P10" s="1549"/>
      <c r="Q10" s="1549"/>
      <c r="S10" s="684" t="s">
        <v>557</v>
      </c>
      <c r="T10" s="684"/>
    </row>
    <row r="11" spans="1:20" ht="19.899999999999999" customHeight="1">
      <c r="A11" s="1484" t="s">
        <v>558</v>
      </c>
      <c r="B11" s="1485"/>
      <c r="C11" s="1486"/>
      <c r="D11" s="1487">
        <f>☆入力!C7</f>
        <v>0</v>
      </c>
      <c r="E11" s="1488"/>
      <c r="F11" s="1488"/>
      <c r="G11" s="1488"/>
      <c r="H11" s="1488"/>
      <c r="I11" s="1488"/>
      <c r="J11" s="1489"/>
      <c r="L11" s="1549">
        <f>代理店入力用!N5</f>
        <v>0</v>
      </c>
      <c r="M11" s="1549"/>
      <c r="N11" s="1549"/>
      <c r="O11" s="1549"/>
      <c r="P11" s="1549"/>
      <c r="Q11" s="1549"/>
      <c r="S11" s="684" t="s">
        <v>559</v>
      </c>
      <c r="T11" s="684"/>
    </row>
    <row r="12" spans="1:20" ht="19.899999999999999" customHeight="1">
      <c r="A12" s="1500" t="s">
        <v>560</v>
      </c>
      <c r="B12" s="1500"/>
      <c r="C12" s="1500"/>
      <c r="D12" s="1503"/>
      <c r="E12" s="1503"/>
      <c r="F12" s="1503"/>
      <c r="G12" s="1503"/>
      <c r="H12" s="1503"/>
      <c r="I12" s="1503"/>
      <c r="J12" s="1503"/>
      <c r="L12" s="1506" t="s">
        <v>561</v>
      </c>
      <c r="M12" s="1506"/>
      <c r="N12" s="1549" t="str">
        <f>代理店入力用!N6</f>
        <v>管理担当営業所へお問い合わせ下さい。</v>
      </c>
      <c r="O12" s="1549"/>
      <c r="P12" s="1549"/>
      <c r="Q12" s="1549"/>
      <c r="S12" s="684" t="s">
        <v>562</v>
      </c>
      <c r="T12" s="684"/>
    </row>
    <row r="13" spans="1:20" ht="19.899999999999999" customHeight="1">
      <c r="A13" s="1501"/>
      <c r="B13" s="1501"/>
      <c r="C13" s="1501"/>
      <c r="D13" s="1504"/>
      <c r="E13" s="1504"/>
      <c r="F13" s="1504"/>
      <c r="G13" s="1504"/>
      <c r="H13" s="1504"/>
      <c r="I13" s="1504"/>
      <c r="J13" s="1504"/>
      <c r="L13" s="1506"/>
      <c r="M13" s="1506"/>
      <c r="N13" s="1549"/>
      <c r="O13" s="1549"/>
      <c r="P13" s="1549"/>
      <c r="Q13" s="1549"/>
      <c r="S13" s="684" t="s">
        <v>563</v>
      </c>
      <c r="T13" s="684"/>
    </row>
    <row r="14" spans="1:20" ht="19.899999999999999" customHeight="1">
      <c r="A14" s="1502"/>
      <c r="B14" s="1502"/>
      <c r="C14" s="1502"/>
      <c r="D14" s="1505"/>
      <c r="E14" s="1505"/>
      <c r="F14" s="1505"/>
      <c r="G14" s="1505"/>
      <c r="H14" s="1505"/>
      <c r="I14" s="1505"/>
      <c r="J14" s="1505"/>
      <c r="L14" s="1506" t="s">
        <v>564</v>
      </c>
      <c r="M14" s="1506"/>
      <c r="N14" s="1549" t="str">
        <f>代理店入力用!N7</f>
        <v>物件担当者</v>
      </c>
      <c r="O14" s="1549"/>
      <c r="P14" s="1549"/>
      <c r="Q14" s="1549"/>
    </row>
    <row r="16" spans="1:20" ht="19.899999999999999" customHeight="1">
      <c r="A16" s="1507" t="s">
        <v>565</v>
      </c>
      <c r="B16" s="1507"/>
      <c r="C16" s="1507"/>
      <c r="D16" s="1509">
        <f ca="1">O34</f>
        <v>0</v>
      </c>
      <c r="E16" s="1509"/>
      <c r="F16" s="1509"/>
      <c r="G16" s="1509"/>
      <c r="H16" s="1509"/>
      <c r="I16" s="1511" t="s">
        <v>566</v>
      </c>
      <c r="J16" s="1511"/>
      <c r="L16" s="1506"/>
      <c r="M16" s="1506"/>
      <c r="N16" s="1549"/>
      <c r="O16" s="1549"/>
      <c r="P16" s="1549"/>
      <c r="Q16" s="1549"/>
    </row>
    <row r="17" spans="1:17" ht="19.899999999999999" customHeight="1" thickBot="1">
      <c r="A17" s="1508"/>
      <c r="B17" s="1508"/>
      <c r="C17" s="1508"/>
      <c r="D17" s="1510"/>
      <c r="E17" s="1510"/>
      <c r="F17" s="1510"/>
      <c r="G17" s="1510"/>
      <c r="H17" s="1510"/>
      <c r="I17" s="1512"/>
      <c r="J17" s="1512"/>
    </row>
    <row r="18" spans="1:17" ht="10.15" customHeight="1" thickTop="1"/>
    <row r="19" spans="1:17" ht="19.899999999999999" customHeight="1">
      <c r="A19" s="686" t="s">
        <v>567</v>
      </c>
      <c r="B19" s="1513" t="s">
        <v>568</v>
      </c>
      <c r="C19" s="1513"/>
      <c r="D19" s="1513"/>
      <c r="E19" s="1513"/>
      <c r="F19" s="1513"/>
      <c r="G19" s="1513"/>
      <c r="H19" s="1513"/>
      <c r="I19" s="1513"/>
      <c r="J19" s="1513" t="s">
        <v>569</v>
      </c>
      <c r="K19" s="1513"/>
      <c r="L19" s="1513" t="s">
        <v>570</v>
      </c>
      <c r="M19" s="1513"/>
      <c r="N19" s="1513"/>
      <c r="O19" s="1513" t="s">
        <v>571</v>
      </c>
      <c r="P19" s="1513"/>
      <c r="Q19" s="1513"/>
    </row>
    <row r="20" spans="1:17" ht="19.899999999999999" customHeight="1">
      <c r="A20" s="687">
        <v>1</v>
      </c>
      <c r="B20" s="1514" t="s">
        <v>572</v>
      </c>
      <c r="C20" s="1514"/>
      <c r="D20" s="1514"/>
      <c r="E20" s="1514"/>
      <c r="F20" s="1514"/>
      <c r="G20" s="1514"/>
      <c r="H20" s="1514"/>
      <c r="I20" s="1514"/>
      <c r="J20" s="688">
        <v>1</v>
      </c>
      <c r="K20" s="689" t="s">
        <v>557</v>
      </c>
      <c r="L20" s="1515">
        <f ca="1">代理店入力用!D3</f>
        <v>0</v>
      </c>
      <c r="M20" s="1515"/>
      <c r="N20" s="1515"/>
      <c r="O20" s="1516">
        <f ca="1">L20*J20</f>
        <v>0</v>
      </c>
      <c r="P20" s="1516"/>
      <c r="Q20" s="1516"/>
    </row>
    <row r="21" spans="1:17" ht="19.899999999999999" customHeight="1">
      <c r="A21" s="690"/>
      <c r="B21" s="1517"/>
      <c r="C21" s="1517"/>
      <c r="D21" s="1517"/>
      <c r="E21" s="1517"/>
      <c r="F21" s="1517"/>
      <c r="G21" s="1517"/>
      <c r="H21" s="1517"/>
      <c r="I21" s="1517"/>
      <c r="J21" s="691"/>
      <c r="K21" s="692"/>
      <c r="L21" s="1518"/>
      <c r="M21" s="1518"/>
      <c r="N21" s="1518"/>
      <c r="O21" s="1519"/>
      <c r="P21" s="1519"/>
      <c r="Q21" s="1519"/>
    </row>
    <row r="22" spans="1:17" ht="19.899999999999999" customHeight="1">
      <c r="A22" s="690"/>
      <c r="B22" s="1517"/>
      <c r="C22" s="1517"/>
      <c r="D22" s="1517"/>
      <c r="E22" s="1517"/>
      <c r="F22" s="1517"/>
      <c r="G22" s="1517"/>
      <c r="H22" s="1517"/>
      <c r="I22" s="1517"/>
      <c r="J22" s="691"/>
      <c r="K22" s="692"/>
      <c r="L22" s="1518"/>
      <c r="M22" s="1518"/>
      <c r="N22" s="1518"/>
      <c r="O22" s="1519"/>
      <c r="P22" s="1519"/>
      <c r="Q22" s="1519"/>
    </row>
    <row r="23" spans="1:17" ht="19.899999999999999" customHeight="1">
      <c r="A23" s="690"/>
      <c r="B23" s="1517"/>
      <c r="C23" s="1517"/>
      <c r="D23" s="1517"/>
      <c r="E23" s="1517"/>
      <c r="F23" s="1517"/>
      <c r="G23" s="1517"/>
      <c r="H23" s="1517"/>
      <c r="I23" s="1517"/>
      <c r="J23" s="691"/>
      <c r="K23" s="692"/>
      <c r="L23" s="1518"/>
      <c r="M23" s="1518"/>
      <c r="N23" s="1518"/>
      <c r="O23" s="1519"/>
      <c r="P23" s="1519"/>
      <c r="Q23" s="1519"/>
    </row>
    <row r="24" spans="1:17" ht="19.899999999999999" customHeight="1">
      <c r="A24" s="690"/>
      <c r="B24" s="1517"/>
      <c r="C24" s="1517"/>
      <c r="D24" s="1517"/>
      <c r="E24" s="1517"/>
      <c r="F24" s="1517"/>
      <c r="G24" s="1517"/>
      <c r="H24" s="1517"/>
      <c r="I24" s="1517"/>
      <c r="J24" s="691"/>
      <c r="K24" s="692"/>
      <c r="L24" s="1518"/>
      <c r="M24" s="1518"/>
      <c r="N24" s="1518"/>
      <c r="O24" s="1519"/>
      <c r="P24" s="1519"/>
      <c r="Q24" s="1519"/>
    </row>
    <row r="25" spans="1:17" ht="19.899999999999999" customHeight="1">
      <c r="A25" s="690"/>
      <c r="B25" s="1517"/>
      <c r="C25" s="1517"/>
      <c r="D25" s="1517"/>
      <c r="E25" s="1517"/>
      <c r="F25" s="1517"/>
      <c r="G25" s="1517"/>
      <c r="H25" s="1517"/>
      <c r="I25" s="1517"/>
      <c r="J25" s="691"/>
      <c r="K25" s="692"/>
      <c r="L25" s="1518"/>
      <c r="M25" s="1518"/>
      <c r="N25" s="1518"/>
      <c r="O25" s="1519"/>
      <c r="P25" s="1519"/>
      <c r="Q25" s="1519"/>
    </row>
    <row r="26" spans="1:17" ht="19.899999999999999" customHeight="1">
      <c r="A26" s="690"/>
      <c r="B26" s="1517"/>
      <c r="C26" s="1517"/>
      <c r="D26" s="1517"/>
      <c r="E26" s="1517"/>
      <c r="F26" s="1517"/>
      <c r="G26" s="1517"/>
      <c r="H26" s="1517"/>
      <c r="I26" s="1517"/>
      <c r="J26" s="691"/>
      <c r="K26" s="692"/>
      <c r="L26" s="1518"/>
      <c r="M26" s="1518"/>
      <c r="N26" s="1518"/>
      <c r="O26" s="1519"/>
      <c r="P26" s="1519"/>
      <c r="Q26" s="1519"/>
    </row>
    <row r="27" spans="1:17" ht="19.899999999999999" customHeight="1">
      <c r="A27" s="690"/>
      <c r="B27" s="1517"/>
      <c r="C27" s="1517"/>
      <c r="D27" s="1517"/>
      <c r="E27" s="1517"/>
      <c r="F27" s="1517"/>
      <c r="G27" s="1517"/>
      <c r="H27" s="1517"/>
      <c r="I27" s="1517"/>
      <c r="J27" s="691"/>
      <c r="K27" s="692"/>
      <c r="L27" s="1518"/>
      <c r="M27" s="1518"/>
      <c r="N27" s="1518"/>
      <c r="O27" s="1519"/>
      <c r="P27" s="1519"/>
      <c r="Q27" s="1519"/>
    </row>
    <row r="28" spans="1:17" ht="19.899999999999999" customHeight="1">
      <c r="A28" s="690"/>
      <c r="B28" s="1517"/>
      <c r="C28" s="1517"/>
      <c r="D28" s="1517"/>
      <c r="E28" s="1517"/>
      <c r="F28" s="1517"/>
      <c r="G28" s="1517"/>
      <c r="H28" s="1517"/>
      <c r="I28" s="1517"/>
      <c r="J28" s="691"/>
      <c r="K28" s="692"/>
      <c r="L28" s="1518"/>
      <c r="M28" s="1518"/>
      <c r="N28" s="1518"/>
      <c r="O28" s="1519"/>
      <c r="P28" s="1519"/>
      <c r="Q28" s="1519"/>
    </row>
    <row r="29" spans="1:17" ht="19.899999999999999" customHeight="1">
      <c r="A29" s="690"/>
      <c r="B29" s="1517"/>
      <c r="C29" s="1517"/>
      <c r="D29" s="1517"/>
      <c r="E29" s="1517"/>
      <c r="F29" s="1517"/>
      <c r="G29" s="1517"/>
      <c r="H29" s="1517"/>
      <c r="I29" s="1517"/>
      <c r="J29" s="691"/>
      <c r="K29" s="692"/>
      <c r="L29" s="1518"/>
      <c r="M29" s="1518"/>
      <c r="N29" s="1518"/>
      <c r="O29" s="1519"/>
      <c r="P29" s="1519"/>
      <c r="Q29" s="1519"/>
    </row>
    <row r="30" spans="1:17" ht="19.899999999999999" customHeight="1">
      <c r="A30" s="690"/>
      <c r="B30" s="1517"/>
      <c r="C30" s="1517"/>
      <c r="D30" s="1517"/>
      <c r="E30" s="1517"/>
      <c r="F30" s="1517"/>
      <c r="G30" s="1517"/>
      <c r="H30" s="1517"/>
      <c r="I30" s="1517"/>
      <c r="J30" s="691"/>
      <c r="K30" s="692"/>
      <c r="L30" s="1518"/>
      <c r="M30" s="1518"/>
      <c r="N30" s="1518"/>
      <c r="O30" s="1519"/>
      <c r="P30" s="1519"/>
      <c r="Q30" s="1519"/>
    </row>
    <row r="31" spans="1:17" ht="19.899999999999999" customHeight="1" thickBot="1">
      <c r="A31" s="693"/>
      <c r="B31" s="1520"/>
      <c r="C31" s="1520"/>
      <c r="D31" s="1520"/>
      <c r="E31" s="1520"/>
      <c r="F31" s="1520"/>
      <c r="G31" s="1520"/>
      <c r="H31" s="1520"/>
      <c r="I31" s="1520"/>
      <c r="J31" s="694"/>
      <c r="K31" s="695"/>
      <c r="L31" s="1521"/>
      <c r="M31" s="1521"/>
      <c r="N31" s="1521"/>
      <c r="O31" s="1522"/>
      <c r="P31" s="1522"/>
      <c r="Q31" s="1522"/>
    </row>
    <row r="32" spans="1:17" ht="19.899999999999999" customHeight="1" thickTop="1">
      <c r="L32" s="1523" t="s">
        <v>573</v>
      </c>
      <c r="M32" s="1523"/>
      <c r="N32" s="1523"/>
      <c r="O32" s="1552">
        <f ca="1">SUM(O20:Q31)</f>
        <v>0</v>
      </c>
      <c r="P32" s="1553"/>
      <c r="Q32" s="1553"/>
    </row>
    <row r="33" spans="1:17" ht="19.899999999999999" customHeight="1">
      <c r="L33" s="1513" t="s">
        <v>574</v>
      </c>
      <c r="M33" s="1513"/>
      <c r="N33" s="1513"/>
      <c r="O33" s="1554">
        <f ca="1">ROUNDDOWN(O32*0.1,0)</f>
        <v>0</v>
      </c>
      <c r="P33" s="1555"/>
      <c r="Q33" s="1555"/>
    </row>
    <row r="34" spans="1:17" ht="19.899999999999999" customHeight="1">
      <c r="L34" s="1513" t="s">
        <v>565</v>
      </c>
      <c r="M34" s="1513"/>
      <c r="N34" s="1513"/>
      <c r="O34" s="1554">
        <f ca="1">SUM(O32:Q33)</f>
        <v>0</v>
      </c>
      <c r="P34" s="1555"/>
      <c r="Q34" s="1555"/>
    </row>
    <row r="35" spans="1:17" ht="19.5">
      <c r="A35" s="696" t="s">
        <v>575</v>
      </c>
    </row>
    <row r="36" spans="1:17" ht="9.4" customHeight="1">
      <c r="A36" s="697"/>
      <c r="B36" s="698"/>
      <c r="C36" s="698"/>
      <c r="D36" s="698"/>
      <c r="E36" s="698"/>
      <c r="F36" s="698"/>
      <c r="G36" s="698"/>
      <c r="H36" s="698"/>
      <c r="I36" s="698"/>
      <c r="J36" s="698"/>
      <c r="K36" s="699"/>
      <c r="L36" s="696"/>
      <c r="M36" s="696"/>
      <c r="N36" s="696"/>
      <c r="O36" s="696"/>
      <c r="P36" s="696"/>
      <c r="Q36" s="696"/>
    </row>
    <row r="37" spans="1:17" ht="24">
      <c r="A37" s="700"/>
      <c r="B37" s="701" t="s">
        <v>551</v>
      </c>
      <c r="C37" s="696"/>
      <c r="D37" s="696"/>
      <c r="E37" s="696"/>
      <c r="F37" s="696"/>
      <c r="G37" s="696"/>
      <c r="H37" s="696"/>
      <c r="I37" s="696"/>
      <c r="J37" s="696"/>
      <c r="K37" s="702"/>
      <c r="L37" s="696"/>
      <c r="M37" s="696"/>
      <c r="N37" s="696"/>
      <c r="O37" s="696"/>
      <c r="P37" s="696"/>
      <c r="Q37" s="696"/>
    </row>
    <row r="38" spans="1:17" ht="19.899999999999999" customHeight="1">
      <c r="A38" s="700"/>
      <c r="B38" s="696" t="s">
        <v>576</v>
      </c>
      <c r="C38" s="696"/>
      <c r="D38" s="696"/>
      <c r="E38" s="696"/>
      <c r="F38" s="696"/>
      <c r="G38" s="696"/>
      <c r="H38" s="696"/>
      <c r="I38" s="696"/>
      <c r="J38" s="696"/>
      <c r="K38" s="702"/>
      <c r="L38" s="696"/>
      <c r="M38" s="696"/>
      <c r="N38" s="696"/>
      <c r="O38" s="696"/>
      <c r="P38" s="696"/>
      <c r="Q38" s="696"/>
    </row>
    <row r="39" spans="1:17" ht="19.899999999999999" customHeight="1">
      <c r="A39" s="700"/>
      <c r="B39" s="703" t="s">
        <v>577</v>
      </c>
      <c r="C39" s="696"/>
      <c r="D39" s="696"/>
      <c r="E39" s="696"/>
      <c r="F39" s="696"/>
      <c r="G39" s="696"/>
      <c r="H39" s="696"/>
      <c r="I39" s="696"/>
      <c r="J39" s="696"/>
      <c r="K39" s="702"/>
      <c r="L39" s="696"/>
      <c r="M39" s="696"/>
      <c r="N39" s="696"/>
      <c r="O39" s="696"/>
      <c r="P39" s="696"/>
      <c r="Q39" s="696"/>
    </row>
    <row r="40" spans="1:17" ht="19.899999999999999" customHeight="1">
      <c r="A40" s="704"/>
      <c r="B40" s="705"/>
      <c r="C40" s="705"/>
      <c r="D40" s="705"/>
      <c r="E40" s="705"/>
      <c r="F40" s="705"/>
      <c r="G40" s="705"/>
      <c r="H40" s="705"/>
      <c r="I40" s="705"/>
      <c r="J40" s="705"/>
      <c r="K40" s="706"/>
    </row>
  </sheetData>
  <mergeCells count="77">
    <mergeCell ref="L34:N34"/>
    <mergeCell ref="O34:Q34"/>
    <mergeCell ref="B31:I31"/>
    <mergeCell ref="L31:N31"/>
    <mergeCell ref="O31:Q31"/>
    <mergeCell ref="L32:N32"/>
    <mergeCell ref="O32:Q32"/>
    <mergeCell ref="L33:N33"/>
    <mergeCell ref="O33:Q33"/>
    <mergeCell ref="B29:I29"/>
    <mergeCell ref="L29:N29"/>
    <mergeCell ref="O29:Q29"/>
    <mergeCell ref="B30:I30"/>
    <mergeCell ref="L30:N30"/>
    <mergeCell ref="O30:Q30"/>
    <mergeCell ref="B27:I27"/>
    <mergeCell ref="L27:N27"/>
    <mergeCell ref="O27:Q27"/>
    <mergeCell ref="B28:I28"/>
    <mergeCell ref="L28:N28"/>
    <mergeCell ref="O28:Q28"/>
    <mergeCell ref="B25:I25"/>
    <mergeCell ref="L25:N25"/>
    <mergeCell ref="O25:Q25"/>
    <mergeCell ref="B26:I26"/>
    <mergeCell ref="L26:N26"/>
    <mergeCell ref="O26:Q26"/>
    <mergeCell ref="B23:I23"/>
    <mergeCell ref="L23:N23"/>
    <mergeCell ref="O23:Q23"/>
    <mergeCell ref="B24:I24"/>
    <mergeCell ref="L24:N24"/>
    <mergeCell ref="O24:Q24"/>
    <mergeCell ref="B21:I21"/>
    <mergeCell ref="L21:N21"/>
    <mergeCell ref="O21:Q21"/>
    <mergeCell ref="B22:I22"/>
    <mergeCell ref="L22:N22"/>
    <mergeCell ref="O22:Q22"/>
    <mergeCell ref="B19:I19"/>
    <mergeCell ref="J19:K19"/>
    <mergeCell ref="L19:N19"/>
    <mergeCell ref="O19:Q19"/>
    <mergeCell ref="B20:I20"/>
    <mergeCell ref="L20:N20"/>
    <mergeCell ref="O20:Q20"/>
    <mergeCell ref="A16:C17"/>
    <mergeCell ref="D16:H17"/>
    <mergeCell ref="I16:J17"/>
    <mergeCell ref="L16:M16"/>
    <mergeCell ref="N16:Q16"/>
    <mergeCell ref="A11:C11"/>
    <mergeCell ref="D11:J11"/>
    <mergeCell ref="L11:Q11"/>
    <mergeCell ref="A12:C14"/>
    <mergeCell ref="D12:J14"/>
    <mergeCell ref="L12:M12"/>
    <mergeCell ref="N12:Q12"/>
    <mergeCell ref="L13:M13"/>
    <mergeCell ref="N13:Q13"/>
    <mergeCell ref="L14:M14"/>
    <mergeCell ref="N14:Q14"/>
    <mergeCell ref="A10:C10"/>
    <mergeCell ref="D10:J10"/>
    <mergeCell ref="L10:Q10"/>
    <mergeCell ref="A1:L2"/>
    <mergeCell ref="M1:N1"/>
    <mergeCell ref="O1:Q1"/>
    <mergeCell ref="M2:N2"/>
    <mergeCell ref="O2:Q2"/>
    <mergeCell ref="A4:I4"/>
    <mergeCell ref="J4:K4"/>
    <mergeCell ref="B5:C5"/>
    <mergeCell ref="D5:H5"/>
    <mergeCell ref="A9:C9"/>
    <mergeCell ref="D9:J9"/>
    <mergeCell ref="L9:Q9"/>
  </mergeCells>
  <phoneticPr fontId="2"/>
  <conditionalFormatting sqref="D9:J11 L9:Q11 N12:Q12 N14:Q14">
    <cfRule type="cellIs" dxfId="0" priority="1" operator="equal">
      <formula>0</formula>
    </cfRule>
  </conditionalFormatting>
  <dataValidations count="1">
    <dataValidation type="list" allowBlank="1" showInputMessage="1" showErrorMessage="1" sqref="K20:K31" xr:uid="{57894E91-5466-4B17-88D9-FC94F9A02F35}">
      <formula1>$S$9:$S$13</formula1>
    </dataValidation>
  </dataValidations>
  <printOptions horizontalCentered="1" verticalCentered="1"/>
  <pageMargins left="0.23622047244094491" right="0.23622047244094491" top="0.74803149606299213" bottom="0.74803149606299213" header="0.31496062992125984" footer="0.31496062992125984"/>
  <pageSetup paperSize="9" scale="93"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7EF37CA3582A6F4089FECF7827DB8B05" ma:contentTypeVersion="13" ma:contentTypeDescription="新しいドキュメントを作成します。" ma:contentTypeScope="" ma:versionID="22bacab8ab430763e44af77377c88219">
  <xsd:schema xmlns:xsd="http://www.w3.org/2001/XMLSchema" xmlns:xs="http://www.w3.org/2001/XMLSchema" xmlns:p="http://schemas.microsoft.com/office/2006/metadata/properties" xmlns:ns3="7ff39158-21c4-4adb-bf48-4e21b0f0599c" xmlns:ns4="8fe389c1-81f9-4eff-afb0-618fe0566195" targetNamespace="http://schemas.microsoft.com/office/2006/metadata/properties" ma:root="true" ma:fieldsID="5bb80332a19ad1264c3738bf10e5f161" ns3:_="" ns4:_="">
    <xsd:import namespace="7ff39158-21c4-4adb-bf48-4e21b0f0599c"/>
    <xsd:import namespace="8fe389c1-81f9-4eff-afb0-618fe056619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f39158-21c4-4adb-bf48-4e21b0f0599c"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element name="SharingHintHash" ma:index="10" nillable="true" ma:displayName="共有のヒントのハッシュ"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fe389c1-81f9-4eff-afb0-618fe056619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DF3D49-7340-4049-BE9F-F0261872F637}"/>
</file>

<file path=customXml/itemProps2.xml><?xml version="1.0" encoding="utf-8"?>
<ds:datastoreItem xmlns:ds="http://schemas.openxmlformats.org/officeDocument/2006/customXml" ds:itemID="{93EE2F6D-55C2-464F-8487-D6D782174B33}"/>
</file>

<file path=customXml/itemProps3.xml><?xml version="1.0" encoding="utf-8"?>
<ds:datastoreItem xmlns:ds="http://schemas.openxmlformats.org/officeDocument/2006/customXml" ds:itemID="{94D4BE3A-B189-4C01-912F-281CB7AE06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森岡 篤生</cp:lastModifiedBy>
  <cp:revision/>
  <dcterms:created xsi:type="dcterms:W3CDTF">2020-04-02T09:42:04Z</dcterms:created>
  <dcterms:modified xsi:type="dcterms:W3CDTF">2026-02-27T04:40:52Z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0x0101007EF37CA3582A6F4089FECF7827DB8B05</vt:lpwstr>
  </property>
</Properties>
</file>