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050"/>
  </bookViews>
  <sheets>
    <sheet name="ExportWorksheet" sheetId="1" r:id="rId1"/>
  </sheets>
  <definedNames>
    <definedName name="_xlnm._FilterDatabase" localSheetId="0" hidden="1">ExportWorksheet!$A$1:$AA$1</definedName>
  </definedNames>
  <calcPr calcId="125725"/>
</workbook>
</file>

<file path=xl/calcChain.xml><?xml version="1.0" encoding="utf-8"?>
<calcChain xmlns="http://schemas.openxmlformats.org/spreadsheetml/2006/main">
  <c r="W846" i="1"/>
  <c r="W298"/>
  <c r="W1027"/>
  <c r="W652"/>
  <c r="W843"/>
  <c r="W1106"/>
  <c r="W92"/>
  <c r="W1107"/>
  <c r="W600"/>
  <c r="W461"/>
  <c r="W309" l="1"/>
  <c r="W832"/>
  <c r="W181"/>
  <c r="W645"/>
  <c r="W1037"/>
  <c r="W516"/>
  <c r="W18" l="1"/>
  <c r="W560"/>
  <c r="W410"/>
  <c r="W827"/>
  <c r="W833" l="1"/>
  <c r="W620"/>
  <c r="W687"/>
  <c r="W468"/>
  <c r="W1146"/>
  <c r="W740"/>
  <c r="W1175"/>
  <c r="W48"/>
  <c r="W765"/>
  <c r="W363"/>
  <c r="W611"/>
  <c r="W912"/>
  <c r="W1068"/>
  <c r="W668"/>
  <c r="Y45"/>
  <c r="W45"/>
  <c r="W222" l="1"/>
  <c r="W681"/>
  <c r="W989"/>
  <c r="W794"/>
  <c r="W463"/>
  <c r="W1043"/>
  <c r="W422"/>
  <c r="W174"/>
  <c r="W365"/>
  <c r="W249"/>
  <c r="W254" l="1"/>
  <c r="W986" l="1"/>
  <c r="W594"/>
  <c r="W590"/>
  <c r="W299" l="1"/>
  <c r="W267"/>
  <c r="W1206"/>
  <c r="W206" l="1"/>
  <c r="W236"/>
  <c r="W1151"/>
  <c r="W209" l="1"/>
  <c r="W1040"/>
  <c r="W1045"/>
  <c r="W1079"/>
  <c r="W163"/>
  <c r="W1173"/>
  <c r="W220"/>
  <c r="W575"/>
  <c r="W5" l="1"/>
  <c r="W1055"/>
  <c r="W83"/>
  <c r="W623" l="1"/>
  <c r="W46"/>
  <c r="W1195"/>
  <c r="W1114"/>
  <c r="W52"/>
  <c r="W838"/>
  <c r="W214"/>
  <c r="W191"/>
  <c r="W1065"/>
  <c r="W627" l="1"/>
  <c r="W109"/>
  <c r="W1163"/>
  <c r="W431"/>
  <c r="W752"/>
  <c r="W780"/>
  <c r="W999"/>
  <c r="W932"/>
  <c r="W197" l="1"/>
  <c r="W607"/>
  <c r="W248"/>
  <c r="W271" l="1"/>
  <c r="W528"/>
  <c r="W773" l="1"/>
  <c r="W955"/>
  <c r="W208"/>
  <c r="W123"/>
  <c r="W1141" l="1"/>
  <c r="W128"/>
  <c r="W119" l="1"/>
  <c r="W1143"/>
  <c r="W1034"/>
  <c r="W193"/>
  <c r="W800"/>
  <c r="W875"/>
  <c r="W1018"/>
  <c r="W226"/>
  <c r="W655"/>
  <c r="W443"/>
  <c r="W1154"/>
  <c r="W1083"/>
  <c r="W1110"/>
  <c r="Y1110" s="1"/>
  <c r="W171"/>
  <c r="W610"/>
  <c r="W626"/>
  <c r="W1186" l="1"/>
  <c r="W519" l="1"/>
  <c r="W473"/>
  <c r="W546"/>
  <c r="W232"/>
  <c r="W166"/>
  <c r="W629"/>
  <c r="W936"/>
  <c r="W73"/>
  <c r="W662"/>
  <c r="W813"/>
  <c r="W1041"/>
  <c r="W778"/>
  <c r="W199"/>
  <c r="W782"/>
  <c r="W126"/>
  <c r="W247"/>
  <c r="W1019"/>
  <c r="W242" l="1"/>
  <c r="W94"/>
  <c r="W1190"/>
  <c r="W535" l="1"/>
  <c r="W158"/>
  <c r="W393"/>
  <c r="W526"/>
  <c r="W288"/>
  <c r="W276"/>
  <c r="W130"/>
  <c r="W998"/>
  <c r="W640" l="1"/>
  <c r="W15"/>
  <c r="W113"/>
  <c r="W1183"/>
  <c r="W8"/>
  <c r="W593"/>
  <c r="W259" l="1"/>
  <c r="W316"/>
  <c r="W459"/>
  <c r="W539"/>
  <c r="W509"/>
  <c r="W131" l="1"/>
  <c r="W19"/>
  <c r="W900"/>
  <c r="W122"/>
  <c r="W570"/>
  <c r="W598"/>
  <c r="W268"/>
  <c r="W417"/>
  <c r="V567" l="1"/>
  <c r="V1175"/>
  <c r="W11" l="1"/>
  <c r="W37" l="1"/>
  <c r="W78"/>
  <c r="W553"/>
  <c r="W972" l="1"/>
  <c r="W296"/>
  <c r="W693"/>
  <c r="W597"/>
  <c r="W252" l="1"/>
  <c r="W730"/>
  <c r="W1000"/>
  <c r="W33"/>
  <c r="W39"/>
  <c r="W834"/>
  <c r="W1159"/>
  <c r="W510"/>
  <c r="W71"/>
  <c r="W287"/>
  <c r="W803"/>
  <c r="W754" l="1"/>
  <c r="W480"/>
  <c r="W907"/>
  <c r="W1109" l="1"/>
  <c r="W671"/>
  <c r="W657"/>
  <c r="W674"/>
  <c r="W76"/>
  <c r="W889" l="1"/>
  <c r="Z778"/>
  <c r="W643"/>
  <c r="Y643" s="1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Y22"/>
  <c r="Z22"/>
  <c r="Y23"/>
  <c r="Z23"/>
  <c r="Y24"/>
  <c r="Z24"/>
  <c r="Y25"/>
  <c r="Z25"/>
  <c r="Y26"/>
  <c r="Z26"/>
  <c r="Y27"/>
  <c r="Z27"/>
  <c r="Y28"/>
  <c r="Z28"/>
  <c r="Y29"/>
  <c r="Z29"/>
  <c r="Y30"/>
  <c r="Z30"/>
  <c r="Y31"/>
  <c r="Z31"/>
  <c r="Y32"/>
  <c r="Z32"/>
  <c r="Y33"/>
  <c r="Z33"/>
  <c r="Y34"/>
  <c r="Z34"/>
  <c r="Y35"/>
  <c r="Z35"/>
  <c r="Y36"/>
  <c r="Z36"/>
  <c r="Y37"/>
  <c r="Z37"/>
  <c r="Y38"/>
  <c r="Z38"/>
  <c r="Y39"/>
  <c r="Z39"/>
  <c r="Y40"/>
  <c r="Z40"/>
  <c r="Y41"/>
  <c r="Z41"/>
  <c r="Y42"/>
  <c r="Z42"/>
  <c r="Y43"/>
  <c r="Z43"/>
  <c r="Y44"/>
  <c r="Z44"/>
  <c r="Z45"/>
  <c r="Y46"/>
  <c r="Z46"/>
  <c r="Y47"/>
  <c r="Z47"/>
  <c r="Y48"/>
  <c r="Z48"/>
  <c r="Y49"/>
  <c r="Z49"/>
  <c r="Y50"/>
  <c r="Z50"/>
  <c r="Y51"/>
  <c r="Z51"/>
  <c r="Y52"/>
  <c r="Z52"/>
  <c r="Y53"/>
  <c r="Z53"/>
  <c r="Y54"/>
  <c r="Z54"/>
  <c r="Y55"/>
  <c r="Z55"/>
  <c r="Y56"/>
  <c r="Z56"/>
  <c r="Y57"/>
  <c r="Z57"/>
  <c r="Y58"/>
  <c r="Z58"/>
  <c r="Y59"/>
  <c r="Z59"/>
  <c r="Y60"/>
  <c r="Z60"/>
  <c r="Y61"/>
  <c r="Z61"/>
  <c r="Y62"/>
  <c r="Z62"/>
  <c r="Y63"/>
  <c r="Z63"/>
  <c r="Y64"/>
  <c r="Z64"/>
  <c r="Y65"/>
  <c r="Z65"/>
  <c r="Y66"/>
  <c r="Z66"/>
  <c r="Y67"/>
  <c r="Z67"/>
  <c r="Y68"/>
  <c r="Z68"/>
  <c r="Y69"/>
  <c r="Z69"/>
  <c r="Y70"/>
  <c r="Z70"/>
  <c r="Y71"/>
  <c r="Z71"/>
  <c r="Y72"/>
  <c r="Z72"/>
  <c r="Y73"/>
  <c r="Z73"/>
  <c r="Y74"/>
  <c r="Z74"/>
  <c r="Y75"/>
  <c r="Z75"/>
  <c r="Y76"/>
  <c r="Z76"/>
  <c r="Y77"/>
  <c r="Z77"/>
  <c r="Y78"/>
  <c r="Z78"/>
  <c r="Y79"/>
  <c r="Z79"/>
  <c r="Y80"/>
  <c r="Z80"/>
  <c r="Y81"/>
  <c r="Z81"/>
  <c r="Y82"/>
  <c r="Z82"/>
  <c r="Y83"/>
  <c r="Z83"/>
  <c r="Y84"/>
  <c r="Z84"/>
  <c r="Y85"/>
  <c r="Z85"/>
  <c r="Y86"/>
  <c r="Z86"/>
  <c r="Y87"/>
  <c r="Z87"/>
  <c r="Y88"/>
  <c r="Z88"/>
  <c r="Y89"/>
  <c r="Z89"/>
  <c r="Y90"/>
  <c r="Z90"/>
  <c r="Y91"/>
  <c r="Z91"/>
  <c r="Y92"/>
  <c r="Z92"/>
  <c r="Y93"/>
  <c r="Z93"/>
  <c r="Y94"/>
  <c r="Z94"/>
  <c r="Y95"/>
  <c r="Z95"/>
  <c r="Y96"/>
  <c r="Z96"/>
  <c r="Y97"/>
  <c r="Z97"/>
  <c r="Y98"/>
  <c r="Z98"/>
  <c r="Y99"/>
  <c r="Z99"/>
  <c r="Y100"/>
  <c r="Z100"/>
  <c r="Y101"/>
  <c r="Z101"/>
  <c r="Y102"/>
  <c r="Z102"/>
  <c r="Y103"/>
  <c r="Z103"/>
  <c r="Y104"/>
  <c r="Z104"/>
  <c r="Y105"/>
  <c r="Z105"/>
  <c r="Y106"/>
  <c r="Z106"/>
  <c r="Y107"/>
  <c r="Z107"/>
  <c r="Y108"/>
  <c r="Z108"/>
  <c r="Y109"/>
  <c r="Z109"/>
  <c r="Y110"/>
  <c r="Z110"/>
  <c r="Y111"/>
  <c r="Z111"/>
  <c r="Y112"/>
  <c r="Z112"/>
  <c r="Y113"/>
  <c r="Z113"/>
  <c r="Y114"/>
  <c r="Z114"/>
  <c r="Y115"/>
  <c r="Z115"/>
  <c r="Y116"/>
  <c r="Z116"/>
  <c r="Y117"/>
  <c r="Z117"/>
  <c r="Y118"/>
  <c r="Z118"/>
  <c r="Y119"/>
  <c r="Z119"/>
  <c r="Y120"/>
  <c r="Z120"/>
  <c r="Y121"/>
  <c r="Z121"/>
  <c r="Y122"/>
  <c r="Z122"/>
  <c r="Y123"/>
  <c r="Z123"/>
  <c r="Y124"/>
  <c r="Z124"/>
  <c r="Y125"/>
  <c r="Z125"/>
  <c r="Y126"/>
  <c r="Z126"/>
  <c r="Y127"/>
  <c r="Z127"/>
  <c r="Y128"/>
  <c r="Z128"/>
  <c r="Y129"/>
  <c r="Z129"/>
  <c r="Y130"/>
  <c r="Z130"/>
  <c r="Y131"/>
  <c r="Z131"/>
  <c r="Y132"/>
  <c r="Z132"/>
  <c r="Y133"/>
  <c r="Z133"/>
  <c r="Y134"/>
  <c r="Z134"/>
  <c r="Y135"/>
  <c r="Z135"/>
  <c r="Y136"/>
  <c r="Z136"/>
  <c r="Y137"/>
  <c r="Z137"/>
  <c r="Y138"/>
  <c r="Z138"/>
  <c r="Y139"/>
  <c r="Z139"/>
  <c r="Y140"/>
  <c r="Z140"/>
  <c r="Y141"/>
  <c r="Z141"/>
  <c r="Y142"/>
  <c r="Z142"/>
  <c r="Y143"/>
  <c r="Z143"/>
  <c r="Y144"/>
  <c r="Z144"/>
  <c r="Y145"/>
  <c r="Z145"/>
  <c r="Y146"/>
  <c r="Z146"/>
  <c r="Y147"/>
  <c r="Z147"/>
  <c r="Y148"/>
  <c r="Z148"/>
  <c r="Y149"/>
  <c r="Z149"/>
  <c r="Y150"/>
  <c r="Z150"/>
  <c r="Y151"/>
  <c r="Z151"/>
  <c r="Y152"/>
  <c r="Z152"/>
  <c r="Y153"/>
  <c r="Z153"/>
  <c r="Y154"/>
  <c r="Z154"/>
  <c r="Y155"/>
  <c r="Z155"/>
  <c r="Y156"/>
  <c r="Z156"/>
  <c r="Y157"/>
  <c r="Z157"/>
  <c r="Y158"/>
  <c r="Z158"/>
  <c r="Y159"/>
  <c r="Z159"/>
  <c r="Y160"/>
  <c r="Z160"/>
  <c r="Y161"/>
  <c r="Z161"/>
  <c r="Y162"/>
  <c r="Z162"/>
  <c r="Y163"/>
  <c r="Z163"/>
  <c r="Y164"/>
  <c r="Z164"/>
  <c r="Y165"/>
  <c r="Z165"/>
  <c r="Y166"/>
  <c r="Z166"/>
  <c r="Y167"/>
  <c r="Z167"/>
  <c r="Y168"/>
  <c r="Z168"/>
  <c r="Y169"/>
  <c r="Z169"/>
  <c r="Y170"/>
  <c r="Z170"/>
  <c r="Y171"/>
  <c r="Z171"/>
  <c r="Y172"/>
  <c r="Z172"/>
  <c r="Y173"/>
  <c r="Z173"/>
  <c r="Y174"/>
  <c r="Z174"/>
  <c r="Y175"/>
  <c r="Z175"/>
  <c r="Y176"/>
  <c r="Z176"/>
  <c r="Y177"/>
  <c r="Z177"/>
  <c r="Y178"/>
  <c r="Z178"/>
  <c r="Y179"/>
  <c r="Z179"/>
  <c r="Y180"/>
  <c r="Z180"/>
  <c r="Y181"/>
  <c r="Z181"/>
  <c r="Y182"/>
  <c r="Z182"/>
  <c r="Y183"/>
  <c r="Z183"/>
  <c r="Y184"/>
  <c r="Z184"/>
  <c r="Y185"/>
  <c r="Z185"/>
  <c r="Y186"/>
  <c r="Z186"/>
  <c r="Y187"/>
  <c r="Z187"/>
  <c r="Y188"/>
  <c r="Z188"/>
  <c r="Y189"/>
  <c r="Z189"/>
  <c r="Y190"/>
  <c r="Z190"/>
  <c r="Y191"/>
  <c r="Z191"/>
  <c r="Y192"/>
  <c r="Z192"/>
  <c r="Y193"/>
  <c r="Z193"/>
  <c r="Y194"/>
  <c r="Z194"/>
  <c r="Y195"/>
  <c r="Z195"/>
  <c r="Y196"/>
  <c r="Z196"/>
  <c r="Y197"/>
  <c r="Z197"/>
  <c r="Y198"/>
  <c r="Z198"/>
  <c r="Y199"/>
  <c r="Z199"/>
  <c r="Y200"/>
  <c r="Z200"/>
  <c r="Y201"/>
  <c r="Z201"/>
  <c r="Y202"/>
  <c r="Z202"/>
  <c r="Y203"/>
  <c r="Z203"/>
  <c r="Y204"/>
  <c r="Z204"/>
  <c r="Y205"/>
  <c r="Z205"/>
  <c r="Y206"/>
  <c r="Z206"/>
  <c r="Y207"/>
  <c r="Z207"/>
  <c r="Y208"/>
  <c r="Z208"/>
  <c r="Y209"/>
  <c r="Z209"/>
  <c r="Y210"/>
  <c r="Z210"/>
  <c r="Y211"/>
  <c r="Z211"/>
  <c r="Y212"/>
  <c r="Z212"/>
  <c r="Y213"/>
  <c r="Z213"/>
  <c r="Y214"/>
  <c r="Z214"/>
  <c r="Y215"/>
  <c r="Z215"/>
  <c r="Y216"/>
  <c r="Z216"/>
  <c r="Y217"/>
  <c r="Z217"/>
  <c r="Y218"/>
  <c r="Z218"/>
  <c r="Y219"/>
  <c r="Z219"/>
  <c r="Y220"/>
  <c r="Z220"/>
  <c r="Y221"/>
  <c r="Z221"/>
  <c r="Y222"/>
  <c r="Z222"/>
  <c r="Y223"/>
  <c r="Z223"/>
  <c r="Y224"/>
  <c r="Z224"/>
  <c r="Y225"/>
  <c r="Z225"/>
  <c r="Y226"/>
  <c r="Z226"/>
  <c r="Y227"/>
  <c r="Z227"/>
  <c r="Y228"/>
  <c r="Z228"/>
  <c r="Y229"/>
  <c r="Z229"/>
  <c r="Y230"/>
  <c r="Z230"/>
  <c r="Y231"/>
  <c r="Z231"/>
  <c r="Y232"/>
  <c r="Z232"/>
  <c r="Y233"/>
  <c r="Z233"/>
  <c r="Y234"/>
  <c r="Z234"/>
  <c r="Y235"/>
  <c r="Z235"/>
  <c r="Y236"/>
  <c r="Z236"/>
  <c r="Y237"/>
  <c r="Z237"/>
  <c r="Y238"/>
  <c r="Z238"/>
  <c r="Y239"/>
  <c r="Z239"/>
  <c r="Y240"/>
  <c r="Z240"/>
  <c r="Y241"/>
  <c r="Z241"/>
  <c r="Y242"/>
  <c r="Z242"/>
  <c r="Y243"/>
  <c r="Z243"/>
  <c r="Y244"/>
  <c r="Z244"/>
  <c r="Y245"/>
  <c r="Z245"/>
  <c r="Y246"/>
  <c r="Z246"/>
  <c r="Y247"/>
  <c r="Z247"/>
  <c r="Y248"/>
  <c r="Z248"/>
  <c r="Y249"/>
  <c r="Z249"/>
  <c r="Y250"/>
  <c r="Z250"/>
  <c r="Y251"/>
  <c r="Z251"/>
  <c r="Y252"/>
  <c r="Z252"/>
  <c r="Y253"/>
  <c r="Z253"/>
  <c r="Y254"/>
  <c r="Z254"/>
  <c r="Y255"/>
  <c r="Z255"/>
  <c r="Y256"/>
  <c r="Z256"/>
  <c r="Y257"/>
  <c r="Z257"/>
  <c r="Y258"/>
  <c r="Z258"/>
  <c r="Y259"/>
  <c r="Z259"/>
  <c r="Y260"/>
  <c r="Z260"/>
  <c r="Y261"/>
  <c r="Z261"/>
  <c r="Y262"/>
  <c r="Z262"/>
  <c r="Y263"/>
  <c r="Z263"/>
  <c r="Y264"/>
  <c r="Z264"/>
  <c r="Y265"/>
  <c r="Z265"/>
  <c r="Y266"/>
  <c r="Z266"/>
  <c r="Y267"/>
  <c r="Z267"/>
  <c r="Y268"/>
  <c r="Z268"/>
  <c r="Y269"/>
  <c r="Z269"/>
  <c r="Y270"/>
  <c r="Z270"/>
  <c r="Y271"/>
  <c r="Z271"/>
  <c r="Y272"/>
  <c r="Z272"/>
  <c r="Y273"/>
  <c r="Z273"/>
  <c r="Y274"/>
  <c r="Z274"/>
  <c r="Y275"/>
  <c r="Z275"/>
  <c r="Y276"/>
  <c r="Z276"/>
  <c r="Y277"/>
  <c r="Z277"/>
  <c r="Y278"/>
  <c r="Z278"/>
  <c r="Y279"/>
  <c r="Z279"/>
  <c r="Y280"/>
  <c r="Z280"/>
  <c r="Y281"/>
  <c r="Z281"/>
  <c r="Y282"/>
  <c r="Z282"/>
  <c r="Y283"/>
  <c r="Z283"/>
  <c r="Y284"/>
  <c r="Z284"/>
  <c r="Y285"/>
  <c r="Z285"/>
  <c r="Y286"/>
  <c r="Z286"/>
  <c r="Y287"/>
  <c r="Z287"/>
  <c r="Y288"/>
  <c r="Z288"/>
  <c r="Y289"/>
  <c r="Z289"/>
  <c r="Y290"/>
  <c r="Z290"/>
  <c r="Y291"/>
  <c r="Z291"/>
  <c r="Y292"/>
  <c r="Z292"/>
  <c r="Y293"/>
  <c r="Z293"/>
  <c r="Y294"/>
  <c r="Z294"/>
  <c r="Y295"/>
  <c r="Z295"/>
  <c r="Y296"/>
  <c r="Z296"/>
  <c r="Y297"/>
  <c r="Z297"/>
  <c r="Y298"/>
  <c r="Z298"/>
  <c r="Y299"/>
  <c r="Z299"/>
  <c r="Y300"/>
  <c r="Z300"/>
  <c r="Y301"/>
  <c r="Z301"/>
  <c r="Y302"/>
  <c r="Z302"/>
  <c r="Y303"/>
  <c r="Z303"/>
  <c r="Y304"/>
  <c r="Z304"/>
  <c r="Y305"/>
  <c r="Z305"/>
  <c r="Y306"/>
  <c r="Z306"/>
  <c r="Y307"/>
  <c r="Z307"/>
  <c r="Y308"/>
  <c r="Z308"/>
  <c r="Y309"/>
  <c r="Z309"/>
  <c r="Y310"/>
  <c r="Z310"/>
  <c r="Y311"/>
  <c r="Z311"/>
  <c r="Y312"/>
  <c r="Z312"/>
  <c r="Y313"/>
  <c r="Z313"/>
  <c r="Y314"/>
  <c r="Z314"/>
  <c r="Y315"/>
  <c r="Z315"/>
  <c r="Y316"/>
  <c r="Z316"/>
  <c r="Y317"/>
  <c r="Z317"/>
  <c r="Y318"/>
  <c r="Z318"/>
  <c r="Y319"/>
  <c r="Z319"/>
  <c r="Y320"/>
  <c r="Z320"/>
  <c r="Y321"/>
  <c r="Z321"/>
  <c r="Y322"/>
  <c r="Z322"/>
  <c r="Y323"/>
  <c r="Z323"/>
  <c r="Y324"/>
  <c r="Z324"/>
  <c r="Y325"/>
  <c r="Z325"/>
  <c r="Y326"/>
  <c r="Z326"/>
  <c r="Y327"/>
  <c r="Z327"/>
  <c r="Y328"/>
  <c r="Z328"/>
  <c r="Y329"/>
  <c r="Z329"/>
  <c r="Y330"/>
  <c r="Z330"/>
  <c r="Y331"/>
  <c r="Z331"/>
  <c r="Y332"/>
  <c r="Z332"/>
  <c r="Y333"/>
  <c r="Z333"/>
  <c r="Y334"/>
  <c r="Z334"/>
  <c r="Y335"/>
  <c r="Z335"/>
  <c r="Y336"/>
  <c r="Z336"/>
  <c r="Y337"/>
  <c r="Z337"/>
  <c r="Y338"/>
  <c r="Z338"/>
  <c r="Y339"/>
  <c r="Z339"/>
  <c r="Y340"/>
  <c r="Z340"/>
  <c r="Y341"/>
  <c r="Z341"/>
  <c r="Y342"/>
  <c r="Z342"/>
  <c r="Y343"/>
  <c r="Z343"/>
  <c r="Y344"/>
  <c r="Z344"/>
  <c r="Y345"/>
  <c r="Z345"/>
  <c r="Y346"/>
  <c r="Z346"/>
  <c r="Y347"/>
  <c r="Z347"/>
  <c r="Y348"/>
  <c r="Z348"/>
  <c r="Y349"/>
  <c r="Z349"/>
  <c r="Y350"/>
  <c r="Z350"/>
  <c r="Y351"/>
  <c r="Z351"/>
  <c r="Y352"/>
  <c r="Z352"/>
  <c r="Y353"/>
  <c r="Z353"/>
  <c r="Y354"/>
  <c r="Z354"/>
  <c r="Y355"/>
  <c r="Z355"/>
  <c r="Y356"/>
  <c r="Z356"/>
  <c r="Y357"/>
  <c r="Z357"/>
  <c r="Y358"/>
  <c r="Z358"/>
  <c r="Y359"/>
  <c r="Z359"/>
  <c r="Y360"/>
  <c r="Z360"/>
  <c r="Y361"/>
  <c r="Z361"/>
  <c r="Y362"/>
  <c r="Z362"/>
  <c r="Y363"/>
  <c r="Z363"/>
  <c r="Y364"/>
  <c r="Z364"/>
  <c r="Y365"/>
  <c r="Z365"/>
  <c r="Y366"/>
  <c r="Z366"/>
  <c r="Y367"/>
  <c r="Z367"/>
  <c r="Y368"/>
  <c r="Z368"/>
  <c r="Y369"/>
  <c r="Z369"/>
  <c r="Y370"/>
  <c r="Z370"/>
  <c r="Y371"/>
  <c r="Z371"/>
  <c r="Y372"/>
  <c r="Z372"/>
  <c r="Y373"/>
  <c r="Z373"/>
  <c r="Y374"/>
  <c r="Z374"/>
  <c r="Y375"/>
  <c r="Z375"/>
  <c r="Y376"/>
  <c r="Z376"/>
  <c r="Y377"/>
  <c r="Z377"/>
  <c r="Y378"/>
  <c r="Z378"/>
  <c r="Y379"/>
  <c r="Z379"/>
  <c r="Y380"/>
  <c r="Z380"/>
  <c r="Y381"/>
  <c r="Z381"/>
  <c r="Y382"/>
  <c r="Z382"/>
  <c r="Y383"/>
  <c r="Z383"/>
  <c r="Y384"/>
  <c r="Z384"/>
  <c r="Y385"/>
  <c r="Z385"/>
  <c r="Y386"/>
  <c r="Z386"/>
  <c r="Y387"/>
  <c r="Z387"/>
  <c r="Y388"/>
  <c r="Z388"/>
  <c r="Y389"/>
  <c r="Z389"/>
  <c r="Y390"/>
  <c r="Z390"/>
  <c r="Y391"/>
  <c r="Z391"/>
  <c r="Y392"/>
  <c r="Z392"/>
  <c r="Y393"/>
  <c r="Z393"/>
  <c r="Y394"/>
  <c r="Z394"/>
  <c r="Y395"/>
  <c r="Z395"/>
  <c r="Y396"/>
  <c r="Z396"/>
  <c r="Y397"/>
  <c r="Z397"/>
  <c r="Y398"/>
  <c r="Z398"/>
  <c r="Y399"/>
  <c r="Z399"/>
  <c r="Y400"/>
  <c r="Z400"/>
  <c r="Y401"/>
  <c r="Z401"/>
  <c r="Y402"/>
  <c r="Z402"/>
  <c r="Y403"/>
  <c r="Z403"/>
  <c r="Y404"/>
  <c r="Z404"/>
  <c r="Y405"/>
  <c r="Z405"/>
  <c r="Y406"/>
  <c r="Z406"/>
  <c r="Y407"/>
  <c r="Z407"/>
  <c r="Y408"/>
  <c r="Z408"/>
  <c r="Y409"/>
  <c r="Z409"/>
  <c r="Y410"/>
  <c r="Z410"/>
  <c r="Y411"/>
  <c r="Z411"/>
  <c r="Y412"/>
  <c r="Z412"/>
  <c r="Y413"/>
  <c r="Z413"/>
  <c r="Y414"/>
  <c r="Z414"/>
  <c r="Y415"/>
  <c r="Z415"/>
  <c r="Y416"/>
  <c r="Z416"/>
  <c r="Y417"/>
  <c r="Z417"/>
  <c r="Y418"/>
  <c r="Z418"/>
  <c r="Y419"/>
  <c r="Z419"/>
  <c r="Y420"/>
  <c r="Z420"/>
  <c r="Y421"/>
  <c r="Z421"/>
  <c r="Y422"/>
  <c r="Z422"/>
  <c r="Y423"/>
  <c r="Z423"/>
  <c r="Y424"/>
  <c r="Z424"/>
  <c r="Y425"/>
  <c r="Z425"/>
  <c r="Y426"/>
  <c r="Z426"/>
  <c r="Y427"/>
  <c r="Z427"/>
  <c r="Y428"/>
  <c r="Z428"/>
  <c r="Y429"/>
  <c r="Z429"/>
  <c r="Y430"/>
  <c r="Z430"/>
  <c r="Y431"/>
  <c r="Z431"/>
  <c r="Y432"/>
  <c r="Z432"/>
  <c r="Y433"/>
  <c r="Z433"/>
  <c r="Y434"/>
  <c r="Z434"/>
  <c r="Y435"/>
  <c r="Z435"/>
  <c r="Y436"/>
  <c r="Z436"/>
  <c r="Y437"/>
  <c r="Z437"/>
  <c r="Y438"/>
  <c r="Z438"/>
  <c r="Y439"/>
  <c r="Z439"/>
  <c r="Y440"/>
  <c r="Z440"/>
  <c r="Y441"/>
  <c r="Z441"/>
  <c r="Y442"/>
  <c r="Z442"/>
  <c r="Y443"/>
  <c r="Z443"/>
  <c r="Y444"/>
  <c r="Z444"/>
  <c r="Y445"/>
  <c r="Z445"/>
  <c r="Y446"/>
  <c r="Z446"/>
  <c r="Y447"/>
  <c r="Z447"/>
  <c r="Y448"/>
  <c r="Z448"/>
  <c r="Y449"/>
  <c r="Z449"/>
  <c r="Y450"/>
  <c r="Z450"/>
  <c r="Y451"/>
  <c r="Z451"/>
  <c r="Y452"/>
  <c r="Z452"/>
  <c r="Y453"/>
  <c r="Z453"/>
  <c r="Y454"/>
  <c r="Z454"/>
  <c r="Y455"/>
  <c r="Z455"/>
  <c r="Y456"/>
  <c r="Z456"/>
  <c r="Y457"/>
  <c r="Z457"/>
  <c r="Y458"/>
  <c r="Z458"/>
  <c r="Y459"/>
  <c r="Z459"/>
  <c r="Y460"/>
  <c r="Z460"/>
  <c r="Y461"/>
  <c r="Z461"/>
  <c r="Y462"/>
  <c r="Z462"/>
  <c r="Y463"/>
  <c r="Z463"/>
  <c r="Y464"/>
  <c r="Z464"/>
  <c r="Y465"/>
  <c r="Z465"/>
  <c r="Y466"/>
  <c r="Z466"/>
  <c r="Y467"/>
  <c r="Z467"/>
  <c r="Y468"/>
  <c r="Z468"/>
  <c r="Y469"/>
  <c r="Z469"/>
  <c r="Y470"/>
  <c r="Z470"/>
  <c r="Y471"/>
  <c r="Z471"/>
  <c r="Y472"/>
  <c r="Z472"/>
  <c r="Y473"/>
  <c r="Z473"/>
  <c r="Y474"/>
  <c r="Z474"/>
  <c r="Y475"/>
  <c r="Z475"/>
  <c r="Y476"/>
  <c r="Z476"/>
  <c r="Y477"/>
  <c r="Z477"/>
  <c r="Y478"/>
  <c r="Z478"/>
  <c r="Y479"/>
  <c r="Z479"/>
  <c r="Y480"/>
  <c r="Z480"/>
  <c r="Y481"/>
  <c r="Z481"/>
  <c r="Y482"/>
  <c r="Z482"/>
  <c r="Y483"/>
  <c r="Z483"/>
  <c r="Y484"/>
  <c r="Z484"/>
  <c r="Y485"/>
  <c r="Z485"/>
  <c r="Y486"/>
  <c r="Z486"/>
  <c r="Y487"/>
  <c r="Z487"/>
  <c r="Y488"/>
  <c r="Z488"/>
  <c r="Y489"/>
  <c r="Z489"/>
  <c r="Y490"/>
  <c r="Z490"/>
  <c r="Y491"/>
  <c r="Z491"/>
  <c r="Y492"/>
  <c r="Z492"/>
  <c r="Y493"/>
  <c r="Z493"/>
  <c r="Y494"/>
  <c r="Z494"/>
  <c r="Y495"/>
  <c r="Z495"/>
  <c r="Y496"/>
  <c r="Z496"/>
  <c r="Y497"/>
  <c r="Z497"/>
  <c r="Y498"/>
  <c r="Z498"/>
  <c r="Y499"/>
  <c r="Z499"/>
  <c r="Y500"/>
  <c r="Z500"/>
  <c r="Y501"/>
  <c r="Z501"/>
  <c r="Y502"/>
  <c r="Z502"/>
  <c r="Y503"/>
  <c r="Z503"/>
  <c r="Y504"/>
  <c r="Z504"/>
  <c r="Y505"/>
  <c r="Z505"/>
  <c r="Y506"/>
  <c r="Z506"/>
  <c r="Y507"/>
  <c r="Z507"/>
  <c r="Y508"/>
  <c r="Z508"/>
  <c r="Y509"/>
  <c r="Z509"/>
  <c r="Y510"/>
  <c r="Z510"/>
  <c r="Y511"/>
  <c r="Z511"/>
  <c r="Y512"/>
  <c r="Z512"/>
  <c r="Y513"/>
  <c r="Z513"/>
  <c r="Y514"/>
  <c r="Z514"/>
  <c r="Y515"/>
  <c r="Z515"/>
  <c r="Y516"/>
  <c r="Z516"/>
  <c r="Y517"/>
  <c r="Z517"/>
  <c r="Y518"/>
  <c r="Z518"/>
  <c r="Y519"/>
  <c r="Z519"/>
  <c r="Y520"/>
  <c r="Z520"/>
  <c r="Y521"/>
  <c r="Z521"/>
  <c r="Y522"/>
  <c r="Z522"/>
  <c r="Y523"/>
  <c r="Z523"/>
  <c r="Y524"/>
  <c r="Z524"/>
  <c r="Y525"/>
  <c r="Z525"/>
  <c r="Y526"/>
  <c r="Z526"/>
  <c r="Y527"/>
  <c r="Z527"/>
  <c r="Y528"/>
  <c r="Z528"/>
  <c r="Y529"/>
  <c r="Z529"/>
  <c r="Y530"/>
  <c r="Z530"/>
  <c r="Y531"/>
  <c r="Z531"/>
  <c r="Y532"/>
  <c r="Z532"/>
  <c r="Y533"/>
  <c r="Z533"/>
  <c r="Y534"/>
  <c r="Z534"/>
  <c r="Y535"/>
  <c r="Z535"/>
  <c r="Y536"/>
  <c r="Z536"/>
  <c r="Y537"/>
  <c r="Z537"/>
  <c r="Y538"/>
  <c r="Z538"/>
  <c r="Y539"/>
  <c r="Z539"/>
  <c r="Y540"/>
  <c r="Z540"/>
  <c r="Y541"/>
  <c r="Z541"/>
  <c r="Y542"/>
  <c r="Z542"/>
  <c r="Y543"/>
  <c r="Z543"/>
  <c r="Y544"/>
  <c r="Z544"/>
  <c r="Y545"/>
  <c r="Z545"/>
  <c r="Y546"/>
  <c r="Z546"/>
  <c r="Y547"/>
  <c r="Z547"/>
  <c r="Y548"/>
  <c r="Z548"/>
  <c r="Y549"/>
  <c r="Z549"/>
  <c r="Y550"/>
  <c r="Z550"/>
  <c r="Y551"/>
  <c r="Z551"/>
  <c r="Y552"/>
  <c r="Z552"/>
  <c r="Y553"/>
  <c r="Z553"/>
  <c r="Y554"/>
  <c r="Z554"/>
  <c r="Y555"/>
  <c r="Z555"/>
  <c r="Y556"/>
  <c r="Z556"/>
  <c r="Y557"/>
  <c r="Z557"/>
  <c r="Y558"/>
  <c r="Z558"/>
  <c r="Y559"/>
  <c r="Z559"/>
  <c r="Y560"/>
  <c r="Z560"/>
  <c r="Y561"/>
  <c r="Z561"/>
  <c r="Y562"/>
  <c r="Z562"/>
  <c r="Y563"/>
  <c r="Z563"/>
  <c r="Y564"/>
  <c r="Z564"/>
  <c r="Y565"/>
  <c r="Z565"/>
  <c r="Y566"/>
  <c r="Z566"/>
  <c r="Y567"/>
  <c r="Z567"/>
  <c r="Y568"/>
  <c r="Z568"/>
  <c r="Y569"/>
  <c r="Z569"/>
  <c r="Y570"/>
  <c r="Z570"/>
  <c r="Y571"/>
  <c r="Z571"/>
  <c r="Y572"/>
  <c r="Z572"/>
  <c r="Y573"/>
  <c r="Z573"/>
  <c r="Y574"/>
  <c r="Z574"/>
  <c r="Y575"/>
  <c r="Z575"/>
  <c r="Y576"/>
  <c r="Z576"/>
  <c r="Y577"/>
  <c r="Z577"/>
  <c r="Y578"/>
  <c r="Z578"/>
  <c r="Y579"/>
  <c r="Z579"/>
  <c r="Y580"/>
  <c r="Z580"/>
  <c r="Y581"/>
  <c r="Z581"/>
  <c r="Y582"/>
  <c r="Z582"/>
  <c r="Y583"/>
  <c r="Z583"/>
  <c r="Y584"/>
  <c r="Z584"/>
  <c r="Y585"/>
  <c r="Z585"/>
  <c r="Y586"/>
  <c r="Z586"/>
  <c r="Y587"/>
  <c r="Z587"/>
  <c r="Y588"/>
  <c r="Z588"/>
  <c r="Y589"/>
  <c r="Z589"/>
  <c r="Y590"/>
  <c r="Z590"/>
  <c r="Y591"/>
  <c r="Z591"/>
  <c r="Y592"/>
  <c r="Z592"/>
  <c r="Y593"/>
  <c r="Z593"/>
  <c r="Y594"/>
  <c r="Z594"/>
  <c r="Y595"/>
  <c r="Z595"/>
  <c r="Y596"/>
  <c r="Z596"/>
  <c r="Y597"/>
  <c r="Z597"/>
  <c r="Y598"/>
  <c r="Z598"/>
  <c r="Y599"/>
  <c r="Z599"/>
  <c r="Y600"/>
  <c r="Z600"/>
  <c r="Y601"/>
  <c r="Z601"/>
  <c r="Y602"/>
  <c r="Z602"/>
  <c r="Y603"/>
  <c r="Z603"/>
  <c r="Y604"/>
  <c r="Z604"/>
  <c r="Y605"/>
  <c r="Z605"/>
  <c r="Y606"/>
  <c r="Z606"/>
  <c r="Y607"/>
  <c r="Z607"/>
  <c r="Y608"/>
  <c r="Z608"/>
  <c r="Y609"/>
  <c r="Z609"/>
  <c r="Y610"/>
  <c r="Z610"/>
  <c r="Y611"/>
  <c r="Z611"/>
  <c r="Y612"/>
  <c r="Z612"/>
  <c r="Y613"/>
  <c r="Z613"/>
  <c r="Y614"/>
  <c r="Z614"/>
  <c r="Y615"/>
  <c r="Z615"/>
  <c r="Y616"/>
  <c r="Z616"/>
  <c r="Y617"/>
  <c r="Z617"/>
  <c r="Y618"/>
  <c r="Z618"/>
  <c r="Y619"/>
  <c r="Z619"/>
  <c r="Y620"/>
  <c r="Z620"/>
  <c r="Y621"/>
  <c r="Z621"/>
  <c r="Y622"/>
  <c r="Z622"/>
  <c r="Y623"/>
  <c r="Z623"/>
  <c r="Y624"/>
  <c r="Z624"/>
  <c r="Y625"/>
  <c r="Z625"/>
  <c r="Y626"/>
  <c r="Z626"/>
  <c r="Y627"/>
  <c r="Z627"/>
  <c r="Y628"/>
  <c r="Z628"/>
  <c r="Y629"/>
  <c r="Z629"/>
  <c r="Y630"/>
  <c r="Z630"/>
  <c r="Y631"/>
  <c r="Z631"/>
  <c r="Y632"/>
  <c r="Z632"/>
  <c r="Y633"/>
  <c r="Z633"/>
  <c r="Y634"/>
  <c r="Z634"/>
  <c r="Y635"/>
  <c r="Z635"/>
  <c r="Y636"/>
  <c r="Z636"/>
  <c r="Y637"/>
  <c r="Z637"/>
  <c r="Y638"/>
  <c r="Z638"/>
  <c r="Y639"/>
  <c r="Z639"/>
  <c r="Y640"/>
  <c r="Z640"/>
  <c r="Y641"/>
  <c r="Z641"/>
  <c r="Y642"/>
  <c r="Z642"/>
  <c r="Z643"/>
  <c r="Y644"/>
  <c r="Z644"/>
  <c r="Y645"/>
  <c r="Z645"/>
  <c r="Y646"/>
  <c r="Z646"/>
  <c r="Y647"/>
  <c r="Z647"/>
  <c r="Y648"/>
  <c r="Z648"/>
  <c r="Y649"/>
  <c r="Z649"/>
  <c r="Y650"/>
  <c r="Z650"/>
  <c r="Y651"/>
  <c r="Z651"/>
  <c r="Y652"/>
  <c r="Z652"/>
  <c r="Y653"/>
  <c r="Z653"/>
  <c r="Y654"/>
  <c r="Z654"/>
  <c r="Y655"/>
  <c r="Z655"/>
  <c r="Y656"/>
  <c r="Z656"/>
  <c r="Y657"/>
  <c r="Z657"/>
  <c r="Y658"/>
  <c r="Z658"/>
  <c r="Y659"/>
  <c r="Z659"/>
  <c r="Y660"/>
  <c r="Z660"/>
  <c r="Y661"/>
  <c r="Z661"/>
  <c r="Y662"/>
  <c r="Z662"/>
  <c r="Y663"/>
  <c r="Z663"/>
  <c r="Y664"/>
  <c r="Z664"/>
  <c r="Y665"/>
  <c r="Z665"/>
  <c r="Y666"/>
  <c r="Z666"/>
  <c r="Y667"/>
  <c r="Z667"/>
  <c r="Y668"/>
  <c r="Z668"/>
  <c r="Y669"/>
  <c r="Z669"/>
  <c r="Y670"/>
  <c r="Z670"/>
  <c r="Y671"/>
  <c r="Z671"/>
  <c r="Y672"/>
  <c r="Z672"/>
  <c r="Y673"/>
  <c r="Z673"/>
  <c r="Y674"/>
  <c r="Z674"/>
  <c r="Y675"/>
  <c r="Z675"/>
  <c r="Y676"/>
  <c r="Z676"/>
  <c r="Y677"/>
  <c r="Z677"/>
  <c r="Y678"/>
  <c r="Z678"/>
  <c r="Y679"/>
  <c r="Z679"/>
  <c r="Y680"/>
  <c r="Z680"/>
  <c r="Y681"/>
  <c r="Z681"/>
  <c r="Y682"/>
  <c r="Z682"/>
  <c r="Y683"/>
  <c r="Z683"/>
  <c r="Y684"/>
  <c r="Z684"/>
  <c r="Y685"/>
  <c r="Z685"/>
  <c r="Y686"/>
  <c r="Z686"/>
  <c r="Y687"/>
  <c r="Z687"/>
  <c r="Y688"/>
  <c r="Z688"/>
  <c r="Y689"/>
  <c r="Z689"/>
  <c r="Y690"/>
  <c r="Z690"/>
  <c r="Y691"/>
  <c r="Z691"/>
  <c r="Y692"/>
  <c r="Z692"/>
  <c r="Y693"/>
  <c r="Z693"/>
  <c r="Y694"/>
  <c r="Z694"/>
  <c r="Y695"/>
  <c r="Z695"/>
  <c r="Y696"/>
  <c r="Z696"/>
  <c r="Y697"/>
  <c r="Z697"/>
  <c r="Y698"/>
  <c r="Z698"/>
  <c r="Y699"/>
  <c r="Z699"/>
  <c r="Y700"/>
  <c r="Z700"/>
  <c r="Y701"/>
  <c r="Z701"/>
  <c r="Y702"/>
  <c r="Z702"/>
  <c r="Y703"/>
  <c r="Z703"/>
  <c r="Y704"/>
  <c r="Z704"/>
  <c r="Y705"/>
  <c r="Z705"/>
  <c r="Y706"/>
  <c r="Z706"/>
  <c r="Y707"/>
  <c r="Z707"/>
  <c r="Y708"/>
  <c r="Z708"/>
  <c r="Y709"/>
  <c r="Z709"/>
  <c r="Y710"/>
  <c r="Z710"/>
  <c r="Y711"/>
  <c r="Z711"/>
  <c r="Y712"/>
  <c r="Z712"/>
  <c r="Y713"/>
  <c r="Z713"/>
  <c r="Y714"/>
  <c r="Z714"/>
  <c r="Y715"/>
  <c r="Z715"/>
  <c r="Y716"/>
  <c r="Z716"/>
  <c r="Y717"/>
  <c r="Z717"/>
  <c r="Y718"/>
  <c r="Z718"/>
  <c r="Y719"/>
  <c r="Z719"/>
  <c r="Y720"/>
  <c r="Z720"/>
  <c r="Y721"/>
  <c r="Z721"/>
  <c r="Y722"/>
  <c r="Z722"/>
  <c r="Y723"/>
  <c r="Z723"/>
  <c r="Y724"/>
  <c r="Z724"/>
  <c r="Y725"/>
  <c r="Z725"/>
  <c r="Y726"/>
  <c r="Z726"/>
  <c r="Y727"/>
  <c r="Z727"/>
  <c r="Y728"/>
  <c r="Z728"/>
  <c r="Y729"/>
  <c r="Z729"/>
  <c r="Y730"/>
  <c r="Z730"/>
  <c r="Y731"/>
  <c r="Z731"/>
  <c r="Y732"/>
  <c r="Z732"/>
  <c r="Y733"/>
  <c r="Z733"/>
  <c r="Y734"/>
  <c r="Z734"/>
  <c r="Y735"/>
  <c r="Z735"/>
  <c r="Y736"/>
  <c r="Z736"/>
  <c r="Y737"/>
  <c r="Z737"/>
  <c r="Y738"/>
  <c r="Z738"/>
  <c r="Y739"/>
  <c r="Z739"/>
  <c r="Y740"/>
  <c r="Z740"/>
  <c r="Y741"/>
  <c r="Z741"/>
  <c r="Y742"/>
  <c r="Z742"/>
  <c r="Y743"/>
  <c r="Z743"/>
  <c r="Y744"/>
  <c r="Z744"/>
  <c r="Y745"/>
  <c r="Z745"/>
  <c r="Y746"/>
  <c r="Z746"/>
  <c r="Y747"/>
  <c r="Z747"/>
  <c r="Y748"/>
  <c r="Z748"/>
  <c r="Y749"/>
  <c r="Z749"/>
  <c r="Y750"/>
  <c r="Z750"/>
  <c r="Y751"/>
  <c r="Z751"/>
  <c r="Y752"/>
  <c r="Z752"/>
  <c r="Y753"/>
  <c r="Z753"/>
  <c r="Y754"/>
  <c r="Z754"/>
  <c r="Y755"/>
  <c r="Z755"/>
  <c r="Y756"/>
  <c r="Z756"/>
  <c r="Y757"/>
  <c r="Z757"/>
  <c r="Y758"/>
  <c r="Z758"/>
  <c r="Y759"/>
  <c r="Z759"/>
  <c r="Y760"/>
  <c r="Z760"/>
  <c r="Y761"/>
  <c r="Z761"/>
  <c r="Y762"/>
  <c r="Z762"/>
  <c r="Y763"/>
  <c r="Z763"/>
  <c r="Y764"/>
  <c r="Z764"/>
  <c r="Y765"/>
  <c r="Z765"/>
  <c r="Y766"/>
  <c r="Z766"/>
  <c r="Y767"/>
  <c r="Z767"/>
  <c r="Y768"/>
  <c r="Z768"/>
  <c r="Y769"/>
  <c r="Z769"/>
  <c r="Y770"/>
  <c r="Z770"/>
  <c r="Y771"/>
  <c r="Z771"/>
  <c r="Y772"/>
  <c r="Z772"/>
  <c r="Y773"/>
  <c r="Z773"/>
  <c r="Y774"/>
  <c r="Z774"/>
  <c r="Y775"/>
  <c r="Z775"/>
  <c r="Y776"/>
  <c r="Z776"/>
  <c r="Y777"/>
  <c r="Z777"/>
  <c r="Y779"/>
  <c r="Z779"/>
  <c r="Y780"/>
  <c r="Z780"/>
  <c r="Y781"/>
  <c r="Z781"/>
  <c r="Y782"/>
  <c r="Z782"/>
  <c r="Y783"/>
  <c r="Z783"/>
  <c r="Y784"/>
  <c r="Z784"/>
  <c r="Y785"/>
  <c r="Z785"/>
  <c r="Y786"/>
  <c r="Z786"/>
  <c r="Y787"/>
  <c r="Z787"/>
  <c r="Y788"/>
  <c r="Z788"/>
  <c r="Y789"/>
  <c r="Z789"/>
  <c r="Y790"/>
  <c r="Z790"/>
  <c r="Y791"/>
  <c r="Z791"/>
  <c r="Y792"/>
  <c r="Z792"/>
  <c r="Y793"/>
  <c r="Z793"/>
  <c r="Y794"/>
  <c r="Z794"/>
  <c r="Y795"/>
  <c r="Z795"/>
  <c r="Y796"/>
  <c r="Z796"/>
  <c r="Y797"/>
  <c r="Z797"/>
  <c r="Y798"/>
  <c r="Z798"/>
  <c r="Y799"/>
  <c r="Z799"/>
  <c r="Y800"/>
  <c r="Z800"/>
  <c r="Y801"/>
  <c r="Z801"/>
  <c r="Y802"/>
  <c r="Z802"/>
  <c r="Y803"/>
  <c r="Z803"/>
  <c r="Y804"/>
  <c r="Z804"/>
  <c r="Y805"/>
  <c r="Z805"/>
  <c r="Y806"/>
  <c r="Z806"/>
  <c r="Y807"/>
  <c r="Z807"/>
  <c r="Y808"/>
  <c r="Z808"/>
  <c r="Y809"/>
  <c r="Z809"/>
  <c r="Y810"/>
  <c r="Z810"/>
  <c r="Y811"/>
  <c r="Z811"/>
  <c r="Y812"/>
  <c r="Z812"/>
  <c r="Y813"/>
  <c r="Z813"/>
  <c r="Y814"/>
  <c r="Z814"/>
  <c r="Y815"/>
  <c r="Z815"/>
  <c r="Y816"/>
  <c r="Z816"/>
  <c r="Y817"/>
  <c r="Z817"/>
  <c r="Y818"/>
  <c r="Z818"/>
  <c r="Y819"/>
  <c r="Z819"/>
  <c r="Y820"/>
  <c r="Z820"/>
  <c r="Y821"/>
  <c r="Z821"/>
  <c r="Y822"/>
  <c r="Z822"/>
  <c r="Y823"/>
  <c r="Z823"/>
  <c r="Y824"/>
  <c r="Z824"/>
  <c r="Y825"/>
  <c r="Z825"/>
  <c r="Y826"/>
  <c r="Z826"/>
  <c r="Y827"/>
  <c r="Z827"/>
  <c r="Y828"/>
  <c r="Z828"/>
  <c r="Y829"/>
  <c r="Z829"/>
  <c r="Y830"/>
  <c r="Z830"/>
  <c r="Y831"/>
  <c r="Z831"/>
  <c r="Y832"/>
  <c r="Z832"/>
  <c r="Y833"/>
  <c r="Z833"/>
  <c r="Y834"/>
  <c r="Z834"/>
  <c r="Y835"/>
  <c r="Z835"/>
  <c r="Y836"/>
  <c r="Z836"/>
  <c r="Y837"/>
  <c r="Z837"/>
  <c r="Y838"/>
  <c r="Z838"/>
  <c r="Y839"/>
  <c r="Z839"/>
  <c r="Y840"/>
  <c r="Z840"/>
  <c r="Y841"/>
  <c r="Z841"/>
  <c r="Y842"/>
  <c r="Z842"/>
  <c r="Y843"/>
  <c r="Z843"/>
  <c r="Y844"/>
  <c r="Z844"/>
  <c r="Y845"/>
  <c r="Z845"/>
  <c r="Y846"/>
  <c r="Z846"/>
  <c r="Y847"/>
  <c r="Z847"/>
  <c r="Y848"/>
  <c r="Z848"/>
  <c r="Y849"/>
  <c r="Z849"/>
  <c r="Y850"/>
  <c r="Z850"/>
  <c r="Y851"/>
  <c r="Z851"/>
  <c r="Y852"/>
  <c r="Z852"/>
  <c r="Y853"/>
  <c r="Z853"/>
  <c r="Y854"/>
  <c r="Z854"/>
  <c r="Y855"/>
  <c r="Z855"/>
  <c r="Y856"/>
  <c r="Z856"/>
  <c r="Y857"/>
  <c r="Z857"/>
  <c r="Y858"/>
  <c r="Z858"/>
  <c r="Y859"/>
  <c r="Z859"/>
  <c r="Y860"/>
  <c r="Z860"/>
  <c r="Y861"/>
  <c r="Z861"/>
  <c r="Y862"/>
  <c r="Z862"/>
  <c r="Y863"/>
  <c r="Z863"/>
  <c r="Y864"/>
  <c r="Z864"/>
  <c r="Y865"/>
  <c r="Z865"/>
  <c r="Y866"/>
  <c r="Z866"/>
  <c r="Y867"/>
  <c r="Z867"/>
  <c r="Y868"/>
  <c r="Z868"/>
  <c r="Y869"/>
  <c r="Z869"/>
  <c r="Y870"/>
  <c r="Z870"/>
  <c r="Y871"/>
  <c r="Z871"/>
  <c r="Y872"/>
  <c r="Z872"/>
  <c r="Y873"/>
  <c r="Z873"/>
  <c r="Y874"/>
  <c r="Z874"/>
  <c r="Y875"/>
  <c r="Z875"/>
  <c r="Y876"/>
  <c r="Z876"/>
  <c r="Y877"/>
  <c r="Z877"/>
  <c r="Y878"/>
  <c r="Z878"/>
  <c r="Y879"/>
  <c r="Z879"/>
  <c r="Y880"/>
  <c r="Z880"/>
  <c r="Y881"/>
  <c r="Z881"/>
  <c r="Y882"/>
  <c r="Z882"/>
  <c r="Y883"/>
  <c r="Z883"/>
  <c r="Y884"/>
  <c r="Z884"/>
  <c r="Y885"/>
  <c r="Z885"/>
  <c r="Y886"/>
  <c r="Z886"/>
  <c r="Y887"/>
  <c r="Z887"/>
  <c r="Y888"/>
  <c r="Z888"/>
  <c r="Y889"/>
  <c r="Z889"/>
  <c r="Y890"/>
  <c r="Z890"/>
  <c r="Y891"/>
  <c r="Z891"/>
  <c r="Y892"/>
  <c r="Z892"/>
  <c r="Y893"/>
  <c r="Z893"/>
  <c r="Y894"/>
  <c r="Z894"/>
  <c r="Y895"/>
  <c r="Z895"/>
  <c r="Y896"/>
  <c r="Z896"/>
  <c r="Y897"/>
  <c r="Z897"/>
  <c r="Y898"/>
  <c r="Z898"/>
  <c r="Y899"/>
  <c r="Z899"/>
  <c r="Y900"/>
  <c r="Z900"/>
  <c r="Y901"/>
  <c r="Z901"/>
  <c r="Y902"/>
  <c r="Z902"/>
  <c r="Y903"/>
  <c r="Z903"/>
  <c r="Y904"/>
  <c r="Z904"/>
  <c r="Y905"/>
  <c r="Z905"/>
  <c r="Y906"/>
  <c r="Z906"/>
  <c r="Y907"/>
  <c r="Z907"/>
  <c r="Y908"/>
  <c r="Z908"/>
  <c r="Y909"/>
  <c r="Z909"/>
  <c r="Y910"/>
  <c r="Z910"/>
  <c r="Y911"/>
  <c r="Z911"/>
  <c r="Y912"/>
  <c r="Z912"/>
  <c r="Y913"/>
  <c r="Z913"/>
  <c r="Y914"/>
  <c r="Z914"/>
  <c r="Y915"/>
  <c r="Z915"/>
  <c r="Y916"/>
  <c r="Z916"/>
  <c r="Y917"/>
  <c r="Z917"/>
  <c r="Y918"/>
  <c r="Z918"/>
  <c r="Y919"/>
  <c r="Z919"/>
  <c r="Y920"/>
  <c r="Z920"/>
  <c r="Y921"/>
  <c r="Z921"/>
  <c r="Y922"/>
  <c r="Z922"/>
  <c r="Y923"/>
  <c r="Z923"/>
  <c r="Y924"/>
  <c r="Z924"/>
  <c r="Y925"/>
  <c r="Z925"/>
  <c r="Y926"/>
  <c r="Z926"/>
  <c r="Y927"/>
  <c r="Z927"/>
  <c r="Y928"/>
  <c r="Z928"/>
  <c r="Y929"/>
  <c r="Z929"/>
  <c r="Y930"/>
  <c r="Z930"/>
  <c r="Y931"/>
  <c r="Z931"/>
  <c r="Y932"/>
  <c r="Z932"/>
  <c r="Y933"/>
  <c r="Z933"/>
  <c r="Y934"/>
  <c r="Z934"/>
  <c r="Y935"/>
  <c r="Z935"/>
  <c r="Y936"/>
  <c r="Z936"/>
  <c r="Y937"/>
  <c r="Z937"/>
  <c r="Y938"/>
  <c r="Z938"/>
  <c r="Y939"/>
  <c r="Z939"/>
  <c r="Y940"/>
  <c r="Z940"/>
  <c r="Y941"/>
  <c r="Z941"/>
  <c r="Y942"/>
  <c r="Z942"/>
  <c r="Y943"/>
  <c r="Z943"/>
  <c r="Y944"/>
  <c r="Z944"/>
  <c r="Y945"/>
  <c r="Z945"/>
  <c r="Y946"/>
  <c r="Z946"/>
  <c r="Y947"/>
  <c r="Z947"/>
  <c r="Y948"/>
  <c r="Z948"/>
  <c r="Y949"/>
  <c r="Z949"/>
  <c r="Y950"/>
  <c r="Z950"/>
  <c r="Y951"/>
  <c r="Z951"/>
  <c r="Y952"/>
  <c r="Z952"/>
  <c r="Y953"/>
  <c r="Z953"/>
  <c r="Y954"/>
  <c r="Z954"/>
  <c r="Y955"/>
  <c r="Z955"/>
  <c r="Y956"/>
  <c r="Z956"/>
  <c r="Y957"/>
  <c r="Z957"/>
  <c r="Y958"/>
  <c r="Z958"/>
  <c r="Y959"/>
  <c r="Z959"/>
  <c r="Y960"/>
  <c r="Z960"/>
  <c r="Y961"/>
  <c r="Z961"/>
  <c r="Y962"/>
  <c r="Z962"/>
  <c r="Y963"/>
  <c r="Z963"/>
  <c r="Y964"/>
  <c r="Z964"/>
  <c r="Y965"/>
  <c r="Z965"/>
  <c r="Y966"/>
  <c r="Z966"/>
  <c r="Y967"/>
  <c r="Z967"/>
  <c r="Y968"/>
  <c r="Z968"/>
  <c r="Y969"/>
  <c r="Z969"/>
  <c r="Y970"/>
  <c r="Z970"/>
  <c r="Y971"/>
  <c r="Z971"/>
  <c r="Y972"/>
  <c r="Z972"/>
  <c r="Y973"/>
  <c r="Z973"/>
  <c r="Y974"/>
  <c r="Z974"/>
  <c r="Y975"/>
  <c r="Z975"/>
  <c r="Y976"/>
  <c r="Z976"/>
  <c r="Y977"/>
  <c r="Z977"/>
  <c r="Y978"/>
  <c r="Z978"/>
  <c r="Y979"/>
  <c r="Z979"/>
  <c r="Y980"/>
  <c r="Z980"/>
  <c r="Y981"/>
  <c r="Z981"/>
  <c r="Y982"/>
  <c r="Z982"/>
  <c r="Y983"/>
  <c r="Z983"/>
  <c r="Y984"/>
  <c r="Z984"/>
  <c r="Y985"/>
  <c r="Z985"/>
  <c r="Y986"/>
  <c r="Z986"/>
  <c r="Y987"/>
  <c r="Z987"/>
  <c r="Y988"/>
  <c r="Z988"/>
  <c r="Y989"/>
  <c r="Z989"/>
  <c r="Y990"/>
  <c r="Z990"/>
  <c r="Y991"/>
  <c r="Z991"/>
  <c r="Y992"/>
  <c r="Z992"/>
  <c r="Y993"/>
  <c r="Z993"/>
  <c r="Y994"/>
  <c r="Z994"/>
  <c r="Y995"/>
  <c r="Z995"/>
  <c r="Y996"/>
  <c r="Z996"/>
  <c r="Y997"/>
  <c r="Z997"/>
  <c r="Y998"/>
  <c r="Z998"/>
  <c r="Y999"/>
  <c r="Z999"/>
  <c r="Y1000"/>
  <c r="Z1000"/>
  <c r="Y1001"/>
  <c r="Z1001"/>
  <c r="Y1002"/>
  <c r="Z1002"/>
  <c r="Y1003"/>
  <c r="Z1003"/>
  <c r="Y1004"/>
  <c r="Z1004"/>
  <c r="Y1005"/>
  <c r="Z1005"/>
  <c r="Y1006"/>
  <c r="Z1006"/>
  <c r="Y1007"/>
  <c r="Z1007"/>
  <c r="Y1008"/>
  <c r="Z1008"/>
  <c r="Y1009"/>
  <c r="Z1009"/>
  <c r="Y1010"/>
  <c r="Z1010"/>
  <c r="Y1011"/>
  <c r="Z1011"/>
  <c r="Y1012"/>
  <c r="Z1012"/>
  <c r="Y1013"/>
  <c r="Z1013"/>
  <c r="Y1014"/>
  <c r="Z1014"/>
  <c r="Y1015"/>
  <c r="Z1015"/>
  <c r="Y1016"/>
  <c r="Z1016"/>
  <c r="Y1017"/>
  <c r="Z1017"/>
  <c r="Y1018"/>
  <c r="Z1018"/>
  <c r="Y1019"/>
  <c r="Z1019"/>
  <c r="Y1020"/>
  <c r="Z1020"/>
  <c r="Y1021"/>
  <c r="Z1021"/>
  <c r="Y1022"/>
  <c r="Z1022"/>
  <c r="Y1023"/>
  <c r="Z1023"/>
  <c r="Y1024"/>
  <c r="Z1024"/>
  <c r="Y1025"/>
  <c r="Z1025"/>
  <c r="Y1026"/>
  <c r="Z1026"/>
  <c r="Y1027"/>
  <c r="Z1027"/>
  <c r="Y1028"/>
  <c r="Z1028"/>
  <c r="Y1029"/>
  <c r="Z1029"/>
  <c r="Y1030"/>
  <c r="Z1030"/>
  <c r="Y1031"/>
  <c r="Z1031"/>
  <c r="Y1032"/>
  <c r="Z1032"/>
  <c r="Y1033"/>
  <c r="Z1033"/>
  <c r="Y1034"/>
  <c r="Z1034"/>
  <c r="Y1035"/>
  <c r="Z1035"/>
  <c r="Y1036"/>
  <c r="Z1036"/>
  <c r="Y1037"/>
  <c r="Z1037"/>
  <c r="Y1038"/>
  <c r="Z1038"/>
  <c r="Y1039"/>
  <c r="Z1039"/>
  <c r="Y1040"/>
  <c r="Z1040"/>
  <c r="Y1041"/>
  <c r="Z1041"/>
  <c r="Y1042"/>
  <c r="Z1042"/>
  <c r="Y1043"/>
  <c r="Z1043"/>
  <c r="Y1044"/>
  <c r="Z1044"/>
  <c r="Y1045"/>
  <c r="Z1045"/>
  <c r="Y1046"/>
  <c r="Z1046"/>
  <c r="Y1047"/>
  <c r="Z1047"/>
  <c r="Y1048"/>
  <c r="Z1048"/>
  <c r="Y1049"/>
  <c r="Z1049"/>
  <c r="Y1050"/>
  <c r="Z1050"/>
  <c r="Y1051"/>
  <c r="Z1051"/>
  <c r="Y1052"/>
  <c r="Z1052"/>
  <c r="Y1053"/>
  <c r="Z1053"/>
  <c r="Y1054"/>
  <c r="Z1054"/>
  <c r="Y1055"/>
  <c r="Z1055"/>
  <c r="Y1056"/>
  <c r="Z1056"/>
  <c r="Y1057"/>
  <c r="Z1057"/>
  <c r="Y1058"/>
  <c r="Z1058"/>
  <c r="Y1059"/>
  <c r="Z1059"/>
  <c r="Y1060"/>
  <c r="Z1060"/>
  <c r="Y1061"/>
  <c r="Z1061"/>
  <c r="Y1062"/>
  <c r="Z1062"/>
  <c r="Y1063"/>
  <c r="Z1063"/>
  <c r="Y1064"/>
  <c r="Z1064"/>
  <c r="Y1065"/>
  <c r="Z1065"/>
  <c r="Y1066"/>
  <c r="Z1066"/>
  <c r="Y1067"/>
  <c r="Z1067"/>
  <c r="Y1068"/>
  <c r="Z1068"/>
  <c r="Y1069"/>
  <c r="Z1069"/>
  <c r="Y1070"/>
  <c r="Z1070"/>
  <c r="Y1071"/>
  <c r="Z1071"/>
  <c r="Y1072"/>
  <c r="Z1072"/>
  <c r="Y1073"/>
  <c r="Z1073"/>
  <c r="Y1074"/>
  <c r="Z1074"/>
  <c r="Y1075"/>
  <c r="Z1075"/>
  <c r="Y1076"/>
  <c r="Z1076"/>
  <c r="Y1077"/>
  <c r="Z1077"/>
  <c r="Y1078"/>
  <c r="Z1078"/>
  <c r="Y1079"/>
  <c r="Z1079"/>
  <c r="Y1080"/>
  <c r="Z1080"/>
  <c r="Y1081"/>
  <c r="Z1081"/>
  <c r="Y1082"/>
  <c r="Z1082"/>
  <c r="Y1083"/>
  <c r="Z1083"/>
  <c r="Y1084"/>
  <c r="Z1084"/>
  <c r="Y1085"/>
  <c r="Z1085"/>
  <c r="Y1086"/>
  <c r="Z1086"/>
  <c r="Y1087"/>
  <c r="Z1087"/>
  <c r="Y1088"/>
  <c r="Z1088"/>
  <c r="Y1089"/>
  <c r="Z1089"/>
  <c r="Y1090"/>
  <c r="Z1090"/>
  <c r="Y1091"/>
  <c r="Z1091"/>
  <c r="Y1092"/>
  <c r="Z1092"/>
  <c r="Y1093"/>
  <c r="Z1093"/>
  <c r="Y1094"/>
  <c r="Z1094"/>
  <c r="Y1095"/>
  <c r="Z1095"/>
  <c r="Y1096"/>
  <c r="Z1096"/>
  <c r="Y1097"/>
  <c r="Z1097"/>
  <c r="Y1098"/>
  <c r="Z1098"/>
  <c r="Y1099"/>
  <c r="Z1099"/>
  <c r="Y1100"/>
  <c r="Z1100"/>
  <c r="Y1101"/>
  <c r="Z1101"/>
  <c r="Y1102"/>
  <c r="Z1102"/>
  <c r="Y1103"/>
  <c r="Z1103"/>
  <c r="Y1104"/>
  <c r="Z1104"/>
  <c r="Y1105"/>
  <c r="Z1105"/>
  <c r="Y1106"/>
  <c r="Z1106"/>
  <c r="Y1107"/>
  <c r="Z1107"/>
  <c r="Y1108"/>
  <c r="Z1108"/>
  <c r="Y1109"/>
  <c r="Z1109"/>
  <c r="Z1110"/>
  <c r="Y1111"/>
  <c r="Z1111"/>
  <c r="Y1112"/>
  <c r="Z1112"/>
  <c r="Y1113"/>
  <c r="Z1113"/>
  <c r="Y1114"/>
  <c r="Z1114"/>
  <c r="Y1115"/>
  <c r="Z1115"/>
  <c r="Y1116"/>
  <c r="Z1116"/>
  <c r="Y1117"/>
  <c r="Z1117"/>
  <c r="Y1118"/>
  <c r="Z1118"/>
  <c r="Y1119"/>
  <c r="Z1119"/>
  <c r="Y1120"/>
  <c r="Z1120"/>
  <c r="Y1121"/>
  <c r="Z1121"/>
  <c r="Y1122"/>
  <c r="Z1122"/>
  <c r="Y1123"/>
  <c r="Z1123"/>
  <c r="Y1124"/>
  <c r="Z1124"/>
  <c r="Y1125"/>
  <c r="Z1125"/>
  <c r="Y1126"/>
  <c r="Z1126"/>
  <c r="Y1127"/>
  <c r="Z1127"/>
  <c r="Y1128"/>
  <c r="Z1128"/>
  <c r="Y1129"/>
  <c r="Z1129"/>
  <c r="Y1130"/>
  <c r="Z1130"/>
  <c r="Y1131"/>
  <c r="Z1131"/>
  <c r="Y1132"/>
  <c r="Z1132"/>
  <c r="Y1133"/>
  <c r="Z1133"/>
  <c r="Y1134"/>
  <c r="Z1134"/>
  <c r="Y1135"/>
  <c r="Z1135"/>
  <c r="Y1136"/>
  <c r="Z1136"/>
  <c r="Y1137"/>
  <c r="Z1137"/>
  <c r="Y1138"/>
  <c r="Z1138"/>
  <c r="Y1139"/>
  <c r="Z1139"/>
  <c r="Y1140"/>
  <c r="Z1140"/>
  <c r="Y1141"/>
  <c r="Z1141"/>
  <c r="Y1142"/>
  <c r="Z1142"/>
  <c r="Y1143"/>
  <c r="Z1143"/>
  <c r="Y1144"/>
  <c r="Z1144"/>
  <c r="Y1145"/>
  <c r="Z1145"/>
  <c r="Y1146"/>
  <c r="Z1146"/>
  <c r="Y1147"/>
  <c r="Z1147"/>
  <c r="Y1148"/>
  <c r="Z1148"/>
  <c r="Y1149"/>
  <c r="Z1149"/>
  <c r="Y1150"/>
  <c r="Z1150"/>
  <c r="Y1151"/>
  <c r="Z1151"/>
  <c r="Y1152"/>
  <c r="Z1152"/>
  <c r="Y1153"/>
  <c r="Z1153"/>
  <c r="Y1154"/>
  <c r="Z1154"/>
  <c r="Y1155"/>
  <c r="Z1155"/>
  <c r="Y1156"/>
  <c r="Z1156"/>
  <c r="Y1157"/>
  <c r="Z1157"/>
  <c r="Y1158"/>
  <c r="Z1158"/>
  <c r="Y1159"/>
  <c r="Z1159"/>
  <c r="Y1160"/>
  <c r="Z1160"/>
  <c r="Y1161"/>
  <c r="Z1161"/>
  <c r="Y1162"/>
  <c r="Z1162"/>
  <c r="Y1163"/>
  <c r="Z1163"/>
  <c r="Y1164"/>
  <c r="Z1164"/>
  <c r="Y1165"/>
  <c r="Z1165"/>
  <c r="Y1166"/>
  <c r="Z1166"/>
  <c r="Y1167"/>
  <c r="Z1167"/>
  <c r="Y1168"/>
  <c r="Z1168"/>
  <c r="Y1169"/>
  <c r="Z1169"/>
  <c r="Y1170"/>
  <c r="Z1170"/>
  <c r="Y1171"/>
  <c r="Z1171"/>
  <c r="Y1172"/>
  <c r="Z1172"/>
  <c r="Y1173"/>
  <c r="Z1173"/>
  <c r="Y1174"/>
  <c r="Z1174"/>
  <c r="Y1175"/>
  <c r="Z1175"/>
  <c r="Y1176"/>
  <c r="Z1176"/>
  <c r="Y1177"/>
  <c r="Z1177"/>
  <c r="Y1178"/>
  <c r="Z1178"/>
  <c r="Y1179"/>
  <c r="Z1179"/>
  <c r="Y1180"/>
  <c r="Z1180"/>
  <c r="Y1181"/>
  <c r="Z1181"/>
  <c r="Y1182"/>
  <c r="Z1182"/>
  <c r="Y1183"/>
  <c r="Z1183"/>
  <c r="Y1184"/>
  <c r="Z1184"/>
  <c r="Y1185"/>
  <c r="Z1185"/>
  <c r="Y1186"/>
  <c r="Z1186"/>
  <c r="Y1187"/>
  <c r="Z1187"/>
  <c r="Y1188"/>
  <c r="Z1188"/>
  <c r="Y1189"/>
  <c r="Z1189"/>
  <c r="Y1190"/>
  <c r="Z1190"/>
  <c r="Y1191"/>
  <c r="Z1191"/>
  <c r="Y1192"/>
  <c r="Z1192"/>
  <c r="Y1193"/>
  <c r="Z1193"/>
  <c r="Y1194"/>
  <c r="Z1194"/>
  <c r="Y1195"/>
  <c r="Z1195"/>
  <c r="Y1196"/>
  <c r="Z1196"/>
  <c r="Y1197"/>
  <c r="Z1197"/>
  <c r="Y1198"/>
  <c r="Z1198"/>
  <c r="Y1199"/>
  <c r="Z1199"/>
  <c r="Y1200"/>
  <c r="Z1200"/>
  <c r="Y1201"/>
  <c r="Z1201"/>
  <c r="Y1202"/>
  <c r="Z1202"/>
  <c r="Y1203"/>
  <c r="Z1203"/>
  <c r="Y1204"/>
  <c r="Z1204"/>
  <c r="Y1205"/>
  <c r="Z1205"/>
  <c r="Y1206"/>
  <c r="Z1206"/>
  <c r="Y1207"/>
  <c r="Z1207"/>
  <c r="Y1208"/>
  <c r="Z1208"/>
  <c r="Y1209"/>
  <c r="Z1209"/>
  <c r="Y1210"/>
  <c r="Z1210"/>
  <c r="Y1211"/>
  <c r="Z1211"/>
  <c r="Y1212"/>
  <c r="Z1212"/>
  <c r="Y1213"/>
  <c r="Z1213"/>
  <c r="Y1214"/>
  <c r="Z1214"/>
  <c r="Y1215"/>
  <c r="Z1215"/>
  <c r="Y1216"/>
  <c r="Z1216"/>
  <c r="Z3"/>
  <c r="Y3"/>
  <c r="W168"/>
  <c r="W361"/>
  <c r="W13"/>
  <c r="W531"/>
  <c r="W42"/>
  <c r="W836"/>
  <c r="W917"/>
  <c r="W302"/>
  <c r="W457"/>
  <c r="W567"/>
  <c r="W428"/>
  <c r="W9"/>
  <c r="W186"/>
  <c r="W872"/>
  <c r="W1064"/>
  <c r="W1162"/>
  <c r="W1168"/>
  <c r="W229"/>
  <c r="W12"/>
  <c r="W1178"/>
  <c r="W675"/>
  <c r="W84"/>
  <c r="W72"/>
  <c r="W709"/>
  <c r="Z2"/>
  <c r="W648"/>
  <c r="Y778" l="1"/>
  <c r="W933"/>
  <c r="W1196"/>
  <c r="W382" l="1"/>
  <c r="W1021"/>
  <c r="W805"/>
  <c r="W343"/>
</calcChain>
</file>

<file path=xl/sharedStrings.xml><?xml version="1.0" encoding="utf-8"?>
<sst xmlns="http://schemas.openxmlformats.org/spreadsheetml/2006/main" count="16020" uniqueCount="2992">
  <si>
    <t>#</t>
  </si>
  <si>
    <t>Ariza raqami</t>
  </si>
  <si>
    <t>JSh Shir</t>
  </si>
  <si>
    <t>Seriya</t>
  </si>
  <si>
    <t>Raqam</t>
  </si>
  <si>
    <t>Telefon</t>
  </si>
  <si>
    <t>Tug' sana</t>
  </si>
  <si>
    <t>Ism</t>
  </si>
  <si>
    <t>Familiya</t>
  </si>
  <si>
    <t>Sharifi</t>
  </si>
  <si>
    <t>Ta'lim shakli</t>
  </si>
  <si>
    <t>Ta'lim tili</t>
  </si>
  <si>
    <t>Shifr</t>
  </si>
  <si>
    <t>Yo'nalish</t>
  </si>
  <si>
    <t>Natija</t>
  </si>
  <si>
    <t>O'tish bali</t>
  </si>
  <si>
    <t>Farq</t>
  </si>
  <si>
    <t>Bazaviy summa</t>
  </si>
  <si>
    <t>Bazaviy barobar</t>
  </si>
  <si>
    <t>Mandat</t>
  </si>
  <si>
    <t>Status</t>
  </si>
  <si>
    <t>Summa</t>
  </si>
  <si>
    <t>AC</t>
  </si>
  <si>
    <t>OTABEK</t>
  </si>
  <si>
    <t>BOZOROV</t>
  </si>
  <si>
    <t>ERKIN O‘G‘LI</t>
  </si>
  <si>
    <t>Kunduzgi</t>
  </si>
  <si>
    <t>O'zbekcha</t>
  </si>
  <si>
    <t>Yurisprudensiya (xalqaro transport huquqi)</t>
  </si>
  <si>
    <t>109.2</t>
  </si>
  <si>
    <t>161.7</t>
  </si>
  <si>
    <t>52.50</t>
  </si>
  <si>
    <t>9 809 260.00</t>
  </si>
  <si>
    <t>Tavsiya etilmagan</t>
  </si>
  <si>
    <t>qabul qilindi</t>
  </si>
  <si>
    <t>KA</t>
  </si>
  <si>
    <t>AMIRJON</t>
  </si>
  <si>
    <t>JAMALADDINOV</t>
  </si>
  <si>
    <t>TEMUR O‘G‘LI</t>
  </si>
  <si>
    <t>Sirtqi</t>
  </si>
  <si>
    <t>Yo‘l muhandisligi: avtomobil yo‘llarini qurish</t>
  </si>
  <si>
    <t>65.1</t>
  </si>
  <si>
    <t>78.75</t>
  </si>
  <si>
    <t>13.65</t>
  </si>
  <si>
    <t>8 219 893.00</t>
  </si>
  <si>
    <t>AB</t>
  </si>
  <si>
    <t>JAMSHID</t>
  </si>
  <si>
    <t>OTOXONOV</t>
  </si>
  <si>
    <t>XUSHNUDBEK O‘G‘LI</t>
  </si>
  <si>
    <t>Transport logistikasi (avtomobil transporti)</t>
  </si>
  <si>
    <t>52.5</t>
  </si>
  <si>
    <t>138.6</t>
  </si>
  <si>
    <t>86.10</t>
  </si>
  <si>
    <t>6 412 610.00</t>
  </si>
  <si>
    <t>UMIDJON</t>
  </si>
  <si>
    <t>HUSANBOYEV</t>
  </si>
  <si>
    <t>MAHMUDJON O‘G‘LI</t>
  </si>
  <si>
    <t>Ruscha</t>
  </si>
  <si>
    <t>Havodagi harakatni boshqarish</t>
  </si>
  <si>
    <t>32.55</t>
  </si>
  <si>
    <t>56.7</t>
  </si>
  <si>
    <t>24.15</t>
  </si>
  <si>
    <t>7 472 630.00</t>
  </si>
  <si>
    <t>ABDUKARIM</t>
  </si>
  <si>
    <t>SHOFIYEV</t>
  </si>
  <si>
    <t>ABDURAIMOVICH</t>
  </si>
  <si>
    <t>Mashinasozlik texnologiyasi, mashinasozlik ishlab chiqarishini jihozlash va avtomatlashtirish</t>
  </si>
  <si>
    <t>76.65</t>
  </si>
  <si>
    <t>85.05</t>
  </si>
  <si>
    <t>DAVRONBEK</t>
  </si>
  <si>
    <t>XO‘JAMURODOV</t>
  </si>
  <si>
    <t>HAMZA O‘G‘LI</t>
  </si>
  <si>
    <t>Transport vositalari muhandisligi: vagonlar</t>
  </si>
  <si>
    <t>79.8</t>
  </si>
  <si>
    <t>AD</t>
  </si>
  <si>
    <t>JAHONGIRMIRZO</t>
  </si>
  <si>
    <t>MADAMINOV</t>
  </si>
  <si>
    <t>ULUG‘BEK O‘G‘LI</t>
  </si>
  <si>
    <t>Iqtisodiyot (temir yo‘l transporti)</t>
  </si>
  <si>
    <t>86.1</t>
  </si>
  <si>
    <t>103.95</t>
  </si>
  <si>
    <t>17.85</t>
  </si>
  <si>
    <t>10 461 682.00</t>
  </si>
  <si>
    <t>ELDORBEK</t>
  </si>
  <si>
    <t>MUMINOV</t>
  </si>
  <si>
    <t>TO‘LQIN O‘G‘LI</t>
  </si>
  <si>
    <t>Elektr energetikasi (temir yo‘l transporti)</t>
  </si>
  <si>
    <t>60.9</t>
  </si>
  <si>
    <t>64.05</t>
  </si>
  <si>
    <t>ASADBEK</t>
  </si>
  <si>
    <t>G‘ANIYEV</t>
  </si>
  <si>
    <t>DILSHODBEK O‘G‘LI</t>
  </si>
  <si>
    <t>Kommunal infratuzilma va uy-joy kommunal xo'jaligini tashkil etish va boshqarish</t>
  </si>
  <si>
    <t>7 091 940.00</t>
  </si>
  <si>
    <t>DIYORBEK</t>
  </si>
  <si>
    <t>NURMAMATOV</t>
  </si>
  <si>
    <t>MAMATMUROT O‘G‘LI</t>
  </si>
  <si>
    <t>Transport vositalari muhandisligi: lokomotivlar</t>
  </si>
  <si>
    <t>108.15</t>
  </si>
  <si>
    <t>47.25</t>
  </si>
  <si>
    <t>HASAN</t>
  </si>
  <si>
    <t>TOSHPO‘LOTOV</t>
  </si>
  <si>
    <t>RUSTAM O‘G‘LI</t>
  </si>
  <si>
    <t>Yo‘l harakatini tashkil etish</t>
  </si>
  <si>
    <t>67.2</t>
  </si>
  <si>
    <t>113.4</t>
  </si>
  <si>
    <t>46.20</t>
  </si>
  <si>
    <t>AZAMAT</t>
  </si>
  <si>
    <t>SOTIMOV</t>
  </si>
  <si>
    <t>KARIMBOY O‘G‘LI</t>
  </si>
  <si>
    <t>Yo‘l muhandisligi: temir yo‘l qurilishi</t>
  </si>
  <si>
    <t>18.90</t>
  </si>
  <si>
    <t>OG‘ABEK</t>
  </si>
  <si>
    <t>RAHIMBOYEV</t>
  </si>
  <si>
    <t>RUSTAMBOY O‘G‘LI</t>
  </si>
  <si>
    <t>SARDOR</t>
  </si>
  <si>
    <t>RAHMONOV</t>
  </si>
  <si>
    <t>NODIR O‘G‘LI</t>
  </si>
  <si>
    <t>Elektr texnikasi, elektr mexanikasi va elektr texnologiyalari (temir yo‘l transporti)</t>
  </si>
  <si>
    <t>SHOXZOD</t>
  </si>
  <si>
    <t>XUDOYBERDIYEV</t>
  </si>
  <si>
    <t>ALISHEROVICH</t>
  </si>
  <si>
    <t>61.95</t>
  </si>
  <si>
    <t>91.35</t>
  </si>
  <si>
    <t>29.40</t>
  </si>
  <si>
    <t>DILSHOD</t>
  </si>
  <si>
    <t>IMOMQULOV</t>
  </si>
  <si>
    <t>DAVRONBEK O‘G‘LI</t>
  </si>
  <si>
    <t>BARNO</t>
  </si>
  <si>
    <t>O‘RALOVA</t>
  </si>
  <si>
    <t>XO‘JAMQUL QIZI</t>
  </si>
  <si>
    <t>Dasturiy injiniring</t>
  </si>
  <si>
    <t>87.15</t>
  </si>
  <si>
    <t>26.25</t>
  </si>
  <si>
    <t>9 129 930.00</t>
  </si>
  <si>
    <t>ALISHER</t>
  </si>
  <si>
    <t>ABDUKAYYUMOV</t>
  </si>
  <si>
    <t>ZAFARJON-O‘G‘LI</t>
  </si>
  <si>
    <t>Materialshunoslik va yangi materiallar texnologiyasi (temir yo‘l transporti)</t>
  </si>
  <si>
    <t>70.35</t>
  </si>
  <si>
    <t>75.6</t>
  </si>
  <si>
    <t>NAIMJON</t>
  </si>
  <si>
    <t>NAIMOV</t>
  </si>
  <si>
    <t>JAMSHID O‘G‘LI</t>
  </si>
  <si>
    <t>Texnologik jarayonlar va ishlab chiqarishni avtomatlashtirish va boshqarish (temir yo‘l transporti)</t>
  </si>
  <si>
    <t>AA</t>
  </si>
  <si>
    <t>FARRUX</t>
  </si>
  <si>
    <t>RAXIMOV</t>
  </si>
  <si>
    <t>FARXOD O‘G‘LI</t>
  </si>
  <si>
    <t>72.45</t>
  </si>
  <si>
    <t>ARKADIY</t>
  </si>
  <si>
    <t>BRUSENSKIY</t>
  </si>
  <si>
    <t>ALEKSEYEVICH</t>
  </si>
  <si>
    <t>Transport vositalari muhandisligi: avtomobil transporti</t>
  </si>
  <si>
    <t>68.25</t>
  </si>
  <si>
    <t>71.4</t>
  </si>
  <si>
    <t>XAMIDULLA</t>
  </si>
  <si>
    <t>GOFUR</t>
  </si>
  <si>
    <t>SAYDULLA O‘G‘LI</t>
  </si>
  <si>
    <t>Transportda tashishni tashkil etish va boshqarish (avtotransporti)</t>
  </si>
  <si>
    <t>44.1</t>
  </si>
  <si>
    <t>ELMUROD</t>
  </si>
  <si>
    <t>AXROROV</t>
  </si>
  <si>
    <t>FARHOD O‘G‘LI</t>
  </si>
  <si>
    <t>Axborot tizimlari va texnologiyalari (temir yo‘l transporti)</t>
  </si>
  <si>
    <t>107.1</t>
  </si>
  <si>
    <t>42.00</t>
  </si>
  <si>
    <t>ISFANDIYOR</t>
  </si>
  <si>
    <t>DJURAYEV</t>
  </si>
  <si>
    <t>ALISHEVICH</t>
  </si>
  <si>
    <t>16.80</t>
  </si>
  <si>
    <t>AKBAR</t>
  </si>
  <si>
    <t>OMONOV</t>
  </si>
  <si>
    <t>SHERALI O‘G‘LI</t>
  </si>
  <si>
    <t>Yo‘l muhandisligi: ko‘priklar va tonellar</t>
  </si>
  <si>
    <t>74.55</t>
  </si>
  <si>
    <t>UMIDA</t>
  </si>
  <si>
    <t>ISRAILOVA</t>
  </si>
  <si>
    <t>NIGMATOVNA</t>
  </si>
  <si>
    <t>57.75</t>
  </si>
  <si>
    <t>SHAHZOD</t>
  </si>
  <si>
    <t>ABDISHUKUROV</t>
  </si>
  <si>
    <t>BOYMUROD O‘G‘LI</t>
  </si>
  <si>
    <t>XUSNIDDIN</t>
  </si>
  <si>
    <t>MATHIDDINOV</t>
  </si>
  <si>
    <t>QAMARIDDIN O‘G‘LI</t>
  </si>
  <si>
    <t>Marketing (avtomobil transporti)</t>
  </si>
  <si>
    <t>88.2</t>
  </si>
  <si>
    <t>ISLOM</t>
  </si>
  <si>
    <t>FARMONOV</t>
  </si>
  <si>
    <t>IBODILLOYEVICH</t>
  </si>
  <si>
    <t>Yo‘l muhandisligi: avtomobil yo‘llari ekspluatatsiyasi</t>
  </si>
  <si>
    <t>XUDAYBERGANOV</t>
  </si>
  <si>
    <t>SHUHRATBEK O‘G‘LI</t>
  </si>
  <si>
    <t>73.5</t>
  </si>
  <si>
    <t>JAVOHIR</t>
  </si>
  <si>
    <t>G‘AYBULLAYEV</t>
  </si>
  <si>
    <t>ILHOMJON O‘G‘LI</t>
  </si>
  <si>
    <t>58.8</t>
  </si>
  <si>
    <t>82.95</t>
  </si>
  <si>
    <t>YUNUSBEK</t>
  </si>
  <si>
    <t>RAYIMJONOV</t>
  </si>
  <si>
    <t>KARIMJON O‘G‘LI</t>
  </si>
  <si>
    <t>JOBIR</t>
  </si>
  <si>
    <t>CHORIYEV</t>
  </si>
  <si>
    <t>SUNNAT O‘G‘LI</t>
  </si>
  <si>
    <t>Metrologiya, standartlashtirish va mahsulot sifati menejmenti (avtomobil transporti)</t>
  </si>
  <si>
    <t>69.3</t>
  </si>
  <si>
    <t>ZAFAR</t>
  </si>
  <si>
    <t>KUCHMURATOV</t>
  </si>
  <si>
    <t>NASIRILLOYEVICH</t>
  </si>
  <si>
    <t>54.6</t>
  </si>
  <si>
    <t>YERLAN</t>
  </si>
  <si>
    <t>AYIMBETOV</t>
  </si>
  <si>
    <t>KUANISHEVICH</t>
  </si>
  <si>
    <t>KAMOLA</t>
  </si>
  <si>
    <t>XUSHVAKOVA</t>
  </si>
  <si>
    <t>YULDASHEVNA</t>
  </si>
  <si>
    <t>Transportda tashishni tashkil etish va boshqarish (temir yo‘l transporti)</t>
  </si>
  <si>
    <t>97.65</t>
  </si>
  <si>
    <t>ASRORBEK</t>
  </si>
  <si>
    <t>AMINOV</t>
  </si>
  <si>
    <t>BAHODIR O‘G‘LI</t>
  </si>
  <si>
    <t>51.45</t>
  </si>
  <si>
    <t>117.6</t>
  </si>
  <si>
    <t>66.15</t>
  </si>
  <si>
    <t>MUXAMMADKARIM</t>
  </si>
  <si>
    <t>ERGASHALIYEV</t>
  </si>
  <si>
    <t>NURMUXAMMAD O‘G‘LI</t>
  </si>
  <si>
    <t>AROFAT</t>
  </si>
  <si>
    <t>RAXMATOVA</t>
  </si>
  <si>
    <t>RUSTAM QIZI</t>
  </si>
  <si>
    <t>Havo kemalarining texnik ekspluatatsiyasi</t>
  </si>
  <si>
    <t>MO‘MINJON</t>
  </si>
  <si>
    <t>XOLMUROTOV</t>
  </si>
  <si>
    <t>SHUXRAT O‘G‘LI</t>
  </si>
  <si>
    <t>158.55</t>
  </si>
  <si>
    <t>ABDUSAMAT</t>
  </si>
  <si>
    <t>TUXTASHEV</t>
  </si>
  <si>
    <t>ABDUSALOMOVICH</t>
  </si>
  <si>
    <t>Mehnat muhofazasi va texnika xavfsizligi (transport)</t>
  </si>
  <si>
    <t>81.9</t>
  </si>
  <si>
    <t>ELYOR</t>
  </si>
  <si>
    <t>BURONOV</t>
  </si>
  <si>
    <t>CHORI O‘G‘LI</t>
  </si>
  <si>
    <t>SAG‘IDULLA</t>
  </si>
  <si>
    <t>KUTLIMURATOV</t>
  </si>
  <si>
    <t>AYTMURAT ULI</t>
  </si>
  <si>
    <t>SULAYMON</t>
  </si>
  <si>
    <t>TONGOTAROV</t>
  </si>
  <si>
    <t>ALISHERBEK O‘G‘LI</t>
  </si>
  <si>
    <t>Buxgalteriya hisobi va audit (temir yo‘l transporti)</t>
  </si>
  <si>
    <t>102.9</t>
  </si>
  <si>
    <t>28.35</t>
  </si>
  <si>
    <t>ABDULLOX</t>
  </si>
  <si>
    <t>ALIMOV</t>
  </si>
  <si>
    <t>MIRQOBIL O‘G‘LI</t>
  </si>
  <si>
    <t>SUXROBBEK</t>
  </si>
  <si>
    <t>KURBANOV</t>
  </si>
  <si>
    <t>BAXROM O‘G‘LI</t>
  </si>
  <si>
    <t>SHAXBOZ</t>
  </si>
  <si>
    <t>ZAMONOV</t>
  </si>
  <si>
    <t>NIZOM O‘G‘LI</t>
  </si>
  <si>
    <t>48.3</t>
  </si>
  <si>
    <t>110.25</t>
  </si>
  <si>
    <t>XOJIAKBAR</t>
  </si>
  <si>
    <t>TOXIROV</t>
  </si>
  <si>
    <t>ABRORJON O‘G‘LI</t>
  </si>
  <si>
    <t>QALANDAR</t>
  </si>
  <si>
    <t>XOLIQULOV</t>
  </si>
  <si>
    <t>ZULQAYNAR O‘G‘LI</t>
  </si>
  <si>
    <t>SHOHRUH</t>
  </si>
  <si>
    <t>ESHNAZAROV</t>
  </si>
  <si>
    <t>ABDIJABBOR O‘G‘LI</t>
  </si>
  <si>
    <t>SHOHZOD</t>
  </si>
  <si>
    <t>NURMETOV</t>
  </si>
  <si>
    <t>YARASH O‘G‘LI</t>
  </si>
  <si>
    <t>15.75</t>
  </si>
  <si>
    <t>ABROR</t>
  </si>
  <si>
    <t>XO‘SHVAQTOV</t>
  </si>
  <si>
    <t>SAMANDAR O‘G‘LI</t>
  </si>
  <si>
    <t>55.65</t>
  </si>
  <si>
    <t>SHERZOD</t>
  </si>
  <si>
    <t>ABDIRAZAXOV</t>
  </si>
  <si>
    <t>SHUXRAT UG‘LI</t>
  </si>
  <si>
    <t>MIRALIMOV</t>
  </si>
  <si>
    <t>MIRVALI O‘G‘LI</t>
  </si>
  <si>
    <t>90.3</t>
  </si>
  <si>
    <t>33.60</t>
  </si>
  <si>
    <t>XURSANDJAN</t>
  </si>
  <si>
    <t>KABULOV</t>
  </si>
  <si>
    <t>AYBEKOVICH</t>
  </si>
  <si>
    <t>SHAXOBIDDIN</t>
  </si>
  <si>
    <t>SAFAROV</t>
  </si>
  <si>
    <t>SHOYMARDON O‘G‘LI</t>
  </si>
  <si>
    <t>Transport vositalari muhandisligi: ixtisoslashtirilgan transport vositalari</t>
  </si>
  <si>
    <t>59.85</t>
  </si>
  <si>
    <t>NIG‘MATOV</t>
  </si>
  <si>
    <t>100.8</t>
  </si>
  <si>
    <t>37.80</t>
  </si>
  <si>
    <t>SHOXIDA</t>
  </si>
  <si>
    <t>IBRAGIMOVA</t>
  </si>
  <si>
    <t>ABDURASHIDOVNA</t>
  </si>
  <si>
    <t>AZIZJON</t>
  </si>
  <si>
    <t>SHUXRATJONOV</t>
  </si>
  <si>
    <t>AKMAL O‘G‘LI</t>
  </si>
  <si>
    <t>MIRPO'LAT</t>
  </si>
  <si>
    <t>MIRXOJIEV</t>
  </si>
  <si>
    <t>MIRTEMIR O'G'LI</t>
  </si>
  <si>
    <t>122.85</t>
  </si>
  <si>
    <t>38.85</t>
  </si>
  <si>
    <t>YODGOROY</t>
  </si>
  <si>
    <t>DILMURODOVA</t>
  </si>
  <si>
    <t>DILMUROD QIZI</t>
  </si>
  <si>
    <t>Buxgalteriya hisobi va audit (avtomobil transporti)</t>
  </si>
  <si>
    <t>DONIYOR</t>
  </si>
  <si>
    <t>MADIRIM O‘G‘LI</t>
  </si>
  <si>
    <t>QAMARIDDIN</t>
  </si>
  <si>
    <t>MO‘MINOV</t>
  </si>
  <si>
    <t>RO‘ZIMBEKOVICH</t>
  </si>
  <si>
    <t>SANJAR</t>
  </si>
  <si>
    <t>TUXTAYEV</t>
  </si>
  <si>
    <t>JUMANAZAR O‘G‘LI</t>
  </si>
  <si>
    <t>KARIM</t>
  </si>
  <si>
    <t>MATIMOV</t>
  </si>
  <si>
    <t>DARYABAYEVICH</t>
  </si>
  <si>
    <t>NARGIZA</t>
  </si>
  <si>
    <t>MAMATOVA</t>
  </si>
  <si>
    <t>BOZOR QIZI</t>
  </si>
  <si>
    <t>NAFISA</t>
  </si>
  <si>
    <t>NASILLOYEVA</t>
  </si>
  <si>
    <t>NIYOZOVNA</t>
  </si>
  <si>
    <t>OZODAXON</t>
  </si>
  <si>
    <t>QAYUMJONOVA</t>
  </si>
  <si>
    <t>MAXMUDJON QIZI</t>
  </si>
  <si>
    <t>BOBIRJON</t>
  </si>
  <si>
    <t>RAXIMQULOV</t>
  </si>
  <si>
    <t>BEKZOD O‘G‘LI</t>
  </si>
  <si>
    <t>Radoielektron qurilmalar va tizimlar (temir yo‘l transporti)</t>
  </si>
  <si>
    <t>96.6</t>
  </si>
  <si>
    <t>34.65</t>
  </si>
  <si>
    <t>XIDIROV</t>
  </si>
  <si>
    <t>ORIFJON O‘G‘LI</t>
  </si>
  <si>
    <t>Ekologiya va atrof-muhit muhofazasi (avtomobil transporti)</t>
  </si>
  <si>
    <t>94.5</t>
  </si>
  <si>
    <t>95.55</t>
  </si>
  <si>
    <t>ELYORJON</t>
  </si>
  <si>
    <t>XUSANOV</t>
  </si>
  <si>
    <t>KOMILJON O‘G‘LI</t>
  </si>
  <si>
    <t>Muhandislik kommunikatsiyalari qurilishi va montaji (transport tizimlarida suv ta'minoti va kanalizatsiya)</t>
  </si>
  <si>
    <t>77.7</t>
  </si>
  <si>
    <t>AKBARALI</t>
  </si>
  <si>
    <t>IKROMOV</t>
  </si>
  <si>
    <t>AKROM O‘G‘LI</t>
  </si>
  <si>
    <t>Yo‘l muhandisligi: avtomobil yo‘llarini loyihalash</t>
  </si>
  <si>
    <t>DOSTON</t>
  </si>
  <si>
    <t>JALILOV</t>
  </si>
  <si>
    <t>SHUKRULLA O‘G‘LI</t>
  </si>
  <si>
    <t>AZIZBEK</t>
  </si>
  <si>
    <t>QUVONDIQ O‘G‘LI</t>
  </si>
  <si>
    <t>BERKINJON</t>
  </si>
  <si>
    <t>NURULLAYEV</t>
  </si>
  <si>
    <t>ILXOMOVICH</t>
  </si>
  <si>
    <t>21.00</t>
  </si>
  <si>
    <t>SARVINOZ</t>
  </si>
  <si>
    <t>TURDIBOYEVA</t>
  </si>
  <si>
    <t>XAYRULLA QIZI</t>
  </si>
  <si>
    <t>AZAMATJON</t>
  </si>
  <si>
    <t>TURG‘UNOV</t>
  </si>
  <si>
    <t>BUNYODJON O‘G‘LI</t>
  </si>
  <si>
    <t>RAJABOV</t>
  </si>
  <si>
    <t>OYBEK O‘G‘LI</t>
  </si>
  <si>
    <t>AXMEDOV</t>
  </si>
  <si>
    <t>JUMA O‘G‘LI</t>
  </si>
  <si>
    <t>44.10</t>
  </si>
  <si>
    <t>XUSAN</t>
  </si>
  <si>
    <t>ASATULLAYEV</t>
  </si>
  <si>
    <t>DONIYOR O‘G‘LI</t>
  </si>
  <si>
    <t>XOLMURATOV</t>
  </si>
  <si>
    <t>G‘ULOM O‘G‘LI</t>
  </si>
  <si>
    <t>71.40</t>
  </si>
  <si>
    <t>TEMUR</t>
  </si>
  <si>
    <t>YULDASHEV</t>
  </si>
  <si>
    <t>BAXTIYOROVICH</t>
  </si>
  <si>
    <t>50.4</t>
  </si>
  <si>
    <t>XURSHIDA</t>
  </si>
  <si>
    <t>SAIPOVA</t>
  </si>
  <si>
    <t>ABDUVALI QIZI</t>
  </si>
  <si>
    <t>SHAXZODBEK</t>
  </si>
  <si>
    <t>BURIYEV</t>
  </si>
  <si>
    <t>SALIMJON O‘G‘LI</t>
  </si>
  <si>
    <t>40.95</t>
  </si>
  <si>
    <t>FOTIMA</t>
  </si>
  <si>
    <t>TOJIMIRZAYEVA</t>
  </si>
  <si>
    <t>JAVLONBEK QIZI</t>
  </si>
  <si>
    <t>31.50</t>
  </si>
  <si>
    <t>BAXRAM</t>
  </si>
  <si>
    <t>MATIYAKUBOV</t>
  </si>
  <si>
    <t>ALLAMBERGANOVICH</t>
  </si>
  <si>
    <t>XASAN</t>
  </si>
  <si>
    <t>SOLIYEV</t>
  </si>
  <si>
    <t>ZOXIDJON O‘G‘LI</t>
  </si>
  <si>
    <t>93.45</t>
  </si>
  <si>
    <t>FARXOD</t>
  </si>
  <si>
    <t>KUYSINOVICH</t>
  </si>
  <si>
    <t>NORMURODOV</t>
  </si>
  <si>
    <t>OLIMJON O‘G‘LI</t>
  </si>
  <si>
    <t>Iqtisodiyot (avtomobil transporti)</t>
  </si>
  <si>
    <t>92.4</t>
  </si>
  <si>
    <t>MUXRIDDIN</t>
  </si>
  <si>
    <t>SHARIPOV</t>
  </si>
  <si>
    <t>IXTIYOROVICH</t>
  </si>
  <si>
    <t>SHOXMIRON</t>
  </si>
  <si>
    <t>OZODOV</t>
  </si>
  <si>
    <t>VAXOBJON O‘G‘LI</t>
  </si>
  <si>
    <t>BEHRUZBEK</t>
  </si>
  <si>
    <t>QURYAZOV</t>
  </si>
  <si>
    <t>SUXROB</t>
  </si>
  <si>
    <t>SAYITQULOV</t>
  </si>
  <si>
    <t>MANSUR O‘G‘LI</t>
  </si>
  <si>
    <t>43.05</t>
  </si>
  <si>
    <t>35.70</t>
  </si>
  <si>
    <t>SHAXZOD</t>
  </si>
  <si>
    <t>UMAROV</t>
  </si>
  <si>
    <t>XAMIDA</t>
  </si>
  <si>
    <t>FAYZULLAYEVA</t>
  </si>
  <si>
    <t>O‘TKIR QIZI</t>
  </si>
  <si>
    <t>MIRZOULUG‘BEK</t>
  </si>
  <si>
    <t>NAMOZOV</t>
  </si>
  <si>
    <t>ABDULHAKIM O‘G‘LI</t>
  </si>
  <si>
    <t>ULUG‘BEK</t>
  </si>
  <si>
    <t>QULSOATOV</t>
  </si>
  <si>
    <t>ISLAM</t>
  </si>
  <si>
    <t>49.35</t>
  </si>
  <si>
    <t>YUNUS</t>
  </si>
  <si>
    <t>BAXRANKULOV</t>
  </si>
  <si>
    <t>YUSUPOVICH</t>
  </si>
  <si>
    <t>SULAYMONOV</t>
  </si>
  <si>
    <t>MANSUROVICH</t>
  </si>
  <si>
    <t>53.55</t>
  </si>
  <si>
    <t>25.20</t>
  </si>
  <si>
    <t>ANVAR</t>
  </si>
  <si>
    <t>RUZIQULOV</t>
  </si>
  <si>
    <t>ALIMARDANOVICH</t>
  </si>
  <si>
    <t>JAVOXIR</t>
  </si>
  <si>
    <t>NUG‘MATOV</t>
  </si>
  <si>
    <t>SOBIRJON O‘G‘LI</t>
  </si>
  <si>
    <t>JA’SUR</t>
  </si>
  <si>
    <t>JAMOLIDDIN O‘G‘LI</t>
  </si>
  <si>
    <t>BEKBUTAYEV</t>
  </si>
  <si>
    <t>G‘AYBULLA O‘G‘LI</t>
  </si>
  <si>
    <t>KARIMOV</t>
  </si>
  <si>
    <t>ABDULLO</t>
  </si>
  <si>
    <t>ZARIPOV</t>
  </si>
  <si>
    <t>ILXOM O‘G‘LI</t>
  </si>
  <si>
    <t>39.9</t>
  </si>
  <si>
    <t>98.70</t>
  </si>
  <si>
    <t>RUSLAN</t>
  </si>
  <si>
    <t>IBADULLAYEV</t>
  </si>
  <si>
    <t>MATKARIM O‘G‘LI</t>
  </si>
  <si>
    <t>SARDORBEK</t>
  </si>
  <si>
    <t>IMOMALIYEV</t>
  </si>
  <si>
    <t>O‘LJAQO‘ZI O‘G‘LI</t>
  </si>
  <si>
    <t>SIROJIDDIN</t>
  </si>
  <si>
    <t>SALOXIDDINOV</t>
  </si>
  <si>
    <t>ZAVQIDDIN O‘G‘LI</t>
  </si>
  <si>
    <t>SAMANDAR</t>
  </si>
  <si>
    <t>XOSHIMOV</t>
  </si>
  <si>
    <t>ABDUGAFFAR O‘G‘LI</t>
  </si>
  <si>
    <t>45.15</t>
  </si>
  <si>
    <t>TURG‘UNBOYEV</t>
  </si>
  <si>
    <t>SHAVKAT O‘G‘LI</t>
  </si>
  <si>
    <t>ZILOLA</t>
  </si>
  <si>
    <t>TURAYEVA</t>
  </si>
  <si>
    <t>ABDUQODIR QIZI</t>
  </si>
  <si>
    <t>XAMIDOV</t>
  </si>
  <si>
    <t>MALIKOVICH</t>
  </si>
  <si>
    <t>JASUR</t>
  </si>
  <si>
    <t>AZIZOV</t>
  </si>
  <si>
    <t>RAHIMBEK O‘G‘LI</t>
  </si>
  <si>
    <t>NOSIRIDDIN</t>
  </si>
  <si>
    <t>UROL O‘G‘LI</t>
  </si>
  <si>
    <t>XAYDAROV</t>
  </si>
  <si>
    <t>MUSURMON O‘G‘LI</t>
  </si>
  <si>
    <t>60.90</t>
  </si>
  <si>
    <t>O‘TKIR</t>
  </si>
  <si>
    <t>UBAYDULLO O‘G‘LI</t>
  </si>
  <si>
    <t>JAMOLXO‘JA</t>
  </si>
  <si>
    <t>TOHIROV</t>
  </si>
  <si>
    <t>SHAROFIDDIN O‘G‘LI</t>
  </si>
  <si>
    <t>99.75</t>
  </si>
  <si>
    <t>RAXIMNAZAROV</t>
  </si>
  <si>
    <t>MUZAFFAR</t>
  </si>
  <si>
    <t>SHERZOD O‘G‘LI</t>
  </si>
  <si>
    <t>JAMSHED</t>
  </si>
  <si>
    <t>UKTAMOVICH</t>
  </si>
  <si>
    <t>ANVARJON</t>
  </si>
  <si>
    <t>AKBARALIYEV</t>
  </si>
  <si>
    <t>AG‘ZAM O‘G‘LI</t>
  </si>
  <si>
    <t>Bino va inshootlar qurilishi (transport binolari)</t>
  </si>
  <si>
    <t>27.30</t>
  </si>
  <si>
    <t>RUSTAM</t>
  </si>
  <si>
    <t>XUDOYQULOV</t>
  </si>
  <si>
    <t>ISOM O‘G‘LI</t>
  </si>
  <si>
    <t>SARVAR</t>
  </si>
  <si>
    <t>ERGASHEV</t>
  </si>
  <si>
    <t>HASANOV</t>
  </si>
  <si>
    <t>USMON O‘G‘LI</t>
  </si>
  <si>
    <t>Tavsiya etilgan</t>
  </si>
  <si>
    <t>JAHONGIR</t>
  </si>
  <si>
    <t>AXMADJONOV</t>
  </si>
  <si>
    <t>AXROR O‘G‘LI</t>
  </si>
  <si>
    <t>ABDULXOSHIM</t>
  </si>
  <si>
    <t>MALIKOV</t>
  </si>
  <si>
    <t>ABDULLA O‘G‘LI</t>
  </si>
  <si>
    <t>ABDUKARIMOV</t>
  </si>
  <si>
    <t>MUZAFAR</t>
  </si>
  <si>
    <t>IBRAGIMOV</t>
  </si>
  <si>
    <t>Transport vositalari muhandisligi: ko‘tarish-tashish, yo‘l va qurilish mashinalari</t>
  </si>
  <si>
    <t>ABDUQODIR</t>
  </si>
  <si>
    <t>YULDOSHEV</t>
  </si>
  <si>
    <t>JO‘RA O‘G‘LI</t>
  </si>
  <si>
    <t>Aviatsiya injiniringi</t>
  </si>
  <si>
    <t>102.64</t>
  </si>
  <si>
    <t>36.49</t>
  </si>
  <si>
    <t>SHOAZIMJON</t>
  </si>
  <si>
    <t>SHOVOXOBOV</t>
  </si>
  <si>
    <t>FARRUX O‘G‘LI</t>
  </si>
  <si>
    <t>ASALXON</t>
  </si>
  <si>
    <t>EGAMOVA</t>
  </si>
  <si>
    <t>UMID QIZI</t>
  </si>
  <si>
    <t>ABDULAZIZ</t>
  </si>
  <si>
    <t>UKTAMOV</t>
  </si>
  <si>
    <t>BOTIRJONOVICH</t>
  </si>
  <si>
    <t>XUDOYBERDI</t>
  </si>
  <si>
    <t>QODIROV</t>
  </si>
  <si>
    <t>SAFAR O‘G‘LI</t>
  </si>
  <si>
    <t>QARSHIYEV</t>
  </si>
  <si>
    <t>ABDINABI O‘G‘LI</t>
  </si>
  <si>
    <t>XALILOV</t>
  </si>
  <si>
    <t>QAHRAMONOVICH</t>
  </si>
  <si>
    <t>ERKINOV</t>
  </si>
  <si>
    <t>MAXMUD O‘G‘LI</t>
  </si>
  <si>
    <t>SUNAT O‘G‘LI</t>
  </si>
  <si>
    <t>QOBILOV</t>
  </si>
  <si>
    <t>AZIZ O‘G‘LI</t>
  </si>
  <si>
    <t>ODINABONU</t>
  </si>
  <si>
    <t>ERGASHEVA</t>
  </si>
  <si>
    <t>MAXAMADAMIN QIZI</t>
  </si>
  <si>
    <t>30.45</t>
  </si>
  <si>
    <t>BALTABAYEV</t>
  </si>
  <si>
    <t>XAMID O‘G‘LI</t>
  </si>
  <si>
    <t>KAPUOV</t>
  </si>
  <si>
    <t>MEYRIMXANOVICH</t>
  </si>
  <si>
    <t>SHIRINBOYEV</t>
  </si>
  <si>
    <t>FAYZULLA O‘G‘LI</t>
  </si>
  <si>
    <t>TOG‘AYEV</t>
  </si>
  <si>
    <t>ZOKIROVICH</t>
  </si>
  <si>
    <t>G‘ULOMJONOV</t>
  </si>
  <si>
    <t>ILXOM-O‘G‘LI</t>
  </si>
  <si>
    <t>MAGAMED</t>
  </si>
  <si>
    <t>QUDRATOV</t>
  </si>
  <si>
    <t>QUDRATOVICH</t>
  </si>
  <si>
    <t>AZIZ</t>
  </si>
  <si>
    <t>SADIKOV</t>
  </si>
  <si>
    <t>BATIRKULOVICH</t>
  </si>
  <si>
    <t>NORIMON</t>
  </si>
  <si>
    <t>TUREYEV</t>
  </si>
  <si>
    <t>AMAN UG‘LI</t>
  </si>
  <si>
    <t>SHAXRIYOR</t>
  </si>
  <si>
    <t>ZIYADULLAYEV</t>
  </si>
  <si>
    <t>AZAMAT O‘G‘LI</t>
  </si>
  <si>
    <t>ERALI</t>
  </si>
  <si>
    <t>YO‘LDOSHEV</t>
  </si>
  <si>
    <t>BAHROM O‘G‘LI</t>
  </si>
  <si>
    <t>MALIKA</t>
  </si>
  <si>
    <t>PAZILOVA</t>
  </si>
  <si>
    <t>TEMUROVNA</t>
  </si>
  <si>
    <t>48.30</t>
  </si>
  <si>
    <t>XAYITOVA</t>
  </si>
  <si>
    <t>G‘ANISHER QIZI</t>
  </si>
  <si>
    <t>SHOHIJAXON</t>
  </si>
  <si>
    <t>O‘RAZOV</t>
  </si>
  <si>
    <t>SHEROZJON O‘G‘LI</t>
  </si>
  <si>
    <t>101.85</t>
  </si>
  <si>
    <t>KOMILJON</t>
  </si>
  <si>
    <t>QOBIL O‘G‘LI</t>
  </si>
  <si>
    <t>KARSHIBAYEV</t>
  </si>
  <si>
    <t>MARAT O‘G‘LI</t>
  </si>
  <si>
    <t>SHUKUROV</t>
  </si>
  <si>
    <t>MUHAMMAD</t>
  </si>
  <si>
    <t>14.70</t>
  </si>
  <si>
    <t>HUSNIDDIN</t>
  </si>
  <si>
    <t>ESHQULOV</t>
  </si>
  <si>
    <t>O‘TKIR O‘G‘LI</t>
  </si>
  <si>
    <t>ILXOM</t>
  </si>
  <si>
    <t>SARDAROV</t>
  </si>
  <si>
    <t>IKROMJON O‘G‘LI</t>
  </si>
  <si>
    <t>MURODJON O‘G‘LI</t>
  </si>
  <si>
    <t>SHAHZODA</t>
  </si>
  <si>
    <t>MAVLAMBERGENOVA</t>
  </si>
  <si>
    <t>PULAT QIZI</t>
  </si>
  <si>
    <t>39.90</t>
  </si>
  <si>
    <t>ERGASHBOYEV</t>
  </si>
  <si>
    <t>QOBILJON O‘G‘LI</t>
  </si>
  <si>
    <t>63.00</t>
  </si>
  <si>
    <t>ABBOS</t>
  </si>
  <si>
    <t>SABUROV</t>
  </si>
  <si>
    <t>AYBEK O‘G‘LI</t>
  </si>
  <si>
    <t>ALIMARDONOV</t>
  </si>
  <si>
    <t>JUMANAZAROVICH</t>
  </si>
  <si>
    <t>BAXADIR</t>
  </si>
  <si>
    <t>KURBANBAYEV</t>
  </si>
  <si>
    <t>FARXAT ULI</t>
  </si>
  <si>
    <t>G‘OFURJON</t>
  </si>
  <si>
    <t>G‘AYRATOVICH</t>
  </si>
  <si>
    <t>XURSHIDBEK</t>
  </si>
  <si>
    <t>TOSHPO‘LATOV</t>
  </si>
  <si>
    <t>DILSHOD O‘G‘LI</t>
  </si>
  <si>
    <t>BEHRO‘Z</t>
  </si>
  <si>
    <t>ALIMARDANOV</t>
  </si>
  <si>
    <t>ZOIR O‘G‘LI</t>
  </si>
  <si>
    <t>JALOLIDDIN</t>
  </si>
  <si>
    <t>QAHRAMONOV</t>
  </si>
  <si>
    <t>ALISHER O‘G‘LI</t>
  </si>
  <si>
    <t>BAHODIR</t>
  </si>
  <si>
    <t>SHODIYEV</t>
  </si>
  <si>
    <t>HAMDAM O‘G‘LI</t>
  </si>
  <si>
    <t>Yo‘l muhandisligi: temir yo‘l ekspluatatsiyasi</t>
  </si>
  <si>
    <t>80.85</t>
  </si>
  <si>
    <t>AKROM</t>
  </si>
  <si>
    <t>HAQBERDIYEV</t>
  </si>
  <si>
    <t>XUDOYNAZAR O‘G‘LI</t>
  </si>
  <si>
    <t>TO‘LQIN</t>
  </si>
  <si>
    <t>BOTIROV</t>
  </si>
  <si>
    <t>Marketing (temir yo‘l transporti)</t>
  </si>
  <si>
    <t>FAZLIDDIN</t>
  </si>
  <si>
    <t>QUVONDIQOV</t>
  </si>
  <si>
    <t>SHAMSIDDIN O‘G‘LI</t>
  </si>
  <si>
    <t>46.2</t>
  </si>
  <si>
    <t>67.20</t>
  </si>
  <si>
    <t>MA’RUF</t>
  </si>
  <si>
    <t>TEMIROV</t>
  </si>
  <si>
    <t>FAXRIDDIN O‘G‘LI</t>
  </si>
  <si>
    <t>BG</t>
  </si>
  <si>
    <t>Mavzuna</t>
  </si>
  <si>
    <t>Baxriddinova</t>
  </si>
  <si>
    <t>Sirojidinovna</t>
  </si>
  <si>
    <t>BAXTIYOR</t>
  </si>
  <si>
    <t>ANVAR O‘G‘LI</t>
  </si>
  <si>
    <t>ALIMARDON</t>
  </si>
  <si>
    <t>ESHANKULOV</t>
  </si>
  <si>
    <t>ALIMOVICH</t>
  </si>
  <si>
    <t>QAXRAMON</t>
  </si>
  <si>
    <t>NUMONOV</t>
  </si>
  <si>
    <t>ABDULLAJONOV</t>
  </si>
  <si>
    <t>G‘AYRATJON O‘G‘LI</t>
  </si>
  <si>
    <t>155.4</t>
  </si>
  <si>
    <t>G‘OLIBSHER</t>
  </si>
  <si>
    <t>UMATALIYEV</t>
  </si>
  <si>
    <t>G‘ANISHER O‘G‘LI</t>
  </si>
  <si>
    <t>XUJASHEV</t>
  </si>
  <si>
    <t>SAPAROVICH</t>
  </si>
  <si>
    <t>JOXONGIR</t>
  </si>
  <si>
    <t>OLIMOV</t>
  </si>
  <si>
    <t>ODILJON O‘G‘LI</t>
  </si>
  <si>
    <t>AKRAM</t>
  </si>
  <si>
    <t>RIZOQULOV</t>
  </si>
  <si>
    <t>SHOVQIYEV</t>
  </si>
  <si>
    <t>XAYRULLO O‘G‘LI</t>
  </si>
  <si>
    <t>ELDOR</t>
  </si>
  <si>
    <t>TUYCHIYEV</t>
  </si>
  <si>
    <t>RANO</t>
  </si>
  <si>
    <t>RAUPOVA</t>
  </si>
  <si>
    <t>RAXMATULLAYEVNA</t>
  </si>
  <si>
    <t>SHAVQIDDIN</t>
  </si>
  <si>
    <t>MUHIDDINOV</t>
  </si>
  <si>
    <t>XABIBULLO</t>
  </si>
  <si>
    <t>ABDULLAYEV</t>
  </si>
  <si>
    <t>NURLIBEK</t>
  </si>
  <si>
    <t>MULLAMADIYAROVICH</t>
  </si>
  <si>
    <t>KOMILBEK</t>
  </si>
  <si>
    <t>BAXTIYOROV</t>
  </si>
  <si>
    <t>SHERZODJON</t>
  </si>
  <si>
    <t>RUZMATJON-O‘G‘LI</t>
  </si>
  <si>
    <t>NODIRBEK</t>
  </si>
  <si>
    <t>ABDUJABBOROV</t>
  </si>
  <si>
    <t>A’ZAM O‘G‘LI</t>
  </si>
  <si>
    <t>AKBARXUJA</t>
  </si>
  <si>
    <t>HUSAINOV</t>
  </si>
  <si>
    <t>NE’MAT O‘G‘LI</t>
  </si>
  <si>
    <t>KAMOLIDDIN</t>
  </si>
  <si>
    <t>ALISHEROV</t>
  </si>
  <si>
    <t>TOG‘AYNAZAROV</t>
  </si>
  <si>
    <t>RAVSHANBEK O‘G‘LI</t>
  </si>
  <si>
    <t>ISLOMJON</t>
  </si>
  <si>
    <t>XAMROQULOV</t>
  </si>
  <si>
    <t>G‘ULOMJONOVICH</t>
  </si>
  <si>
    <t>JO‘RABEK</t>
  </si>
  <si>
    <t>ESHPO‘LATOV</t>
  </si>
  <si>
    <t>FAYZULLO O‘G‘LI</t>
  </si>
  <si>
    <t>ELBEK</t>
  </si>
  <si>
    <t>TOSHTEMIROV</t>
  </si>
  <si>
    <t>YASHIN O‘G‘LI</t>
  </si>
  <si>
    <t>SAMARJON</t>
  </si>
  <si>
    <t>SAYFIYEV</t>
  </si>
  <si>
    <t>FAYZULLAYEVICH</t>
  </si>
  <si>
    <t>ABDURAYIMOV</t>
  </si>
  <si>
    <t>ABDUAKIM O‘G‘LI</t>
  </si>
  <si>
    <t>65.10</t>
  </si>
  <si>
    <t>XAYDARALI</t>
  </si>
  <si>
    <t>XAMDAMOV</t>
  </si>
  <si>
    <t>XAYRULLOYEVICH</t>
  </si>
  <si>
    <t>SHAROFIDDIN</t>
  </si>
  <si>
    <t>RASHIDOV</t>
  </si>
  <si>
    <t>RAUFOVICH</t>
  </si>
  <si>
    <t>ISMATULLAYEVICH</t>
  </si>
  <si>
    <t>ORIF</t>
  </si>
  <si>
    <t>ISLOMOV</t>
  </si>
  <si>
    <t>NURMAMATOVICH</t>
  </si>
  <si>
    <t>MIRSIDDIQ</t>
  </si>
  <si>
    <t>ISMATOV</t>
  </si>
  <si>
    <t>MIRQULOV</t>
  </si>
  <si>
    <t>ZARIF O‘G‘LI</t>
  </si>
  <si>
    <t>BO‘RONBOYEV</t>
  </si>
  <si>
    <t>ABDURASUL O‘G‘LI</t>
  </si>
  <si>
    <t>AKMALJON</t>
  </si>
  <si>
    <t>XASAN O‘G‘LI</t>
  </si>
  <si>
    <t>ZULFIYA</t>
  </si>
  <si>
    <t>RAXIMOVA</t>
  </si>
  <si>
    <t>SOHIBJON QIZI</t>
  </si>
  <si>
    <t>XUDOYOR</t>
  </si>
  <si>
    <t>RAMOZONOV</t>
  </si>
  <si>
    <t>XXX</t>
  </si>
  <si>
    <t>MARJONA</t>
  </si>
  <si>
    <t>JONIQULOVA</t>
  </si>
  <si>
    <t>ORZI QIZI</t>
  </si>
  <si>
    <t>ABDUG‘OPPOROV</t>
  </si>
  <si>
    <t>ABDUVAQQOS O‘G‘LI</t>
  </si>
  <si>
    <t>GULZADA</t>
  </si>
  <si>
    <t>ALLAMURATOVA</t>
  </si>
  <si>
    <t>ZARIPBAEVNA</t>
  </si>
  <si>
    <t>DAMIR</t>
  </si>
  <si>
    <t>BAXRAMOVICH</t>
  </si>
  <si>
    <t>DJEMILOV</t>
  </si>
  <si>
    <t>ENVEROVICH</t>
  </si>
  <si>
    <t>JO‘RAYEV</t>
  </si>
  <si>
    <t>XOSILBEK</t>
  </si>
  <si>
    <t>KARIMBAYEV</t>
  </si>
  <si>
    <t>ATABEK O‘G‘LI</t>
  </si>
  <si>
    <t>36.75</t>
  </si>
  <si>
    <t>SHAVKAT</t>
  </si>
  <si>
    <t>MUSAYEV</t>
  </si>
  <si>
    <t>MAXMARIZAYEVICH</t>
  </si>
  <si>
    <t>SHAXZODAXON</t>
  </si>
  <si>
    <t>KAMOLOVA</t>
  </si>
  <si>
    <t>NURULLA QIZI</t>
  </si>
  <si>
    <t>NIGORA</t>
  </si>
  <si>
    <t>XATAMOVA</t>
  </si>
  <si>
    <t>ABDUMALIKOVNA</t>
  </si>
  <si>
    <t>ABDUXAMID</t>
  </si>
  <si>
    <t>ABDUMURODOV</t>
  </si>
  <si>
    <t>SAYDULLAYEV</t>
  </si>
  <si>
    <t>RUSTAMOVICH</t>
  </si>
  <si>
    <t>ADHAMJON</t>
  </si>
  <si>
    <t>ZULFIQOROV</t>
  </si>
  <si>
    <t>EGAMBERDI O‘G‘LI</t>
  </si>
  <si>
    <t>ABDURAXIMOV</t>
  </si>
  <si>
    <t>UMIDJON O‘G‘LI</t>
  </si>
  <si>
    <t>SHOHRUXBEK</t>
  </si>
  <si>
    <t>SHUHRAT O‘G‘LI</t>
  </si>
  <si>
    <t>121.8</t>
  </si>
  <si>
    <t>AYDOS</t>
  </si>
  <si>
    <t>KALIMBAYEV</t>
  </si>
  <si>
    <t>MARAT ULI</t>
  </si>
  <si>
    <t>19.95</t>
  </si>
  <si>
    <t>MUXAMMADALI</t>
  </si>
  <si>
    <t>BAYDULLAYEV</t>
  </si>
  <si>
    <t>IN’OMIDDIN O‘G‘LI</t>
  </si>
  <si>
    <t>MAGOMEDOV</t>
  </si>
  <si>
    <t>SHOVKAT O‘G‘LI</t>
  </si>
  <si>
    <t>SODIQ</t>
  </si>
  <si>
    <t>ABSAMATOV</t>
  </si>
  <si>
    <t>ACHILOVA</t>
  </si>
  <si>
    <t>ROZIKOVNA</t>
  </si>
  <si>
    <t>SAIDAKMAL</t>
  </si>
  <si>
    <t>SAIDAKBAROV</t>
  </si>
  <si>
    <t>SAIDAKROM O‘G‘LI</t>
  </si>
  <si>
    <t>YUSUPOV</t>
  </si>
  <si>
    <t>DIANA</t>
  </si>
  <si>
    <t>XUDAYBERGENOVA</t>
  </si>
  <si>
    <t>POLAT QIZI</t>
  </si>
  <si>
    <t>35.7</t>
  </si>
  <si>
    <t>SARDORJON</t>
  </si>
  <si>
    <t>SODIQ O‘G‘LI</t>
  </si>
  <si>
    <t>GULXAYO</t>
  </si>
  <si>
    <t>YUSUFOVA</t>
  </si>
  <si>
    <t>MUZAFFAR QIZI</t>
  </si>
  <si>
    <t>128.1</t>
  </si>
  <si>
    <t>MUSTAFAQULOVA</t>
  </si>
  <si>
    <t>SHUHRAT QIZI</t>
  </si>
  <si>
    <t>AKBAROV</t>
  </si>
  <si>
    <t>ALIJON O‘G‘LI</t>
  </si>
  <si>
    <t>MELISOV</t>
  </si>
  <si>
    <t>ALI O‘G‘LI</t>
  </si>
  <si>
    <t>UCHQUN</t>
  </si>
  <si>
    <t>NAYIMOV</t>
  </si>
  <si>
    <t>UKTAMJON O‘G‘LI</t>
  </si>
  <si>
    <t>IBODOV</t>
  </si>
  <si>
    <t>SADRIDDIN O‘G‘LI</t>
  </si>
  <si>
    <t>FIRUZ</t>
  </si>
  <si>
    <t>JUMAYEV</t>
  </si>
  <si>
    <t>ITOLMASOVICH</t>
  </si>
  <si>
    <t>SHAXLO</t>
  </si>
  <si>
    <t>MURTAZAYEVA</t>
  </si>
  <si>
    <t>NIZOMIDDIN QIZI</t>
  </si>
  <si>
    <t>NORYIGITOV</t>
  </si>
  <si>
    <t>ASQAROVICH</t>
  </si>
  <si>
    <t>50.40</t>
  </si>
  <si>
    <t>KASIMOV</t>
  </si>
  <si>
    <t>SUYUNDIKOVICH</t>
  </si>
  <si>
    <t>BEKZOD</t>
  </si>
  <si>
    <t>ISMOIL O‘G‘LI</t>
  </si>
  <si>
    <t>EGAMSHUKIROV</t>
  </si>
  <si>
    <t>OCHILDI O‘G‘LI</t>
  </si>
  <si>
    <t>MIRZOXID</t>
  </si>
  <si>
    <t>SHOVKATOV</t>
  </si>
  <si>
    <t>TURSUNBOY O‘G‘LI</t>
  </si>
  <si>
    <t>89.25</t>
  </si>
  <si>
    <t>URINBOYEV</t>
  </si>
  <si>
    <t>ILHOMJON</t>
  </si>
  <si>
    <t>ISMAT O‘G‘LI</t>
  </si>
  <si>
    <t>RUZIQULOVA</t>
  </si>
  <si>
    <t>AXMAT QIZI</t>
  </si>
  <si>
    <t>JALIL O‘G‘LI</t>
  </si>
  <si>
    <t>FARIDJON</t>
  </si>
  <si>
    <t>QO‘ZIYEV</t>
  </si>
  <si>
    <t>ZOYIR</t>
  </si>
  <si>
    <t>ASROROV</t>
  </si>
  <si>
    <t>AHTAM O‘G‘LI</t>
  </si>
  <si>
    <t>JAXONGIR O‘G‘LI</t>
  </si>
  <si>
    <t>DOSTONBEK</t>
  </si>
  <si>
    <t>RAVUSHANOV</t>
  </si>
  <si>
    <t>MUZAFFARBEK</t>
  </si>
  <si>
    <t>JAKBARALI O‘G‘LI</t>
  </si>
  <si>
    <t>UMIDAXON</t>
  </si>
  <si>
    <t>JO'RABOYEVA</t>
  </si>
  <si>
    <t>MA'MURJON QIZI</t>
  </si>
  <si>
    <t>XAMROYEV</t>
  </si>
  <si>
    <t>G‘AYRAT O‘G‘LI</t>
  </si>
  <si>
    <t>133.35</t>
  </si>
  <si>
    <t>SOATOV</t>
  </si>
  <si>
    <t>RUSLAN O‘G‘LI</t>
  </si>
  <si>
    <t>JO‘RAQULOV</t>
  </si>
  <si>
    <t>BEG‘AMJON O‘G‘LI</t>
  </si>
  <si>
    <t>ABRORXO‘JA</t>
  </si>
  <si>
    <t>NAJMIDDINOV</t>
  </si>
  <si>
    <t>111.3</t>
  </si>
  <si>
    <t>BOBURMIRZO</t>
  </si>
  <si>
    <t>ANVAROV</t>
  </si>
  <si>
    <t>TAVAKKALJON O‘G‘LI</t>
  </si>
  <si>
    <t>Yo‘l muhandisligi: avtomobil yo‘llarini arxitektura-landshaft konstruktsiyalash</t>
  </si>
  <si>
    <t>RUSTAMJON</t>
  </si>
  <si>
    <t>RAXMATJON O‘G‘LI</t>
  </si>
  <si>
    <t>IQBOL</t>
  </si>
  <si>
    <t>SUYUNOV</t>
  </si>
  <si>
    <t>IKROM O‘G‘LI</t>
  </si>
  <si>
    <t>MOHIRA</t>
  </si>
  <si>
    <t>XUDOYBERDIYEVA</t>
  </si>
  <si>
    <t>ESHALI QIZI</t>
  </si>
  <si>
    <t>ATABEK</t>
  </si>
  <si>
    <t>SARSENBAYEV</t>
  </si>
  <si>
    <t>XOLMATOV</t>
  </si>
  <si>
    <t>RO‘ZIBOY O‘G‘LI</t>
  </si>
  <si>
    <t>MUROD</t>
  </si>
  <si>
    <t>XO‘ROZOV</t>
  </si>
  <si>
    <t>MUSTOFOQUL O‘G‘LI</t>
  </si>
  <si>
    <t>ELOMONOV</t>
  </si>
  <si>
    <t>SANJAR O‘G‘LI</t>
  </si>
  <si>
    <t>ABDUJABBOR</t>
  </si>
  <si>
    <t>ABDUSATTOROV</t>
  </si>
  <si>
    <t>JAVLON O‘G‘LI</t>
  </si>
  <si>
    <t>DAVRBEK</t>
  </si>
  <si>
    <t>GULMURODOV</t>
  </si>
  <si>
    <t>RAFAEL O‘G‘LI</t>
  </si>
  <si>
    <t>BEXZOD</t>
  </si>
  <si>
    <t>MIRDJAMALOV</t>
  </si>
  <si>
    <t>SHAVKATJON O‘G‘LI</t>
  </si>
  <si>
    <t>DIYORA</t>
  </si>
  <si>
    <t>YODGOROVA</t>
  </si>
  <si>
    <t>DILSHOD QIZI</t>
  </si>
  <si>
    <t>NORBOBOYEV</t>
  </si>
  <si>
    <t>MUSURMONOV</t>
  </si>
  <si>
    <t>QAMARIDIN O‘G‘LI</t>
  </si>
  <si>
    <t>G‘ANIJON</t>
  </si>
  <si>
    <t>ELIYEV</t>
  </si>
  <si>
    <t>HASAN O‘G‘LI</t>
  </si>
  <si>
    <t>RAVSHAN</t>
  </si>
  <si>
    <t>SHOHJAHON</t>
  </si>
  <si>
    <t>UMARALI O‘G‘LI</t>
  </si>
  <si>
    <t>SANJARBEK</t>
  </si>
  <si>
    <t>TOSHPO‘LAT O‘G‘LI</t>
  </si>
  <si>
    <t>BAXROMJONOVICH</t>
  </si>
  <si>
    <t>SHAXNOZ</t>
  </si>
  <si>
    <t>XAYDAROVA</t>
  </si>
  <si>
    <t>GAYRATOVNA</t>
  </si>
  <si>
    <t>GULMIRA</t>
  </si>
  <si>
    <t>IZATILLAYEVA</t>
  </si>
  <si>
    <t>MAMAJANOVNA</t>
  </si>
  <si>
    <t>ORZUMUROD</t>
  </si>
  <si>
    <t>TO‘RAYEV</t>
  </si>
  <si>
    <t>ABDIG‘ANI O‘G‘LI</t>
  </si>
  <si>
    <t>JALOLADDIN</t>
  </si>
  <si>
    <t>JUMABAYEV</t>
  </si>
  <si>
    <t>G‘OLIBJON</t>
  </si>
  <si>
    <t>ALIYEVICH</t>
  </si>
  <si>
    <t>JAVLONBEK</t>
  </si>
  <si>
    <t>Yo‘l muhandisligi: avtomobil yo‘llaridagi sun'iy inshootlar</t>
  </si>
  <si>
    <t>SHOMIRZAYEV</t>
  </si>
  <si>
    <t>VASLIDDIN</t>
  </si>
  <si>
    <t>XOLMUROD O‘G‘LI</t>
  </si>
  <si>
    <t>Transport vositalari muhandisligi: metropoliten</t>
  </si>
  <si>
    <t>DILDORA</t>
  </si>
  <si>
    <t>ASHILBAYEVA</t>
  </si>
  <si>
    <t>KURALBAY QIZI</t>
  </si>
  <si>
    <t>FOZILOV</t>
  </si>
  <si>
    <t>JASURBEK</t>
  </si>
  <si>
    <t>XURSANOV</t>
  </si>
  <si>
    <t>Yo‘l muhandisligi: shahar yo‘llari va ko‘chalar</t>
  </si>
  <si>
    <t>G‘AFUR</t>
  </si>
  <si>
    <t>QURBANOV</t>
  </si>
  <si>
    <t>SHAKIROVICH</t>
  </si>
  <si>
    <t>ABDUVOSID</t>
  </si>
  <si>
    <t>G‘OFUR O‘G‘LI</t>
  </si>
  <si>
    <t>TANGIROV</t>
  </si>
  <si>
    <t>FIRDAVS</t>
  </si>
  <si>
    <t>SADIROV</t>
  </si>
  <si>
    <t>SANJAROVICH</t>
  </si>
  <si>
    <t>SHOUMAROV</t>
  </si>
  <si>
    <t>SHOJALIL O‘G‘LI</t>
  </si>
  <si>
    <t>ZAYNIDINOV</t>
  </si>
  <si>
    <t>NASRIDDINOVICH</t>
  </si>
  <si>
    <t>45.94</t>
  </si>
  <si>
    <t>SHOXRUX</t>
  </si>
  <si>
    <t>BOLTAYEV</t>
  </si>
  <si>
    <t>OTABEK O‘G‘LI</t>
  </si>
  <si>
    <t>SAYFULLO</t>
  </si>
  <si>
    <t>SHIRINOV</t>
  </si>
  <si>
    <t>G‘ULOMOV</t>
  </si>
  <si>
    <t>MUHAMMADQODIR</t>
  </si>
  <si>
    <t>XAMIDJON O‘G‘LI</t>
  </si>
  <si>
    <t>NODIRA</t>
  </si>
  <si>
    <t>RAXIMJONOVA</t>
  </si>
  <si>
    <t>QODIRJON QIZI</t>
  </si>
  <si>
    <t>ZARINA</t>
  </si>
  <si>
    <t>RAXMONOVA</t>
  </si>
  <si>
    <t>ABDUMAVLON QIZI</t>
  </si>
  <si>
    <t>ELBEKJON</t>
  </si>
  <si>
    <t>XABIBULLA O‘G‘LI</t>
  </si>
  <si>
    <t>ANVARSHO</t>
  </si>
  <si>
    <t>GULAMOV</t>
  </si>
  <si>
    <t>XAYDAROVICH</t>
  </si>
  <si>
    <t>RAYIMOV</t>
  </si>
  <si>
    <t>ZOKIR O‘G‘LI</t>
  </si>
  <si>
    <t>BOTIRJON</t>
  </si>
  <si>
    <t>BO‘STONOV</t>
  </si>
  <si>
    <t>BAXROMJON O‘G‘LI</t>
  </si>
  <si>
    <t>RAMAZON O‘G‘LI</t>
  </si>
  <si>
    <t>UMARBEK</t>
  </si>
  <si>
    <t>OTABEKOVICH</t>
  </si>
  <si>
    <t>MURODOV</t>
  </si>
  <si>
    <t>BOTIRALI O‘G‘LI</t>
  </si>
  <si>
    <t>54.60</t>
  </si>
  <si>
    <t>ABDIMUROTOV</t>
  </si>
  <si>
    <t>SHOXZODBEK</t>
  </si>
  <si>
    <t>XAITOV</t>
  </si>
  <si>
    <t>MO‘MINJON O‘G‘LI</t>
  </si>
  <si>
    <t>ILXOMBOYEVICH</t>
  </si>
  <si>
    <t>ZUXRIDDIN</t>
  </si>
  <si>
    <t>XUDAYBERDIYEV</t>
  </si>
  <si>
    <t>GAFUR O‘G‘LI</t>
  </si>
  <si>
    <t>XUSHVAKOV</t>
  </si>
  <si>
    <t>AMIRXONOVICH</t>
  </si>
  <si>
    <t>NASRULLAYEV</t>
  </si>
  <si>
    <t>BOBUR</t>
  </si>
  <si>
    <t>ABDURAXIMOVICH</t>
  </si>
  <si>
    <t>MIRJALOL</t>
  </si>
  <si>
    <t>BOLIBOYEV</t>
  </si>
  <si>
    <t>SHAHABBOS</t>
  </si>
  <si>
    <t>UNGBOYEV</t>
  </si>
  <si>
    <t>QUVONCHBEK</t>
  </si>
  <si>
    <t>ABDIJABBOROV</t>
  </si>
  <si>
    <t>SHAMSIDDIN</t>
  </si>
  <si>
    <t>GULYAMOV</t>
  </si>
  <si>
    <t>SAXOBIDDIN</t>
  </si>
  <si>
    <t>BOZORBOYEV</t>
  </si>
  <si>
    <t>AMINBAYEV</t>
  </si>
  <si>
    <t>ZERIPBAYEVICH</t>
  </si>
  <si>
    <t>MUHAMMADJON</t>
  </si>
  <si>
    <t>MAMATOV</t>
  </si>
  <si>
    <t>MAMARASUL O‘G‘LI</t>
  </si>
  <si>
    <t>56.70</t>
  </si>
  <si>
    <t>OXUNOV</t>
  </si>
  <si>
    <t>AVAZBEK O‘G‘LI</t>
  </si>
  <si>
    <t>DONIYORBEK</t>
  </si>
  <si>
    <t>DAVLETOV</t>
  </si>
  <si>
    <t>AXMAD O‘G‘LI</t>
  </si>
  <si>
    <t>AKROMJON O‘G‘LI</t>
  </si>
  <si>
    <t>ILYOS O‘G‘LI</t>
  </si>
  <si>
    <t>ABDIRASHIDOV</t>
  </si>
  <si>
    <t>ILHOM O‘G‘LI</t>
  </si>
  <si>
    <t>AMONOV</t>
  </si>
  <si>
    <t>106.05</t>
  </si>
  <si>
    <t>TO‘XTASINOV</t>
  </si>
  <si>
    <t>MUZAFFAR O‘G‘LI</t>
  </si>
  <si>
    <t>ASLIDDIN</t>
  </si>
  <si>
    <t>XUSHVAQOV</t>
  </si>
  <si>
    <t>ISOMIDDIN O‘G‘LI</t>
  </si>
  <si>
    <t>Texnologik masinalar va jihozlar (temir yo‘l transporti)</t>
  </si>
  <si>
    <t>DILXUSHBEK</t>
  </si>
  <si>
    <t>IDIRISOV</t>
  </si>
  <si>
    <t>MALLAYEV</t>
  </si>
  <si>
    <t>ISKANDAROV</t>
  </si>
  <si>
    <t>ABDIMUTALIP O‘G‘LI</t>
  </si>
  <si>
    <t>HODIYEV</t>
  </si>
  <si>
    <t>G‘IYOSJON</t>
  </si>
  <si>
    <t>ILYOSJON O‘G‘LI</t>
  </si>
  <si>
    <t>SULTONBEK</t>
  </si>
  <si>
    <t>SHAHRIYOROV</t>
  </si>
  <si>
    <t>XOLIYOR O‘G‘LI</t>
  </si>
  <si>
    <t>G‘OLIB</t>
  </si>
  <si>
    <t>MIRYULDASHEV</t>
  </si>
  <si>
    <t>MASHRAF O‘G‘LI</t>
  </si>
  <si>
    <t>ZAFAROV</t>
  </si>
  <si>
    <t>ZAFAROVICH</t>
  </si>
  <si>
    <t>BEKMURATOVA</t>
  </si>
  <si>
    <t>BAXITOVNA</t>
  </si>
  <si>
    <t>RUSTAMOV</t>
  </si>
  <si>
    <t>SHAMILEVICH</t>
  </si>
  <si>
    <t>SODIKOVICH</t>
  </si>
  <si>
    <t>ABDUJAMOLOV</t>
  </si>
  <si>
    <t>Transport vositalari muhandisligi: elektr transporti</t>
  </si>
  <si>
    <t>MAJITOV</t>
  </si>
  <si>
    <t>ABDUMALIKOVICH</t>
  </si>
  <si>
    <t>XASANOV</t>
  </si>
  <si>
    <t>NODIROVICH</t>
  </si>
  <si>
    <t>ABROR O‘G‘LI</t>
  </si>
  <si>
    <t>RAKISHEVA</t>
  </si>
  <si>
    <t>ABDUNABI QIZI</t>
  </si>
  <si>
    <t>NURBOYEV</t>
  </si>
  <si>
    <t>NARZULLA O‘G‘LI</t>
  </si>
  <si>
    <t>124.95</t>
  </si>
  <si>
    <t>XONDAMIR</t>
  </si>
  <si>
    <t>POLVONOV</t>
  </si>
  <si>
    <t>MAVLON</t>
  </si>
  <si>
    <t>TUYBEKOV</t>
  </si>
  <si>
    <t>USENOVICH</t>
  </si>
  <si>
    <t>OZODBEK</t>
  </si>
  <si>
    <t>BOBONOROV</t>
  </si>
  <si>
    <t>RO‘ZIQUL O‘G‘LI</t>
  </si>
  <si>
    <t>ASHIRKULOV</t>
  </si>
  <si>
    <t>JAVLONBEK O‘G‘LI</t>
  </si>
  <si>
    <t>SARVARBEK</t>
  </si>
  <si>
    <t>KUVONDIKOV</t>
  </si>
  <si>
    <t>AKBAR O‘G‘LI</t>
  </si>
  <si>
    <t>ISMIGUL</t>
  </si>
  <si>
    <t>MIRZAYEVA</t>
  </si>
  <si>
    <t>ALMARDON QIZI</t>
  </si>
  <si>
    <t>SALOXIDDIN</t>
  </si>
  <si>
    <t>ABDURAUPOV</t>
  </si>
  <si>
    <t>SIROJIDDIN O‘G‘LI</t>
  </si>
  <si>
    <t>MAXMUDALI</t>
  </si>
  <si>
    <t>AXMADJANOV</t>
  </si>
  <si>
    <t>KOMIL O‘G‘LI</t>
  </si>
  <si>
    <t>ULBOSIN</t>
  </si>
  <si>
    <t>ASHIRBEKOVA</t>
  </si>
  <si>
    <t>NURIDDIN QIZI</t>
  </si>
  <si>
    <t>ABDULLOH</t>
  </si>
  <si>
    <t>MANNOBOV</t>
  </si>
  <si>
    <t>RAIMBOYEV</t>
  </si>
  <si>
    <t>QUDRAT O‘G‘LI</t>
  </si>
  <si>
    <t>MUXIDDIN</t>
  </si>
  <si>
    <t>MIRZAYEV</t>
  </si>
  <si>
    <t>AXROR</t>
  </si>
  <si>
    <t>ABDUMANNOB O‘G‘LI</t>
  </si>
  <si>
    <t>SIDIKOV</t>
  </si>
  <si>
    <t>G‘ULOMJON O‘G‘LI</t>
  </si>
  <si>
    <t>DILMUROD</t>
  </si>
  <si>
    <t>TO‘RA O‘G‘LI</t>
  </si>
  <si>
    <t>98.7</t>
  </si>
  <si>
    <t>JAXONGIR</t>
  </si>
  <si>
    <t>ABDURAXMONOV</t>
  </si>
  <si>
    <t>TOJIMAMAT O‘G‘LI</t>
  </si>
  <si>
    <t>RUZIYEVICH</t>
  </si>
  <si>
    <t>G‘ANISHER</t>
  </si>
  <si>
    <t>ALINA</t>
  </si>
  <si>
    <t>KASHENOVA</t>
  </si>
  <si>
    <t>MARATOVNA</t>
  </si>
  <si>
    <t>MUHRIDDIN</t>
  </si>
  <si>
    <t>YADGAROV</t>
  </si>
  <si>
    <t>AKTAM O‘G‘LI</t>
  </si>
  <si>
    <t>GULRUX</t>
  </si>
  <si>
    <t>FARMANOVA</t>
  </si>
  <si>
    <t>BAXTIYOROVNA</t>
  </si>
  <si>
    <t>SHUXRATJON</t>
  </si>
  <si>
    <t>SODIKJONOV</t>
  </si>
  <si>
    <t>FAYZULLA</t>
  </si>
  <si>
    <t>ABDISATTOROV</t>
  </si>
  <si>
    <t>ABDINOSIR O‘G‘LI</t>
  </si>
  <si>
    <t>ESHMAMATOV</t>
  </si>
  <si>
    <t>FARXODJON</t>
  </si>
  <si>
    <t>SOTVOLDIYEV</t>
  </si>
  <si>
    <t>NOZIMJON O‘G‘LI</t>
  </si>
  <si>
    <t>33.6</t>
  </si>
  <si>
    <t>MANSURBEK</t>
  </si>
  <si>
    <t>BABAJANOV</t>
  </si>
  <si>
    <t>RO‘ZIMOVICH</t>
  </si>
  <si>
    <t>KARIMBOY</t>
  </si>
  <si>
    <t>YUSUFBOY O‘G‘LI</t>
  </si>
  <si>
    <t>NOSIROV</t>
  </si>
  <si>
    <t>ADHAMBEK</t>
  </si>
  <si>
    <t>AHMEDJON O‘G‘LI</t>
  </si>
  <si>
    <t>30.19</t>
  </si>
  <si>
    <t>XUDOYMUROTOV</t>
  </si>
  <si>
    <t>TOSHMAMATOV</t>
  </si>
  <si>
    <t>SUYUNDIK O‘G‘LI</t>
  </si>
  <si>
    <t>IBRAT</t>
  </si>
  <si>
    <t>SHERMETOV</t>
  </si>
  <si>
    <t>RAVSHAN O‘G‘LI</t>
  </si>
  <si>
    <t>XURSHIDAXON</t>
  </si>
  <si>
    <t>XOLIQOVA</t>
  </si>
  <si>
    <t>XAYOTJON QIZI</t>
  </si>
  <si>
    <t>NODIRJON</t>
  </si>
  <si>
    <t>QODIRJON O‘G‘LI</t>
  </si>
  <si>
    <t>ADILOV</t>
  </si>
  <si>
    <t>XASANBAYEVICH</t>
  </si>
  <si>
    <t>SHOHJAXON</t>
  </si>
  <si>
    <t>NAJIMOV</t>
  </si>
  <si>
    <t>AMIRBEK</t>
  </si>
  <si>
    <t>SIROCHEV</t>
  </si>
  <si>
    <t>UBAYDULLOYEVICH</t>
  </si>
  <si>
    <t>NOSIROVA</t>
  </si>
  <si>
    <t>MUSAYEVNA</t>
  </si>
  <si>
    <t>A’ZAMXO‘JA</t>
  </si>
  <si>
    <t>ABDUQODIROV</t>
  </si>
  <si>
    <t>ASROR O‘G‘LI</t>
  </si>
  <si>
    <t>AMINJON O‘G‘LI</t>
  </si>
  <si>
    <t>MAXSUDA</t>
  </si>
  <si>
    <t>YELDASHOVA</t>
  </si>
  <si>
    <t>MAXMUDJAN QIZI</t>
  </si>
  <si>
    <t>OLLOYOROV</t>
  </si>
  <si>
    <t>SAN’AT</t>
  </si>
  <si>
    <t>SUNNATILLO O‘G‘LI</t>
  </si>
  <si>
    <t>NURMURODOV</t>
  </si>
  <si>
    <t>141.75</t>
  </si>
  <si>
    <t>XUJAYEV</t>
  </si>
  <si>
    <t>DAVLATXO‘JA</t>
  </si>
  <si>
    <t>KARIMXO‘JAYEV</t>
  </si>
  <si>
    <t>MENGLIBOYEV</t>
  </si>
  <si>
    <t>MIRKAMOLOVICH</t>
  </si>
  <si>
    <t>JASUR O‘G‘LI</t>
  </si>
  <si>
    <t>SAIDOV</t>
  </si>
  <si>
    <t>TULQIN O‘G‘LI</t>
  </si>
  <si>
    <t>SHOXZAMON</t>
  </si>
  <si>
    <t>XOLPO‘LATOV</t>
  </si>
  <si>
    <t>ISKANDAR O‘G‘LI</t>
  </si>
  <si>
    <t>NURULLA</t>
  </si>
  <si>
    <t>NAZAROV</t>
  </si>
  <si>
    <t>SHUKURULLA O‘G‘LI</t>
  </si>
  <si>
    <t>ASILBEK</t>
  </si>
  <si>
    <t>SOYIBOV</t>
  </si>
  <si>
    <t>SAMAD O‘G‘LI</t>
  </si>
  <si>
    <t>92.40</t>
  </si>
  <si>
    <t>XAMIDULLOYEVICH</t>
  </si>
  <si>
    <t>AVAZNAZAROV</t>
  </si>
  <si>
    <t>MURADILLO O‘G‘LI</t>
  </si>
  <si>
    <t>SAIDAZIZXON</t>
  </si>
  <si>
    <t>ABROROV</t>
  </si>
  <si>
    <t>AFZAL O‘G‘LI</t>
  </si>
  <si>
    <t>QUTLIMURODOV</t>
  </si>
  <si>
    <t>KURYOZOV</t>
  </si>
  <si>
    <t>YASHNASIN O‘G‘LI</t>
  </si>
  <si>
    <t>ISKANDARXON</t>
  </si>
  <si>
    <t>OQILXONOV</t>
  </si>
  <si>
    <t>OLIMXON O‘G‘LI</t>
  </si>
  <si>
    <t>BOBOMUROD</t>
  </si>
  <si>
    <t>DJUMABOYEV</t>
  </si>
  <si>
    <t>EGAMBERDI</t>
  </si>
  <si>
    <t>DEHKANOV</t>
  </si>
  <si>
    <t>ABDUMAJIDOV</t>
  </si>
  <si>
    <t>SOLIJON O‘G‘LI</t>
  </si>
  <si>
    <t>KAMOLIDDIN O‘G‘LI</t>
  </si>
  <si>
    <t>ABDUBOSITJON</t>
  </si>
  <si>
    <t>RO‘ZMATOV</t>
  </si>
  <si>
    <t>AZIZABONU</t>
  </si>
  <si>
    <t>NORMURODOVA</t>
  </si>
  <si>
    <t>ANVAR QIZI</t>
  </si>
  <si>
    <t>MAMIROV</t>
  </si>
  <si>
    <t>ODIL O‘G‘LI</t>
  </si>
  <si>
    <t>RUJIXON</t>
  </si>
  <si>
    <t>GALYAUTDINOVA</t>
  </si>
  <si>
    <t>MARAT QIZI</t>
  </si>
  <si>
    <t>HOJIMUROD</t>
  </si>
  <si>
    <t>QULMURODOV</t>
  </si>
  <si>
    <t>USMANBEK</t>
  </si>
  <si>
    <t>RADJAPOV</t>
  </si>
  <si>
    <t>AZATOVICH</t>
  </si>
  <si>
    <t>DIYORXON</t>
  </si>
  <si>
    <t>G‘OLIB O‘G‘LI</t>
  </si>
  <si>
    <t>SUXROBJON</t>
  </si>
  <si>
    <t>SALOHIDDINOV</t>
  </si>
  <si>
    <t>BAXRIDDIN O‘G‘LI</t>
  </si>
  <si>
    <t>AXRORALI</t>
  </si>
  <si>
    <t>USMONOV</t>
  </si>
  <si>
    <t>AKBARALI O‘G‘LI</t>
  </si>
  <si>
    <t>UMETOVA</t>
  </si>
  <si>
    <t>NASRIDDIN QIZI</t>
  </si>
  <si>
    <t>KAMOL O‘G‘LI</t>
  </si>
  <si>
    <t>ISKANDAR</t>
  </si>
  <si>
    <t>ZOKIROV</t>
  </si>
  <si>
    <t>ERGASHEVICH</t>
  </si>
  <si>
    <t>QAHRAMON</t>
  </si>
  <si>
    <t>RIZOYEV</t>
  </si>
  <si>
    <t>QOSIMOVICH</t>
  </si>
  <si>
    <t>SA’DULLAYEV</t>
  </si>
  <si>
    <t>XAYRULLA O‘G‘LI</t>
  </si>
  <si>
    <t>ASLBEK</t>
  </si>
  <si>
    <t>NORBOYEV</t>
  </si>
  <si>
    <t>OLIMJON</t>
  </si>
  <si>
    <t>NURALIYEV</t>
  </si>
  <si>
    <t>ASKAROVICH</t>
  </si>
  <si>
    <t>QUCHQOROV</t>
  </si>
  <si>
    <t>OG‘AMUROD</t>
  </si>
  <si>
    <t>RASHID O‘G‘LI</t>
  </si>
  <si>
    <t>MATKARIM</t>
  </si>
  <si>
    <t>NIYAZIMBETOV</t>
  </si>
  <si>
    <t>YUSUPBAYEVICH</t>
  </si>
  <si>
    <t>RAHIMJON</t>
  </si>
  <si>
    <t>UMIROV</t>
  </si>
  <si>
    <t>ERGASH O‘G‘LI</t>
  </si>
  <si>
    <t>ALMIRA</t>
  </si>
  <si>
    <t>HASANOVA</t>
  </si>
  <si>
    <t>YO‘LDOSHOV</t>
  </si>
  <si>
    <t>O‘ROLBOY O‘G‘LI</t>
  </si>
  <si>
    <t>OZODJON</t>
  </si>
  <si>
    <t>SHONAZAR O‘G‘LI</t>
  </si>
  <si>
    <t>AXRULLO</t>
  </si>
  <si>
    <t>UBAYDULLA O‘G‘LI</t>
  </si>
  <si>
    <t>RASHID</t>
  </si>
  <si>
    <t>TULBAYEV</t>
  </si>
  <si>
    <t>UROLOVICH</t>
  </si>
  <si>
    <t>MUNIRA</t>
  </si>
  <si>
    <t>NAVRUZOVA</t>
  </si>
  <si>
    <t>ABDUXALIL QIZI</t>
  </si>
  <si>
    <t>BERDIKULOV</t>
  </si>
  <si>
    <t>ABDURASHID O‘G‘LI</t>
  </si>
  <si>
    <t>NURMATOVA</t>
  </si>
  <si>
    <t>ERKINOVNA</t>
  </si>
  <si>
    <t>YUSUFJON</t>
  </si>
  <si>
    <t>EGAMOV</t>
  </si>
  <si>
    <t>XUDOYBERDI O‘G‘LI</t>
  </si>
  <si>
    <t>DURBEK O‘G‘LI</t>
  </si>
  <si>
    <t>XOLMURODOV</t>
  </si>
  <si>
    <t>BEKMURZA O‘G‘LI</t>
  </si>
  <si>
    <t>TURABOV</t>
  </si>
  <si>
    <t>FURKAT O‘G‘LI</t>
  </si>
  <si>
    <t>XASANBOY</t>
  </si>
  <si>
    <t>JABBOROV</t>
  </si>
  <si>
    <t>RAXMATULLAYEV</t>
  </si>
  <si>
    <t>ABDUMUTAL O‘G‘LI</t>
  </si>
  <si>
    <t>UMRIDIN</t>
  </si>
  <si>
    <t>GULOMOVICH</t>
  </si>
  <si>
    <t>ABDURAZZOQ</t>
  </si>
  <si>
    <t>AHMADQULOV</t>
  </si>
  <si>
    <t>AKBARJON O‘G‘LI</t>
  </si>
  <si>
    <t>AVAZBEK</t>
  </si>
  <si>
    <t>BAXROMOV</t>
  </si>
  <si>
    <t>ASQAR</t>
  </si>
  <si>
    <t>TURSUNOV</t>
  </si>
  <si>
    <t>ABDULHAKIMOVICH</t>
  </si>
  <si>
    <t>QODIRBERGEN</t>
  </si>
  <si>
    <t>TENGELOV</t>
  </si>
  <si>
    <t>SAATBAY ULI</t>
  </si>
  <si>
    <t>UMIDBEK</t>
  </si>
  <si>
    <t>MAXMUDJONOV</t>
  </si>
  <si>
    <t>ULUGBEK UGLI</t>
  </si>
  <si>
    <t>BAXRIDDIN</t>
  </si>
  <si>
    <t>BAXSHILLO O‘G‘LI</t>
  </si>
  <si>
    <t>SHOMUROD</t>
  </si>
  <si>
    <t>ADAMBOYEV</t>
  </si>
  <si>
    <t>MUXTORBOYEVICH</t>
  </si>
  <si>
    <t>DJUMAYEVICH</t>
  </si>
  <si>
    <t>BEHRUZJON</t>
  </si>
  <si>
    <t>ALLANAZAROV</t>
  </si>
  <si>
    <t>ISTAM O‘G‘LI</t>
  </si>
  <si>
    <t>JUMMABOY</t>
  </si>
  <si>
    <t>OLLAQULOV</t>
  </si>
  <si>
    <t>Transport vositalari muhandisligi: elektromobil transporti</t>
  </si>
  <si>
    <t>AXMAD</t>
  </si>
  <si>
    <t>ERNAZAROV</t>
  </si>
  <si>
    <t>FAXRIDDINOVICH</t>
  </si>
  <si>
    <t>MADIYOR</t>
  </si>
  <si>
    <t>ANORKULOV</t>
  </si>
  <si>
    <t>YERBOLOVICH</t>
  </si>
  <si>
    <t>ZARLIKOV</t>
  </si>
  <si>
    <t>BAXODIR O‘G‘LI</t>
  </si>
  <si>
    <t>XOJINAZAR</t>
  </si>
  <si>
    <t>TALANBAYEV</t>
  </si>
  <si>
    <t>BOBIR O‘G‘LI</t>
  </si>
  <si>
    <t>FARANGIZ</t>
  </si>
  <si>
    <t>DAVRONOVA</t>
  </si>
  <si>
    <t>BAHODIR QIZI</t>
  </si>
  <si>
    <t>IKROMJON</t>
  </si>
  <si>
    <t>RO‘ZIBOYEV</t>
  </si>
  <si>
    <t>NIZOMIDDIN O‘G‘LI</t>
  </si>
  <si>
    <t>FATXULLAYEV</t>
  </si>
  <si>
    <t>JO‘SHQIN</t>
  </si>
  <si>
    <t>XUDAYNAZAROV</t>
  </si>
  <si>
    <t>TURGUNBAYEVICH</t>
  </si>
  <si>
    <t>SHOPULATOVICH</t>
  </si>
  <si>
    <t>KARIMBOYEV</t>
  </si>
  <si>
    <t>SARDORBEK O‘G‘LI</t>
  </si>
  <si>
    <t>MAMADALIYEV</t>
  </si>
  <si>
    <t>QO‘NISHEV</t>
  </si>
  <si>
    <t>ALIBEK O‘G‘LI</t>
  </si>
  <si>
    <t>NUMONJONOV</t>
  </si>
  <si>
    <t>GULBANU</t>
  </si>
  <si>
    <t>URAZBAYEVA</t>
  </si>
  <si>
    <t>SHINGIS QIZI</t>
  </si>
  <si>
    <t>SHAHBOZ</t>
  </si>
  <si>
    <t>JURAQUL O‘G‘LI</t>
  </si>
  <si>
    <t>BOBURJON</t>
  </si>
  <si>
    <t>ERKINJONOV</t>
  </si>
  <si>
    <t>BAXTIYOR O‘G‘LI</t>
  </si>
  <si>
    <t>MUXIDDINOV</t>
  </si>
  <si>
    <t>MUXIDDIN O‘G‘LI</t>
  </si>
  <si>
    <t>FERUZA</t>
  </si>
  <si>
    <t>QO‘RG‘ONOVA</t>
  </si>
  <si>
    <t>KOMOL QIZI</t>
  </si>
  <si>
    <t>NASIMOV</t>
  </si>
  <si>
    <t>ISOMIDDINOVICH</t>
  </si>
  <si>
    <t>MIRAXMATOV</t>
  </si>
  <si>
    <t>ANVARJON O‘G‘LI</t>
  </si>
  <si>
    <t>NISHONBOYEV</t>
  </si>
  <si>
    <t>NIG‘MATILLA O‘G‘LI</t>
  </si>
  <si>
    <t>SEVINCH</t>
  </si>
  <si>
    <t>OLIMJONOVA</t>
  </si>
  <si>
    <t>ODILJON QIZI</t>
  </si>
  <si>
    <t>MURODJON</t>
  </si>
  <si>
    <t>URINBAYEV</t>
  </si>
  <si>
    <t>RASIL O‘G‘LI</t>
  </si>
  <si>
    <t>SARVARJON</t>
  </si>
  <si>
    <t>MAXAMATOV</t>
  </si>
  <si>
    <t>IBROHIMBEK</t>
  </si>
  <si>
    <t>SHAXOBIDDINOV</t>
  </si>
  <si>
    <t>ASLIDDIN O‘G‘LI</t>
  </si>
  <si>
    <t>ERKIN</t>
  </si>
  <si>
    <t>MAMARAJABOV</t>
  </si>
  <si>
    <t>GULMUROD</t>
  </si>
  <si>
    <t>DJUMAYEV</t>
  </si>
  <si>
    <t>YAXSHIYEVICH</t>
  </si>
  <si>
    <t>MANSUR</t>
  </si>
  <si>
    <t>DJUMABAYEV</t>
  </si>
  <si>
    <t>MURADOVICH</t>
  </si>
  <si>
    <t>ABDIYEV</t>
  </si>
  <si>
    <t>SHOYMARDONOVICH</t>
  </si>
  <si>
    <t>SOYIBJON</t>
  </si>
  <si>
    <t>BO‘STONBOYEV</t>
  </si>
  <si>
    <t>NAVRO‘ZBEK O‘G‘LI</t>
  </si>
  <si>
    <t>IBROHIMJON</t>
  </si>
  <si>
    <t>LUTFULLAYEV</t>
  </si>
  <si>
    <t>SHODMON O‘G‘LI</t>
  </si>
  <si>
    <t>119.7</t>
  </si>
  <si>
    <t>NURSULTAN</t>
  </si>
  <si>
    <t>KARABAYEV</t>
  </si>
  <si>
    <t>IBRAXIMOVICH</t>
  </si>
  <si>
    <t>TOHIR</t>
  </si>
  <si>
    <t>SOTIBOLDIYEV</t>
  </si>
  <si>
    <t>URAZALI O‘G‘LI</t>
  </si>
  <si>
    <t>37.8</t>
  </si>
  <si>
    <t>SOXIBJON</t>
  </si>
  <si>
    <t>O‘RINBOYEV</t>
  </si>
  <si>
    <t>ZARIFJON O‘G‘LI</t>
  </si>
  <si>
    <t>FURQAT</t>
  </si>
  <si>
    <t>DJURABAYEV</t>
  </si>
  <si>
    <t>RAXMATULLA O‘G‘LI</t>
  </si>
  <si>
    <t>XURRAMBEK</t>
  </si>
  <si>
    <t>QURBONOV</t>
  </si>
  <si>
    <t>OZOD O‘G‘LI</t>
  </si>
  <si>
    <t>ASIRBEK</t>
  </si>
  <si>
    <t>BAHODIR-O‘G‘LI</t>
  </si>
  <si>
    <t>XUDAYQULOV</t>
  </si>
  <si>
    <t>O‘LMAS</t>
  </si>
  <si>
    <t>HUSENOVICH</t>
  </si>
  <si>
    <t>IBROHIM</t>
  </si>
  <si>
    <t>UBAYDULLAYEV</t>
  </si>
  <si>
    <t>SHUKURULLO O‘G‘LI</t>
  </si>
  <si>
    <t>NADIR O‘G‘LI</t>
  </si>
  <si>
    <t>QURBONBOYEV</t>
  </si>
  <si>
    <t>NURADDIN O‘G‘LI</t>
  </si>
  <si>
    <t>YASMINA</t>
  </si>
  <si>
    <t>ISMOYIL QIZI</t>
  </si>
  <si>
    <t>120.75</t>
  </si>
  <si>
    <t>UMAR</t>
  </si>
  <si>
    <t>QAMBAROV</t>
  </si>
  <si>
    <t>NIZOMOV</t>
  </si>
  <si>
    <t>UMID O‘G‘LI</t>
  </si>
  <si>
    <t>TALIPOV</t>
  </si>
  <si>
    <t>BOTIRALI</t>
  </si>
  <si>
    <t>ISLOMOVICH</t>
  </si>
  <si>
    <t>81.90</t>
  </si>
  <si>
    <t>JA’FAR</t>
  </si>
  <si>
    <t>MIRSAIDOV</t>
  </si>
  <si>
    <t>ASKAR</t>
  </si>
  <si>
    <t>RAIMOV</t>
  </si>
  <si>
    <t>ABDUGAPPAROVICH</t>
  </si>
  <si>
    <t>FARHODOVICH</t>
  </si>
  <si>
    <t>DAVLAT O‘G‘LI</t>
  </si>
  <si>
    <t>DONIYORXON</t>
  </si>
  <si>
    <t>XABIBULLAXONOV</t>
  </si>
  <si>
    <t>QILICHXON O‘G‘LI</t>
  </si>
  <si>
    <t>ISMOIL</t>
  </si>
  <si>
    <t>SULTANOV</t>
  </si>
  <si>
    <t>MURZA O‘G‘LI</t>
  </si>
  <si>
    <t>FIRDAVS O‘G‘LI</t>
  </si>
  <si>
    <t>IBROHIMOV</t>
  </si>
  <si>
    <t>NURIDDIN O‘G‘LI</t>
  </si>
  <si>
    <t>XATAMOV</t>
  </si>
  <si>
    <t>ABDULLA UG‘LI</t>
  </si>
  <si>
    <t>SAYFIDDINOV</t>
  </si>
  <si>
    <t>79.80</t>
  </si>
  <si>
    <t>MAHMUD O‘G‘LI</t>
  </si>
  <si>
    <t>AMIRQULOV</t>
  </si>
  <si>
    <t>JURA O‘G‘LI</t>
  </si>
  <si>
    <t>MAMURJANOV</t>
  </si>
  <si>
    <t>DILSHODJON O‘G‘LI</t>
  </si>
  <si>
    <t>ACHILOV</t>
  </si>
  <si>
    <t>QASIMOVICH</t>
  </si>
  <si>
    <t>YAXYOXON</t>
  </si>
  <si>
    <t>DAVRONALIYEV</t>
  </si>
  <si>
    <t>DILMUROD O‘G‘LI</t>
  </si>
  <si>
    <t>TOIROV</t>
  </si>
  <si>
    <t>DAVRON</t>
  </si>
  <si>
    <t>QAYUMOVICH</t>
  </si>
  <si>
    <t>JUMANAZAR</t>
  </si>
  <si>
    <t>JUMANAZAROV</t>
  </si>
  <si>
    <t>YAXYO O‘G‘LI</t>
  </si>
  <si>
    <t>SHAXRAMBEK</t>
  </si>
  <si>
    <t>ALIMARDON O‘G‘LI</t>
  </si>
  <si>
    <t>AZIZQUL O‘G‘LI</t>
  </si>
  <si>
    <t>AKMAL</t>
  </si>
  <si>
    <t>ASLONOV</t>
  </si>
  <si>
    <t>ALOVUDDIN</t>
  </si>
  <si>
    <t>ALIMBAYEV</t>
  </si>
  <si>
    <t>MAFTUNA</t>
  </si>
  <si>
    <t>IBROHIMOVA</t>
  </si>
  <si>
    <t>ISROIL QIZI</t>
  </si>
  <si>
    <t>O‘ZBEKOV</t>
  </si>
  <si>
    <t>O‘LJABOY ZODA</t>
  </si>
  <si>
    <t>AMRILLO</t>
  </si>
  <si>
    <t>ODILOV</t>
  </si>
  <si>
    <t>ODILOVICH</t>
  </si>
  <si>
    <t>JURABEK</t>
  </si>
  <si>
    <t>SALIMOV</t>
  </si>
  <si>
    <t>OLIM O‘G‘LI</t>
  </si>
  <si>
    <t>BOYQUL O‘G‘LI</t>
  </si>
  <si>
    <t>AVAZ</t>
  </si>
  <si>
    <t>JAXONGIROV</t>
  </si>
  <si>
    <t>JAVOXIRXO‘JA</t>
  </si>
  <si>
    <t>SHOKIRXO‘JAYEV</t>
  </si>
  <si>
    <t>XOTAM O‘G‘LI</t>
  </si>
  <si>
    <t>DILSHODBEK</t>
  </si>
  <si>
    <t>BALTAYEV</t>
  </si>
  <si>
    <t>SABIROVICH</t>
  </si>
  <si>
    <t>OBIDJONOV</t>
  </si>
  <si>
    <t>RAXMON O‘G‘LI</t>
  </si>
  <si>
    <t>SEVARA</t>
  </si>
  <si>
    <t>ALMATOVA</t>
  </si>
  <si>
    <t>MAXAMADJON QIZI</t>
  </si>
  <si>
    <t>ZOHIRA</t>
  </si>
  <si>
    <t>ABDULLAYEVA</t>
  </si>
  <si>
    <t>ZIYODBEK QIZI</t>
  </si>
  <si>
    <t>ALIBEK</t>
  </si>
  <si>
    <t>DILOV</t>
  </si>
  <si>
    <t>TO‘XTAGUL</t>
  </si>
  <si>
    <t>AMATOVA</t>
  </si>
  <si>
    <t>XOJIYA</t>
  </si>
  <si>
    <t>ISMOILOVA</t>
  </si>
  <si>
    <t>RAXMATULLA QIZI</t>
  </si>
  <si>
    <t>LAYLO</t>
  </si>
  <si>
    <t>ABDUVALIYEVA</t>
  </si>
  <si>
    <t>BEKZOD QIZI</t>
  </si>
  <si>
    <t>ISMOILOV</t>
  </si>
  <si>
    <t>ABDUSATTOR O‘G‘LI</t>
  </si>
  <si>
    <t>BEKZODBEK</t>
  </si>
  <si>
    <t>YUSUPBOYEV</t>
  </si>
  <si>
    <t>SOBIROV</t>
  </si>
  <si>
    <t>SHAYLI</t>
  </si>
  <si>
    <t>MASHHUR O‘G‘LI</t>
  </si>
  <si>
    <t>SUNNATILLA</t>
  </si>
  <si>
    <t>ABDUMALIKOV</t>
  </si>
  <si>
    <t>FARHODJON</t>
  </si>
  <si>
    <t>ASHIROV</t>
  </si>
  <si>
    <t>YANGIBOYEV</t>
  </si>
  <si>
    <t>NURILLA O‘G‘LI</t>
  </si>
  <si>
    <t>ABRORBEK</t>
  </si>
  <si>
    <t>BOZARBOYEV</t>
  </si>
  <si>
    <t>RUSLANBEK O‘G‘LI</t>
  </si>
  <si>
    <t>LUIZA</t>
  </si>
  <si>
    <t>NURABULLAYEVA</t>
  </si>
  <si>
    <t>SHUXRAT QIZI</t>
  </si>
  <si>
    <t>ATAMURATOV</t>
  </si>
  <si>
    <t>OYBEK O'G'LI</t>
  </si>
  <si>
    <t>MURODDIN</t>
  </si>
  <si>
    <t>NORQULOV</t>
  </si>
  <si>
    <t>ASLI O‘G‘LI</t>
  </si>
  <si>
    <t>SOBIRJONOV</t>
  </si>
  <si>
    <t>SOHIBJON O‘G‘LI</t>
  </si>
  <si>
    <t>ADXAMJON</t>
  </si>
  <si>
    <t>AKRAMOV</t>
  </si>
  <si>
    <t>KAMILJON O‘G‘LI</t>
  </si>
  <si>
    <t>MIRSAID</t>
  </si>
  <si>
    <t>UKTAMJONOVICH</t>
  </si>
  <si>
    <t>HAYOTJON</t>
  </si>
  <si>
    <t>IZZATTULLOYEV</t>
  </si>
  <si>
    <t>RAHMIDDINOVICH</t>
  </si>
  <si>
    <t>NURMUXAMMAD</t>
  </si>
  <si>
    <t>NAZARALIYEV</t>
  </si>
  <si>
    <t>Avtomobil servisi</t>
  </si>
  <si>
    <t>SHARIFOV</t>
  </si>
  <si>
    <t>ZIYODULLA O‘G‘LI</t>
  </si>
  <si>
    <t>IKROM</t>
  </si>
  <si>
    <t>DAVLATBOYEV</t>
  </si>
  <si>
    <t>MUXTOR O‘G‘LI</t>
  </si>
  <si>
    <t>NODIR</t>
  </si>
  <si>
    <t>SAYDAXMEDOV</t>
  </si>
  <si>
    <t>SAYDABROLOVICH</t>
  </si>
  <si>
    <t>IMOMALI</t>
  </si>
  <si>
    <t>RAHMATULLOYEV</t>
  </si>
  <si>
    <t>SHODIQULOVICH</t>
  </si>
  <si>
    <t>XAYOTJON</t>
  </si>
  <si>
    <t>TOLIPOV</t>
  </si>
  <si>
    <t>YUSUFXO‘JA</t>
  </si>
  <si>
    <t>RAXIMXOJAYEV</t>
  </si>
  <si>
    <t>AKMALXODJA O‘G‘LI</t>
  </si>
  <si>
    <t>TALABBOYEV</t>
  </si>
  <si>
    <t>ROVSHAN O‘G‘LI</t>
  </si>
  <si>
    <t>JAMOL O‘G‘LI</t>
  </si>
  <si>
    <t>KAMIL O‘G‘LI</t>
  </si>
  <si>
    <t>ASILBEKJON</t>
  </si>
  <si>
    <t>VOXIDOV</t>
  </si>
  <si>
    <t>ABDIZOHID O‘G‘LI</t>
  </si>
  <si>
    <t>GULCHEHRA</t>
  </si>
  <si>
    <t>BOYBUTAYEVA</t>
  </si>
  <si>
    <t>VALI QIZI</t>
  </si>
  <si>
    <t>BEHRUZ</t>
  </si>
  <si>
    <t>ABDUG‘AFFOROV</t>
  </si>
  <si>
    <t>QOSIMBOYEV</t>
  </si>
  <si>
    <t>SARVAR O‘G‘LI</t>
  </si>
  <si>
    <t>ABDUXALIMOV</t>
  </si>
  <si>
    <t>ABDUG‘ANI O‘G‘LI</t>
  </si>
  <si>
    <t>AMIR O‘G‘LI</t>
  </si>
  <si>
    <t>ULUGBEK</t>
  </si>
  <si>
    <t>SANGIROV</t>
  </si>
  <si>
    <t>XABIBULLAYEVICH</t>
  </si>
  <si>
    <t>SULTONOV</t>
  </si>
  <si>
    <t>QADAMBAYEVICH</t>
  </si>
  <si>
    <t>YOQUBJON</t>
  </si>
  <si>
    <t>KARIM O‘G‘LI</t>
  </si>
  <si>
    <t>ABDULAXAT O‘G‘LI</t>
  </si>
  <si>
    <t>JOMURODOV</t>
  </si>
  <si>
    <t>PULATOV</t>
  </si>
  <si>
    <t>SALIM</t>
  </si>
  <si>
    <t>NORQO‘ZIYEV</t>
  </si>
  <si>
    <t>SAYDIVALI O‘G‘LI</t>
  </si>
  <si>
    <t>OYBEK</t>
  </si>
  <si>
    <t>YUNUSOV</t>
  </si>
  <si>
    <t>BAHTIYOR ZODA</t>
  </si>
  <si>
    <t>BARAKAYEV</t>
  </si>
  <si>
    <t>UYG‘UN O‘G‘LI</t>
  </si>
  <si>
    <t>MIRZUKUROV</t>
  </si>
  <si>
    <t>BAXTIYAROVICH</t>
  </si>
  <si>
    <t>ZOHIR</t>
  </si>
  <si>
    <t>SAFARBOYEV</t>
  </si>
  <si>
    <t>MUXABBAT</t>
  </si>
  <si>
    <t>ABDIRIMOVA</t>
  </si>
  <si>
    <t>EGAMBERDIYEVNA</t>
  </si>
  <si>
    <t>LAZIZ</t>
  </si>
  <si>
    <t>ORIFOV</t>
  </si>
  <si>
    <t>TOLIBJON O‘G‘LI</t>
  </si>
  <si>
    <t>SUHROB</t>
  </si>
  <si>
    <t>FOZILJON</t>
  </si>
  <si>
    <t>EGAMBERGANOV</t>
  </si>
  <si>
    <t>NURADDINOVICH</t>
  </si>
  <si>
    <t>AZIZA</t>
  </si>
  <si>
    <t>KARIMOVA</t>
  </si>
  <si>
    <t>HAKIMJON QIZI</t>
  </si>
  <si>
    <t>MAXAMADJON O‘G‘LI</t>
  </si>
  <si>
    <t>ABUBAKIROV</t>
  </si>
  <si>
    <t>DAVRON O‘G‘LI</t>
  </si>
  <si>
    <t>TURDIBEKOV</t>
  </si>
  <si>
    <t>RAHMATULLA O‘G‘LI</t>
  </si>
  <si>
    <t>OQILJON</t>
  </si>
  <si>
    <t>XOKIM O‘G‘LI</t>
  </si>
  <si>
    <t>ZIYODULLA</t>
  </si>
  <si>
    <t>AKRAM-O‘G‘LI</t>
  </si>
  <si>
    <t>SHUXRAT</t>
  </si>
  <si>
    <t>ISAXUJAYEV</t>
  </si>
  <si>
    <t>OTAXONOVICH</t>
  </si>
  <si>
    <t>XALIL O‘G‘LI</t>
  </si>
  <si>
    <t>SHAHRUZ</t>
  </si>
  <si>
    <t>NURALI O‘G‘LI</t>
  </si>
  <si>
    <t>O‘TKIROV</t>
  </si>
  <si>
    <t>HUSAN</t>
  </si>
  <si>
    <t>KOMIL</t>
  </si>
  <si>
    <t>MEXRIDIN O‘G‘LI</t>
  </si>
  <si>
    <t>MUSTAQIMOV</t>
  </si>
  <si>
    <t>DIYORJON</t>
  </si>
  <si>
    <t>KARIMBERDIYEV</t>
  </si>
  <si>
    <t>ELYOR O‘G‘LI</t>
  </si>
  <si>
    <t>IXTIYOR O‘G‘LI</t>
  </si>
  <si>
    <t>ABDULJA’FAR</t>
  </si>
  <si>
    <t>SHARAFUDDINOV</t>
  </si>
  <si>
    <t>KAMRON</t>
  </si>
  <si>
    <t>ABDUKAXXAROV</t>
  </si>
  <si>
    <t>MAHLIYO</t>
  </si>
  <si>
    <t>SAPORBOYEVA</t>
  </si>
  <si>
    <t>XUSHNUD QIZI</t>
  </si>
  <si>
    <t>XAMIDJONOVICH</t>
  </si>
  <si>
    <t>BAHROMJON</t>
  </si>
  <si>
    <t>NURMUHAMMEDOV</t>
  </si>
  <si>
    <t>BAHRIDDINOVICH</t>
  </si>
  <si>
    <t>BOTIR</t>
  </si>
  <si>
    <t>ABBOSOV</t>
  </si>
  <si>
    <t>VAXXOB O‘G‘LI</t>
  </si>
  <si>
    <t>XOLMO‘MINOV</t>
  </si>
  <si>
    <t>SAYITOV</t>
  </si>
  <si>
    <t>SHAXTYOR O‘G‘LI</t>
  </si>
  <si>
    <t>114.45</t>
  </si>
  <si>
    <t>VALIJONOV</t>
  </si>
  <si>
    <t>HAMIDJON O‘G‘LI</t>
  </si>
  <si>
    <t>SAG‘DULLAYEV</t>
  </si>
  <si>
    <t>ISTAMTOSH O‘G‘LI</t>
  </si>
  <si>
    <t>KULDASHOV</t>
  </si>
  <si>
    <t>FARXODOVICH</t>
  </si>
  <si>
    <t>NURJAHON</t>
  </si>
  <si>
    <t>SHERZODBEK</t>
  </si>
  <si>
    <t>ABDUXAKIMOV</t>
  </si>
  <si>
    <t>SAIDJAXON</t>
  </si>
  <si>
    <t>MINAVAROV</t>
  </si>
  <si>
    <t>TOPILXON O‘G‘LI</t>
  </si>
  <si>
    <t>RIZVONA</t>
  </si>
  <si>
    <t>ASHUROVA</t>
  </si>
  <si>
    <t>MURODALIYEVNA</t>
  </si>
  <si>
    <t>ALISHBOYEV</t>
  </si>
  <si>
    <t>PARDABOY O‘G‘LI</t>
  </si>
  <si>
    <t>MUHAMOV</t>
  </si>
  <si>
    <t>ASQARALI O‘G‘LI</t>
  </si>
  <si>
    <t>NURPOLAT</t>
  </si>
  <si>
    <t>ORAKBAYEV</t>
  </si>
  <si>
    <t>RIXART ULI</t>
  </si>
  <si>
    <t>BEHZOD</t>
  </si>
  <si>
    <t>MAXLIYO</t>
  </si>
  <si>
    <t>AXMEDOVA</t>
  </si>
  <si>
    <t>SHUXRATJAN QIZI</t>
  </si>
  <si>
    <t>JO‘RABEK O‘G‘LI</t>
  </si>
  <si>
    <t>UMIRZAQOVA</t>
  </si>
  <si>
    <t>ISLAMBEK QIZI</t>
  </si>
  <si>
    <t>NAYOBJONOV</t>
  </si>
  <si>
    <t>HUSNIDDIN O‘G‘LI</t>
  </si>
  <si>
    <t>MUHAMMADALI</t>
  </si>
  <si>
    <t>UMIRKULOV</t>
  </si>
  <si>
    <t>AHMEDOV</t>
  </si>
  <si>
    <t>AZIMJON</t>
  </si>
  <si>
    <t>AXMETJON O‘G‘LI</t>
  </si>
  <si>
    <t>75.60</t>
  </si>
  <si>
    <t>DONIYORJON</t>
  </si>
  <si>
    <t>123.9</t>
  </si>
  <si>
    <t>ABRORJON</t>
  </si>
  <si>
    <t>G‘OPPOROV</t>
  </si>
  <si>
    <t>ADXAMJON O‘G‘LI</t>
  </si>
  <si>
    <t>XUMORA</t>
  </si>
  <si>
    <t>MASHARIPOVA</t>
  </si>
  <si>
    <t>XAYRIDDIN QIZI</t>
  </si>
  <si>
    <t>Raqamli iqtisodiyot (transport)</t>
  </si>
  <si>
    <t>ILXOMJON</t>
  </si>
  <si>
    <t>ASADOV</t>
  </si>
  <si>
    <t>XOSHIMJON O‘G‘LI</t>
  </si>
  <si>
    <t>ILASHOV</t>
  </si>
  <si>
    <t>XABIBULLAYEV</t>
  </si>
  <si>
    <t>DILMURAT</t>
  </si>
  <si>
    <t>IRISBEKOV</t>
  </si>
  <si>
    <t>PERDEBAY O‘G‘LI</t>
  </si>
  <si>
    <t>BURIBAYEV</t>
  </si>
  <si>
    <t>ILXAMJON O‘G‘LI</t>
  </si>
  <si>
    <t>IRODA</t>
  </si>
  <si>
    <t>ABDURAXIMOVA</t>
  </si>
  <si>
    <t>ABDUSALOM QIZI</t>
  </si>
  <si>
    <t>SHERXAN</t>
  </si>
  <si>
    <t>ABSALAMOV</t>
  </si>
  <si>
    <t>ILYOS</t>
  </si>
  <si>
    <t>RUZIBOYEVICH</t>
  </si>
  <si>
    <t>UBAYDULLA</t>
  </si>
  <si>
    <t>QOSIMOV</t>
  </si>
  <si>
    <t>SA’DULLO O‘G‘LI</t>
  </si>
  <si>
    <t>ZAYNIYEV</t>
  </si>
  <si>
    <t>MIRAZIZOV</t>
  </si>
  <si>
    <t>ABDULLAZIZ O‘G‘LI</t>
  </si>
  <si>
    <t>Menejment (transport sohasida loyihalar boshqaruvi)</t>
  </si>
  <si>
    <t>MAXMUD</t>
  </si>
  <si>
    <t>BOXODIR O‘G‘LI</t>
  </si>
  <si>
    <t>QOILBEK</t>
  </si>
  <si>
    <t>SHAMURATOV</t>
  </si>
  <si>
    <t>RAVSHONBEK O‘G‘LI</t>
  </si>
  <si>
    <t>HOJIAKBAR</t>
  </si>
  <si>
    <t>TOJIYEV</t>
  </si>
  <si>
    <t>ABDIRAVUF O‘G‘LI</t>
  </si>
  <si>
    <t>LABARXON</t>
  </si>
  <si>
    <t>KASIMOVA</t>
  </si>
  <si>
    <t>RAXIMDJANOVNA</t>
  </si>
  <si>
    <t>XAKIM O‘G‘LI</t>
  </si>
  <si>
    <t>RAXIMJON O‘G‘LI</t>
  </si>
  <si>
    <t>JAVOHIRBEK</t>
  </si>
  <si>
    <t>HAMROQULOV</t>
  </si>
  <si>
    <t>NURMAT O‘G‘LI</t>
  </si>
  <si>
    <t>DALER</t>
  </si>
  <si>
    <t>XAKIMJONOV</t>
  </si>
  <si>
    <t>SHAMSHOD O‘G‘LI</t>
  </si>
  <si>
    <t>JAVOXIRBEK</t>
  </si>
  <si>
    <t>BEGIJONOV</t>
  </si>
  <si>
    <t>BAXODIRJON O‘G‘LI</t>
  </si>
  <si>
    <t>MURATOV</t>
  </si>
  <si>
    <t>ATXAM O‘G‘LI</t>
  </si>
  <si>
    <t>BO‘RIYEV</t>
  </si>
  <si>
    <t>OMONBOYEVICH</t>
  </si>
  <si>
    <t>NURMUXAMEDOV</t>
  </si>
  <si>
    <t>NURMAXAMMADOVICH</t>
  </si>
  <si>
    <t>BAXODIROVICH</t>
  </si>
  <si>
    <t>RASUL</t>
  </si>
  <si>
    <t>UNGBAYEV</t>
  </si>
  <si>
    <t>BOYZOQOV</t>
  </si>
  <si>
    <t>NAZARBOYEVICH</t>
  </si>
  <si>
    <t>ESONTURDIYEV</t>
  </si>
  <si>
    <t>HUSAN O‘G‘LI</t>
  </si>
  <si>
    <t>FAYOZA</t>
  </si>
  <si>
    <t>AVLAYEVA</t>
  </si>
  <si>
    <t>JALIL QIZI</t>
  </si>
  <si>
    <t>Korporativ boshqaruv</t>
  </si>
  <si>
    <t>RAXMANOV</t>
  </si>
  <si>
    <t>VALIJON O‘G‘LI</t>
  </si>
  <si>
    <t>BAZAROVICH</t>
  </si>
  <si>
    <t>AKRAM O‘G‘LI</t>
  </si>
  <si>
    <t>SOIDQOSIM O‘G‘LI</t>
  </si>
  <si>
    <t>OXUNJON</t>
  </si>
  <si>
    <t>ABDURASULOV</t>
  </si>
  <si>
    <t>AZAMATOVICH</t>
  </si>
  <si>
    <t>TO‘YCHI</t>
  </si>
  <si>
    <t>ESANOV</t>
  </si>
  <si>
    <t>ABDUQAYUMOVICH</t>
  </si>
  <si>
    <t>KAHRAMONOV</t>
  </si>
  <si>
    <t>MUROD O‘G‘LI</t>
  </si>
  <si>
    <t>DANIYARBEK</t>
  </si>
  <si>
    <t>MATKARIMOV</t>
  </si>
  <si>
    <t>AIBEK ULI</t>
  </si>
  <si>
    <t>BERDIQULOV</t>
  </si>
  <si>
    <t>HUSNITDIN O‘G‘LI</t>
  </si>
  <si>
    <t>SUNNATILLO</t>
  </si>
  <si>
    <t>ASQAR O‘G‘LI</t>
  </si>
  <si>
    <t>SHOKIROV</t>
  </si>
  <si>
    <t>YUNUS O‘G‘LI</t>
  </si>
  <si>
    <t>ZAVKIDDIN-O‘G‘LI</t>
  </si>
  <si>
    <t>NORMATOV</t>
  </si>
  <si>
    <t>SHOHISTA</t>
  </si>
  <si>
    <t>HAYITBOYEVA</t>
  </si>
  <si>
    <t>SAYERA</t>
  </si>
  <si>
    <t>SULTANOVA</t>
  </si>
  <si>
    <t>ISKANDAROVNA</t>
  </si>
  <si>
    <t>JO‘RAQULOVICH</t>
  </si>
  <si>
    <t>BEGALIYEV</t>
  </si>
  <si>
    <t>FK</t>
  </si>
  <si>
    <t>BOBOJONOV</t>
  </si>
  <si>
    <t>SHAXZODA</t>
  </si>
  <si>
    <t>KURALBAEVA</t>
  </si>
  <si>
    <t>ABATBAY QÍZÍ</t>
  </si>
  <si>
    <t>ABDULLOJON</t>
  </si>
  <si>
    <t>MARDONOV</t>
  </si>
  <si>
    <t>XIKMATOV</t>
  </si>
  <si>
    <t>HAYRIDDINOV</t>
  </si>
  <si>
    <t>MIZROB O‘G‘LI</t>
  </si>
  <si>
    <t>SHAHZODBEK</t>
  </si>
  <si>
    <t>KALONBOY O‘G‘LI</t>
  </si>
  <si>
    <t>ERGASHXO‘JAYEVA</t>
  </si>
  <si>
    <t>ABBOSXO‘JA QIZI</t>
  </si>
  <si>
    <t>RAXMATILLO</t>
  </si>
  <si>
    <t>BABATAYEV</t>
  </si>
  <si>
    <t>AXMADOVICH</t>
  </si>
  <si>
    <t>ALISHERJON</t>
  </si>
  <si>
    <t>RAHMATOV</t>
  </si>
  <si>
    <t>RAHMONJON O‘G‘LI</t>
  </si>
  <si>
    <t>BIBI MARYAM</t>
  </si>
  <si>
    <t>SADULLAYEVA</t>
  </si>
  <si>
    <t>PAYZULLA QIZI</t>
  </si>
  <si>
    <t>AZIMBEK</t>
  </si>
  <si>
    <t>BOLTABOYEV</t>
  </si>
  <si>
    <t>SERIKBAY O‘G‘LI</t>
  </si>
  <si>
    <t>TO‘XTAJONOV</t>
  </si>
  <si>
    <t>ABDULBOSIT</t>
  </si>
  <si>
    <t>FURQAT O‘G‘LI</t>
  </si>
  <si>
    <t>ISMONALIYEV</t>
  </si>
  <si>
    <t>JIYANBOYEV</t>
  </si>
  <si>
    <t>ROBILJON O‘G‘LI</t>
  </si>
  <si>
    <t>XURSHID</t>
  </si>
  <si>
    <t>MIRZOHID O‘G‘LI</t>
  </si>
  <si>
    <t>BOYMURODOV</t>
  </si>
  <si>
    <t>ORIF O‘G‘LI</t>
  </si>
  <si>
    <t>XUJAMURADOV</t>
  </si>
  <si>
    <t>HAMRAYEV</t>
  </si>
  <si>
    <t>ATABAYEV</t>
  </si>
  <si>
    <t>DILNOZA</t>
  </si>
  <si>
    <t>DJURAYEVA</t>
  </si>
  <si>
    <t>FAXRIDDIN QIZI</t>
  </si>
  <si>
    <t>LOLA</t>
  </si>
  <si>
    <t>AXBUTAYEVA</t>
  </si>
  <si>
    <t>ILSUR QIZI</t>
  </si>
  <si>
    <t>ABDUMAJID</t>
  </si>
  <si>
    <t>ABDUVALIYEV</t>
  </si>
  <si>
    <t>FAYZIYEV</t>
  </si>
  <si>
    <t>INOM</t>
  </si>
  <si>
    <t>ZUHRIDDIN</t>
  </si>
  <si>
    <t>ZAYNOBIDDIN O‘G‘LI</t>
  </si>
  <si>
    <t>RUSTAMBEK</t>
  </si>
  <si>
    <t>RAIMJON O‘G‘LI</t>
  </si>
  <si>
    <t>AZIZIDDIN</t>
  </si>
  <si>
    <t>SIROJIDDINOV</t>
  </si>
  <si>
    <t>AZIMIDDINOVICH</t>
  </si>
  <si>
    <t>MURODBOYEV</t>
  </si>
  <si>
    <t>NODIRBEK O‘G‘LI</t>
  </si>
  <si>
    <t>SHORASUL</t>
  </si>
  <si>
    <t>XAMID</t>
  </si>
  <si>
    <t>TAPILOV</t>
  </si>
  <si>
    <t>ADXAMDJANOVICH</t>
  </si>
  <si>
    <t>RESUL</t>
  </si>
  <si>
    <t>REJEPOV</t>
  </si>
  <si>
    <t>ARSLAN OGLI</t>
  </si>
  <si>
    <t>SHONAZAROV</t>
  </si>
  <si>
    <t>QO'CHQORALIYEV</t>
  </si>
  <si>
    <t>AZIZ O'G'LI</t>
  </si>
  <si>
    <t>GULCHEXRA</t>
  </si>
  <si>
    <t>ABDRAZAKOVA</t>
  </si>
  <si>
    <t>ABDURASHID QIZI</t>
  </si>
  <si>
    <t>ABDUJAMALOVICH</t>
  </si>
  <si>
    <t>SAMIYEV</t>
  </si>
  <si>
    <t>NURILLO O‘G‘LI</t>
  </si>
  <si>
    <t>TOHIRJON</t>
  </si>
  <si>
    <t>NUG‘MONOV</t>
  </si>
  <si>
    <t>SAIDAXMADOV</t>
  </si>
  <si>
    <t>KUCHKAROV</t>
  </si>
  <si>
    <t>UTKUROVICH</t>
  </si>
  <si>
    <t>MAMETOVA</t>
  </si>
  <si>
    <t>ABDUKABIR QIZI</t>
  </si>
  <si>
    <t>ANVARXO‘JAYEV</t>
  </si>
  <si>
    <t>FERANGIZA</t>
  </si>
  <si>
    <t>FARXODOVNA</t>
  </si>
  <si>
    <t>MAMUR</t>
  </si>
  <si>
    <t>TASHNAZAROVICH</t>
  </si>
  <si>
    <t>RO‘ZIMURODJON</t>
  </si>
  <si>
    <t>FAYYOZ O‘G‘LI</t>
  </si>
  <si>
    <t>DILFUZA</t>
  </si>
  <si>
    <t>BAXTIYOR QIZI</t>
  </si>
  <si>
    <t>ILXOMBOYEV</t>
  </si>
  <si>
    <t>KAMRONBEK</t>
  </si>
  <si>
    <t>GULOMOV</t>
  </si>
  <si>
    <t>ABBOSBEK</t>
  </si>
  <si>
    <t>HAYDAROV</t>
  </si>
  <si>
    <t>ABDUVALI-O‘G‘LI</t>
  </si>
  <si>
    <t>MUXAMMADJON</t>
  </si>
  <si>
    <t>BEKMATOV</t>
  </si>
  <si>
    <t>RO‘ZIMBOY O‘G‘LI</t>
  </si>
  <si>
    <t>NISHONOV</t>
  </si>
  <si>
    <t>BAZARBAYEV</t>
  </si>
  <si>
    <t>RUSTAMBAYEVICH</t>
  </si>
  <si>
    <t>TILLABOYEV</t>
  </si>
  <si>
    <t>ABDIZOXID O‘G‘LI</t>
  </si>
  <si>
    <t>SHAXNOZA</t>
  </si>
  <si>
    <t>KAMALOVA</t>
  </si>
  <si>
    <t>SHAYMARDANOVNA</t>
  </si>
  <si>
    <t>SALIXANOV</t>
  </si>
  <si>
    <t>MAXMUDXODJAYEVICH</t>
  </si>
  <si>
    <t>G‘IYOSBEK</t>
  </si>
  <si>
    <t>O‘KTAMOV</t>
  </si>
  <si>
    <t>69.30</t>
  </si>
  <si>
    <t>NARZIYEV</t>
  </si>
  <si>
    <t>SHAMSHI O‘G‘LI</t>
  </si>
  <si>
    <t>NAZIR</t>
  </si>
  <si>
    <t>NOSIR O‘G‘LI</t>
  </si>
  <si>
    <t>DAVLATBEK</t>
  </si>
  <si>
    <t>MAVLONBEK O‘G‘LI</t>
  </si>
  <si>
    <t>88.20</t>
  </si>
  <si>
    <t>DAUREN</t>
  </si>
  <si>
    <t>BEKMURATOV</t>
  </si>
  <si>
    <t>NASHIMXAM O‘G‘LI</t>
  </si>
  <si>
    <t>NOZIMBEK</t>
  </si>
  <si>
    <t>FARHOD</t>
  </si>
  <si>
    <t>SOLIYEVICH</t>
  </si>
  <si>
    <t>BAXANOV</t>
  </si>
  <si>
    <t>SHUKURJON</t>
  </si>
  <si>
    <t>BAHRIDDINJON</t>
  </si>
  <si>
    <t>RO‘ZIMOV</t>
  </si>
  <si>
    <t>XUSAYINOVICH</t>
  </si>
  <si>
    <t>SOLIY O‘G‘LI</t>
  </si>
  <si>
    <t>QAYUMOV</t>
  </si>
  <si>
    <t>ABDUNAZAR O‘G‘LI</t>
  </si>
  <si>
    <t>ABDUMANNON</t>
  </si>
  <si>
    <t>OLIMJONOV</t>
  </si>
  <si>
    <t>OBIDJON O‘G‘LI</t>
  </si>
  <si>
    <t>ORTIQBOYEV</t>
  </si>
  <si>
    <t>SHOXNOZA</t>
  </si>
  <si>
    <t>SAFAROVA</t>
  </si>
  <si>
    <t>ISMATULLAYEVNA</t>
  </si>
  <si>
    <t>ABDURAUFOV</t>
  </si>
  <si>
    <t>ABDUG‘AFUR O‘G‘LI</t>
  </si>
  <si>
    <t>NURBEK</t>
  </si>
  <si>
    <t>ADILOVICH</t>
  </si>
  <si>
    <t>ZAFARJON</t>
  </si>
  <si>
    <t>BAYATOV</t>
  </si>
  <si>
    <t>SOTIMBOYEV</t>
  </si>
  <si>
    <t>ZOKIRJON O‘G‘LI</t>
  </si>
  <si>
    <t>TOXIR O‘G‘LI</t>
  </si>
  <si>
    <t>QUVONDIQ</t>
  </si>
  <si>
    <t>SAOTBAYEV</t>
  </si>
  <si>
    <t>OZOTBOY O‘G‘LI</t>
  </si>
  <si>
    <t>ZOIROV</t>
  </si>
  <si>
    <t>ABDURASHIT O‘G‘LI</t>
  </si>
  <si>
    <t>DILFUZAXON</t>
  </si>
  <si>
    <t>XUDOYQULOVA</t>
  </si>
  <si>
    <t>ORIFJON QIZI</t>
  </si>
  <si>
    <t>SHERALI</t>
  </si>
  <si>
    <t>DJUMANIYAZOV</t>
  </si>
  <si>
    <t>ZARIPBAYEVICH</t>
  </si>
  <si>
    <t>FARIDIDDIN</t>
  </si>
  <si>
    <t>TOPILOV</t>
  </si>
  <si>
    <t>ZAYNIDDIN O‘G‘LI</t>
  </si>
  <si>
    <t>NURDAVLAT</t>
  </si>
  <si>
    <t>NURJANOV</t>
  </si>
  <si>
    <t>NURITDIN O‘G‘LI</t>
  </si>
  <si>
    <t>DAVLATOV</t>
  </si>
  <si>
    <t>XO‘SINBAY</t>
  </si>
  <si>
    <t>XO’SINBAY O‘G‘LI</t>
  </si>
  <si>
    <t>SHARIFJONOV</t>
  </si>
  <si>
    <t>ISLOMBEK</t>
  </si>
  <si>
    <t>ABRAXMATOV</t>
  </si>
  <si>
    <t>YANGIBOY O‘G‘LI</t>
  </si>
  <si>
    <t>MIRZABEK</t>
  </si>
  <si>
    <t>BEKMIRZAYEV</t>
  </si>
  <si>
    <t>BEKMIRZA</t>
  </si>
  <si>
    <t>BEGIMOV</t>
  </si>
  <si>
    <t>MASHRABJON O‘G‘LI</t>
  </si>
  <si>
    <t>BUNYOD</t>
  </si>
  <si>
    <t>SARIMSAKOVICH</t>
  </si>
  <si>
    <t>SHAHOBIDDIN</t>
  </si>
  <si>
    <t>ABDIMUMINOV</t>
  </si>
  <si>
    <t>TOSHPULATOV</t>
  </si>
  <si>
    <t>MIRZOBEK</t>
  </si>
  <si>
    <t>HAMROYEV</t>
  </si>
  <si>
    <t>AHADOVICH</t>
  </si>
  <si>
    <t>RAHMIDDIN O‘G‘LI</t>
  </si>
  <si>
    <t>QOBILJON</t>
  </si>
  <si>
    <t>G‘ANIJONOV</t>
  </si>
  <si>
    <t>LUTFILLO O‘G‘LI</t>
  </si>
  <si>
    <t>29.14</t>
  </si>
  <si>
    <t>KOMILOV</t>
  </si>
  <si>
    <t>TOSHPULAT UG‘LI</t>
  </si>
  <si>
    <t>XOLIQOV</t>
  </si>
  <si>
    <t>HUSEN O‘G‘LI</t>
  </si>
  <si>
    <t>JAVODBEK</t>
  </si>
  <si>
    <t>ZIYODULLAYEV</t>
  </si>
  <si>
    <t>YORQIN</t>
  </si>
  <si>
    <t>HAYDAR O‘G‘LI</t>
  </si>
  <si>
    <t>TEMURBEK</t>
  </si>
  <si>
    <t>MARUFJON O‘G‘LI</t>
  </si>
  <si>
    <t>NOZIMAXON</t>
  </si>
  <si>
    <t>IMAMQULOVA</t>
  </si>
  <si>
    <t>DONIYOR QIZI</t>
  </si>
  <si>
    <t>NORBUTAYEVICH</t>
  </si>
  <si>
    <t>ZUXRA</t>
  </si>
  <si>
    <t>QOBILOVA</t>
  </si>
  <si>
    <t>NORBUTAYEVNA</t>
  </si>
  <si>
    <t>A’ZAMOV</t>
  </si>
  <si>
    <t>KAMOLJON O‘G‘LI</t>
  </si>
  <si>
    <t>ISAQOV</t>
  </si>
  <si>
    <t>BEKTEMIR O‘G‘LI</t>
  </si>
  <si>
    <t>SHAHRIZOD</t>
  </si>
  <si>
    <t>ULASHOV</t>
  </si>
  <si>
    <t>MUSTAFOQUL O‘G‘LI</t>
  </si>
  <si>
    <t>XOLNAZAROV</t>
  </si>
  <si>
    <t>OLIMOVICH</t>
  </si>
  <si>
    <t>VAZIRA</t>
  </si>
  <si>
    <t>QURBONOVA</t>
  </si>
  <si>
    <t>RAVSHAN QIZI</t>
  </si>
  <si>
    <t>ROVSHENKULIYEV</t>
  </si>
  <si>
    <t>SHOXRATOVICH</t>
  </si>
  <si>
    <t>ABDURAUF</t>
  </si>
  <si>
    <t>XASATALIYEV</t>
  </si>
  <si>
    <t>INOMJON UGLI</t>
  </si>
  <si>
    <t>TURSUNOVA</t>
  </si>
  <si>
    <t>AZIZXON</t>
  </si>
  <si>
    <t>IBROXIMOV</t>
  </si>
  <si>
    <t>ISOXON O‘G‘LI</t>
  </si>
  <si>
    <t>—</t>
  </si>
  <si>
    <t>NISHONALIYEVICH</t>
  </si>
  <si>
    <t>SAN’ATBEK</t>
  </si>
  <si>
    <t>KUTLIMURADOV</t>
  </si>
  <si>
    <t>RUSTAMBOYEVICH</t>
  </si>
  <si>
    <t>DEXQONOV</t>
  </si>
  <si>
    <t>O‘KTAM O‘G‘LI</t>
  </si>
  <si>
    <t>HAKIMJON</t>
  </si>
  <si>
    <t>XURSANBOYEV</t>
  </si>
  <si>
    <t>VAHOB O‘G‘LI</t>
  </si>
  <si>
    <t>USMANOV</t>
  </si>
  <si>
    <t>AXMADJON O‘GLI</t>
  </si>
  <si>
    <t>AXMADJON</t>
  </si>
  <si>
    <t>FARXODOV</t>
  </si>
  <si>
    <t>NORBAYEV</t>
  </si>
  <si>
    <t>QARSHIBOYEV</t>
  </si>
  <si>
    <t>OMONQUL O‘G‘LI</t>
  </si>
  <si>
    <t>MUXAMMADOV</t>
  </si>
  <si>
    <t>AXMED O‘G‘LI</t>
  </si>
  <si>
    <t>IZZATULLO</t>
  </si>
  <si>
    <t>KUDRATULLAYEV</t>
  </si>
  <si>
    <t>LOCHINBEK</t>
  </si>
  <si>
    <t>SALAMOV</t>
  </si>
  <si>
    <t>ATAJANOV</t>
  </si>
  <si>
    <t>ANARBAYEVICH</t>
  </si>
  <si>
    <t>ABDURAXMON</t>
  </si>
  <si>
    <t>RAMAZAN</t>
  </si>
  <si>
    <t>KIDIRBAYEV</t>
  </si>
  <si>
    <t>BAXADIR-ULI</t>
  </si>
  <si>
    <t>BEKMIRZA O‘G‘LI</t>
  </si>
  <si>
    <t>FAYZULLAYEV</t>
  </si>
  <si>
    <t>LUTFULLA O‘G‘LI</t>
  </si>
  <si>
    <t>ANZOR</t>
  </si>
  <si>
    <t>TEMUROVICH</t>
  </si>
  <si>
    <t>TALIBOVA</t>
  </si>
  <si>
    <t>GIYOSOVNA</t>
  </si>
  <si>
    <t>TASHMURATOV</t>
  </si>
  <si>
    <t>ABDUMANNON-O‘G‘LI</t>
  </si>
  <si>
    <t>ERGASH</t>
  </si>
  <si>
    <t>RAXANOV</t>
  </si>
  <si>
    <t>JUMABOY O‘G‘LI</t>
  </si>
  <si>
    <t>BAXTIYAR</t>
  </si>
  <si>
    <t>TURAGALIYEV</t>
  </si>
  <si>
    <t>JURAYEVICH</t>
  </si>
  <si>
    <t>BUZRUKXO‘JAYEV</t>
  </si>
  <si>
    <t>XUSAN O‘G‘LI</t>
  </si>
  <si>
    <t>ILYOSBEK</t>
  </si>
  <si>
    <t>NU’MANOV</t>
  </si>
  <si>
    <t>IQBOLMIRZO O‘G‘LI</t>
  </si>
  <si>
    <t>NURIDDIN</t>
  </si>
  <si>
    <t>O‘TKIRBEK O‘G‘LI</t>
  </si>
  <si>
    <t>BOBIR</t>
  </si>
  <si>
    <t>NAZOKAT</t>
  </si>
  <si>
    <t>O‘RINBAYEVA</t>
  </si>
  <si>
    <t>MIRZAKARIM QIZI</t>
  </si>
  <si>
    <t>AZIMJONOV</t>
  </si>
  <si>
    <t>MAMARAIMOV</t>
  </si>
  <si>
    <t>ISAKJAN O‘G‘LI</t>
  </si>
  <si>
    <t>MARAJABOV</t>
  </si>
  <si>
    <t>YULDOSH O‘G‘LI</t>
  </si>
  <si>
    <t>G‘AYBULLOYEVICH</t>
  </si>
  <si>
    <t>IXTIYOR</t>
  </si>
  <si>
    <t>UVAYDULLOYEV</t>
  </si>
  <si>
    <t>MAZBUTOVICH</t>
  </si>
  <si>
    <t>LUTFILLA O‘G‘LI</t>
  </si>
  <si>
    <t>KAMOLOV</t>
  </si>
  <si>
    <t>ORMON O‘G‘LI</t>
  </si>
  <si>
    <t>IZZATBEK</t>
  </si>
  <si>
    <t>BAXODIR-O‘G‘LI</t>
  </si>
  <si>
    <t>ERMATOVA</t>
  </si>
  <si>
    <t>NASRIDDINOVNA</t>
  </si>
  <si>
    <t>ISATAY</t>
  </si>
  <si>
    <t>URAZBAYEV</t>
  </si>
  <si>
    <t>MAMUTOVICH</t>
  </si>
  <si>
    <t>ISROIL O‘G‘LI</t>
  </si>
  <si>
    <t>ASHUROV</t>
  </si>
  <si>
    <t>AKMALXO‘JA</t>
  </si>
  <si>
    <t>TURSUNXODJAYEV</t>
  </si>
  <si>
    <t>MUXAMMEDOV</t>
  </si>
  <si>
    <t>NAVRO‘Z O‘G‘LI</t>
  </si>
  <si>
    <t>SUNNATULLA</t>
  </si>
  <si>
    <t>IBROHIM O‘G‘LI</t>
  </si>
  <si>
    <t>SAIDMUROD O‘G‘LI</t>
  </si>
  <si>
    <t>OYBEKJON</t>
  </si>
  <si>
    <t>OTABOYEV</t>
  </si>
  <si>
    <t>O‘KTAMJON O‘G‘LI</t>
  </si>
  <si>
    <t>FARRUXBEK</t>
  </si>
  <si>
    <t>MAMASIDDIQ O‘G‘LI</t>
  </si>
  <si>
    <t>RAVSHANBEK</t>
  </si>
  <si>
    <t>ABDULXAY O‘G‘LI</t>
  </si>
  <si>
    <t>IKRAM O‘G‘LI</t>
  </si>
  <si>
    <t>MIRZAYUSUPOV</t>
  </si>
  <si>
    <t>MAXMUDJON O‘G‘LI</t>
  </si>
  <si>
    <t>MA’RUFJON</t>
  </si>
  <si>
    <t>TUROBOV</t>
  </si>
  <si>
    <t>JOVLON</t>
  </si>
  <si>
    <t>NASRIDDINOV</t>
  </si>
  <si>
    <t>JASUR O'G'LI</t>
  </si>
  <si>
    <t>TOXIRJON</t>
  </si>
  <si>
    <t>ALIYEV</t>
  </si>
  <si>
    <t>SAYODJON O‘G‘LI</t>
  </si>
  <si>
    <t>KANTEMIR</t>
  </si>
  <si>
    <t>KAMBARALIYEV</t>
  </si>
  <si>
    <t>TAXIROVICH</t>
  </si>
  <si>
    <t>MIRAZIZ</t>
  </si>
  <si>
    <t>RAXMONJONOV</t>
  </si>
  <si>
    <t>FARXODJON O‘G‘LI</t>
  </si>
  <si>
    <t>127.05</t>
  </si>
  <si>
    <t>O‘ROLOV</t>
  </si>
  <si>
    <t>GAFUROV</t>
  </si>
  <si>
    <t>RAXIMJONOVICH</t>
  </si>
  <si>
    <t>BOQIJON</t>
  </si>
  <si>
    <t>NAVRO‘ZBEK</t>
  </si>
  <si>
    <t>ALLANOV</t>
  </si>
  <si>
    <t>DINISLAM</t>
  </si>
  <si>
    <t>ASILBEKOV</t>
  </si>
  <si>
    <t>DANIYAR O‘G‘LI</t>
  </si>
  <si>
    <t>IKROMOVA</t>
  </si>
  <si>
    <t>MA’RUF QIZI</t>
  </si>
  <si>
    <t>AMIRQUL O‘G‘LI</t>
  </si>
  <si>
    <t>MOHINA</t>
  </si>
  <si>
    <t>TURDIYEVA</t>
  </si>
  <si>
    <t>ZOKIROVNA</t>
  </si>
  <si>
    <t>ABDUMALIKOVA</t>
  </si>
  <si>
    <t>G‘OFUR QIZI</t>
  </si>
  <si>
    <t>118.65</t>
  </si>
  <si>
    <t>MUZAFFARJON</t>
  </si>
  <si>
    <t>NIGMATJONOV</t>
  </si>
  <si>
    <t>AVAZBOYEV</t>
  </si>
  <si>
    <t>SHOXJAXON</t>
  </si>
  <si>
    <t>G‘IYOZIDDINOVICH</t>
  </si>
  <si>
    <t>SIYOVUSHBEK</t>
  </si>
  <si>
    <t>JAHONGIR O‘G‘LI</t>
  </si>
  <si>
    <t>XAYITOV</t>
  </si>
  <si>
    <t>154.35</t>
  </si>
  <si>
    <t>TOLIB O‘G‘LI</t>
  </si>
  <si>
    <t>PO‘LATXO‘JA</t>
  </si>
  <si>
    <t>SUR’ATXO‘JAYEV</t>
  </si>
  <si>
    <t>OYBEKXO‘JA O‘G‘LI</t>
  </si>
  <si>
    <t>BEXRUZ</t>
  </si>
  <si>
    <t>ROVSHANOV</t>
  </si>
  <si>
    <t>KUDRATXO‘JA</t>
  </si>
  <si>
    <t>SUNNATOV</t>
  </si>
  <si>
    <t>SAIDOLIMXO‘JA O‘G‘LI</t>
  </si>
  <si>
    <t>MIRZAJONOV</t>
  </si>
  <si>
    <t>ABDUKAMOL</t>
  </si>
  <si>
    <t>SAIDUMAROV</t>
  </si>
  <si>
    <t>MARAT</t>
  </si>
  <si>
    <t>POLUKAROV</t>
  </si>
  <si>
    <t>VIKTOROVICH</t>
  </si>
  <si>
    <t>IZZATILLO</t>
  </si>
  <si>
    <t>38.59</t>
  </si>
  <si>
    <t>BAXROM</t>
  </si>
  <si>
    <t>33.34</t>
  </si>
  <si>
    <t>NOSIRXO‘JA</t>
  </si>
  <si>
    <t>SHUKURXO‘JAYEV</t>
  </si>
  <si>
    <t>SHUHRATXO‘JA O‘G‘LI</t>
  </si>
  <si>
    <t>ABDUVALI O‘G‘LI</t>
  </si>
  <si>
    <t>TOGAYEV</t>
  </si>
  <si>
    <t>ERGALI O‘G‘LI</t>
  </si>
  <si>
    <t>ILXOMJON O‘G‘LI</t>
  </si>
  <si>
    <t>NASIPOV</t>
  </si>
  <si>
    <t>ERALI O‘G‘LI</t>
  </si>
  <si>
    <t>MAXKAMOV</t>
  </si>
  <si>
    <t>MIRALI</t>
  </si>
  <si>
    <t>YOQUBJONOV</t>
  </si>
  <si>
    <t>MIRZIYOD O‘G‘LI</t>
  </si>
  <si>
    <t>58.80</t>
  </si>
  <si>
    <t>ALAN</t>
  </si>
  <si>
    <t>ARTUROVICH</t>
  </si>
  <si>
    <t>MIRSODIQOV</t>
  </si>
  <si>
    <t>ABDURAZZOQ O‘G‘LI</t>
  </si>
  <si>
    <t>TOSHMATOV</t>
  </si>
  <si>
    <t>ASROR</t>
  </si>
  <si>
    <t>BOQIYEV</t>
  </si>
  <si>
    <t>G‘ULOMOVICH</t>
  </si>
  <si>
    <t>RAHMATJON</t>
  </si>
  <si>
    <t>XONALIYEV</t>
  </si>
  <si>
    <t>BAXODIR</t>
  </si>
  <si>
    <t>TOSHTEMIR O‘G‘LI</t>
  </si>
  <si>
    <t>AHMADXON</t>
  </si>
  <si>
    <t>VALIYEV</t>
  </si>
  <si>
    <t>TOHIRXON O‘G‘LI</t>
  </si>
  <si>
    <t>DADAXON</t>
  </si>
  <si>
    <t>DILMURODOV</t>
  </si>
  <si>
    <t>GULMUROD O‘G‘LI</t>
  </si>
  <si>
    <t>ISMAILOV</t>
  </si>
  <si>
    <t>ZARIFJON</t>
  </si>
  <si>
    <t>ZAFAR O‘G‘LI</t>
  </si>
  <si>
    <t>ERGASHVAYEV</t>
  </si>
  <si>
    <t>LAZIZ O‘G‘LI</t>
  </si>
  <si>
    <t>ERKINTOY</t>
  </si>
  <si>
    <t>SABITOV</t>
  </si>
  <si>
    <t>SOIBNAZAROV</t>
  </si>
  <si>
    <t>MELIBOYEV</t>
  </si>
  <si>
    <t>SAYFIDDIN O‘G‘LI</t>
  </si>
  <si>
    <t>UMEDOVICH</t>
  </si>
  <si>
    <t>MEXIRIDDIN O‘G‘LI</t>
  </si>
  <si>
    <t>RAXMATILLAYEV</t>
  </si>
  <si>
    <t>SHARIFBOY O‘G‘LI</t>
  </si>
  <si>
    <t>EMINJON O‘G‘LI</t>
  </si>
  <si>
    <t>SOBIRJON</t>
  </si>
  <si>
    <t>YO‘LCHIYEV</t>
  </si>
  <si>
    <t>84.00</t>
  </si>
  <si>
    <t>TOXIR</t>
  </si>
  <si>
    <t>YO‘LDOSHBOYEV</t>
  </si>
  <si>
    <t>XABIBA</t>
  </si>
  <si>
    <t>ABDUKARIMOVA</t>
  </si>
  <si>
    <t>ABDUG‘APPOR QIZI</t>
  </si>
  <si>
    <t>ZOHID O‘G‘LI</t>
  </si>
  <si>
    <t>NABIJON O‘G‘LI</t>
  </si>
  <si>
    <t>MELIQO‘ZIYEV</t>
  </si>
  <si>
    <t>RAFIQJON O‘G‘LI</t>
  </si>
  <si>
    <t>USMONJON O‘G‘LI</t>
  </si>
  <si>
    <t>SOBIR O‘G‘LI</t>
  </si>
  <si>
    <t>ABDUXALIL</t>
  </si>
  <si>
    <t>ZAYLOBIDINOV</t>
  </si>
  <si>
    <t>ALEKSEY</t>
  </si>
  <si>
    <t>ARTAMONOV</t>
  </si>
  <si>
    <t>VLADIMIROVICH</t>
  </si>
  <si>
    <t>MA’MURJON</t>
  </si>
  <si>
    <t>GAYBULLOYEV</t>
  </si>
  <si>
    <t>XAKIMBOY</t>
  </si>
  <si>
    <t>XALMURATOVA</t>
  </si>
  <si>
    <t>MIRZABEKOV</t>
  </si>
  <si>
    <t>ERMAKOV</t>
  </si>
  <si>
    <t>JONIBEK</t>
  </si>
  <si>
    <t>AKMIRAT</t>
  </si>
  <si>
    <t>KURBANMATOV</t>
  </si>
  <si>
    <t>AMANMURATOVICH</t>
  </si>
  <si>
    <t>NASIBA</t>
  </si>
  <si>
    <t>NOMOZOVA</t>
  </si>
  <si>
    <t>TURSUNBEK</t>
  </si>
  <si>
    <t>ESHKUVATOV</t>
  </si>
  <si>
    <t>UTKIRBEK O‘G‘LI</t>
  </si>
  <si>
    <t>LAZIZBEK</t>
  </si>
  <si>
    <t>QUYCHIYEV</t>
  </si>
  <si>
    <t>SIDDIQ O‘G‘LI</t>
  </si>
  <si>
    <t>A’LOXON</t>
  </si>
  <si>
    <t>ABDUMAJIDOVA</t>
  </si>
  <si>
    <t>ABDUSALIM QIZI</t>
  </si>
  <si>
    <t>KALLIBEK ULI</t>
  </si>
  <si>
    <t>BAXTIYOROVA</t>
  </si>
  <si>
    <t>QAHRAMON QIZI</t>
  </si>
  <si>
    <t>KENESBAY</t>
  </si>
  <si>
    <t>ORAZOV</t>
  </si>
  <si>
    <t>JUMABAYEVICH</t>
  </si>
  <si>
    <t>MEHRINISO</t>
  </si>
  <si>
    <t>MA’RIPOVA</t>
  </si>
  <si>
    <t>MURODJON QIZI</t>
  </si>
  <si>
    <t>YAKUPBAYEV</t>
  </si>
  <si>
    <t>RUSTAMBOY-UG‘LI</t>
  </si>
  <si>
    <t>QODIRJONOVA</t>
  </si>
  <si>
    <t>NODIRJON QIZI</t>
  </si>
  <si>
    <t>-6.30</t>
  </si>
  <si>
    <t>MAGRIPOV</t>
  </si>
  <si>
    <t>FAYZULLA ULI</t>
  </si>
  <si>
    <t>MEXROJJON</t>
  </si>
  <si>
    <t>SHAYXIDIN</t>
  </si>
  <si>
    <t>BARATOV</t>
  </si>
  <si>
    <t>ANVAROVICH</t>
  </si>
  <si>
    <t>RASULBEK</t>
  </si>
  <si>
    <t>KUTIMOV</t>
  </si>
  <si>
    <t>SULTANOVICH</t>
  </si>
  <si>
    <t>KAMALOV</t>
  </si>
  <si>
    <t>IXTIYAR O‘G‘LI</t>
  </si>
  <si>
    <t>XAZRATQULOV</t>
  </si>
  <si>
    <t>AKRAMJON O‘G‘LI</t>
  </si>
  <si>
    <t>DILSHODA</t>
  </si>
  <si>
    <t>YARIKULOVA</t>
  </si>
  <si>
    <t>SHUKUROVNA</t>
  </si>
  <si>
    <t>AYBEK</t>
  </si>
  <si>
    <t>MURZABAYEV</t>
  </si>
  <si>
    <t>TAIR ULI</t>
  </si>
  <si>
    <t>SHERDIL</t>
  </si>
  <si>
    <t>TULABOY O‘G‘LI</t>
  </si>
  <si>
    <t>SAFARALI</t>
  </si>
  <si>
    <t>ABDIRAYIM O‘G‘LI</t>
  </si>
  <si>
    <t>MAXSET ULI</t>
  </si>
  <si>
    <t>DILSHODJON</t>
  </si>
  <si>
    <t>MUZAFFAROV</t>
  </si>
  <si>
    <t>ZAFARJON O‘G‘LI</t>
  </si>
  <si>
    <t>RAVSHANOV</t>
  </si>
  <si>
    <t>DIYOR O‘G‘LI</t>
  </si>
  <si>
    <t>BEKSULTAN</t>
  </si>
  <si>
    <t>ORAZBAYEV</t>
  </si>
  <si>
    <t>ILYASOVICH</t>
  </si>
  <si>
    <t>160.65</t>
  </si>
  <si>
    <t>DJUMABAYEVA</t>
  </si>
  <si>
    <t>SABIRBAY QIZI</t>
  </si>
  <si>
    <t>MARDONA</t>
  </si>
  <si>
    <t>MAMADIYEVA</t>
  </si>
  <si>
    <t>YO‘LDOSH QIZI</t>
  </si>
  <si>
    <t>ABDIVALI O‘G‘LI</t>
  </si>
  <si>
    <t>TURONOV</t>
  </si>
  <si>
    <t>MUXAMMADIYEV</t>
  </si>
  <si>
    <t>OTAMUROD O‘G‘LI</t>
  </si>
  <si>
    <t>QO‘CHQORALIYEV</t>
  </si>
  <si>
    <t>ABDIRAXMON O‘G‘LI</t>
  </si>
  <si>
    <t>ALLIYAROV</t>
  </si>
  <si>
    <t>XOLIQUL O‘G‘LI</t>
  </si>
  <si>
    <t>DAULET</t>
  </si>
  <si>
    <t>OMIRZAXOV</t>
  </si>
  <si>
    <t>SEYDALI UG‘LI</t>
  </si>
  <si>
    <t>O‘RAL</t>
  </si>
  <si>
    <t>ALIBIY</t>
  </si>
  <si>
    <t>DJENGISBAYEV</t>
  </si>
  <si>
    <t>E’ZOZA</t>
  </si>
  <si>
    <t>TO‘RAYEVA</t>
  </si>
  <si>
    <t>AHMAD QIZI</t>
  </si>
  <si>
    <t>DEHQONOV</t>
  </si>
  <si>
    <t>SAODAT</t>
  </si>
  <si>
    <t>BURIYEVA</t>
  </si>
  <si>
    <t>ABDULLAYEVNA</t>
  </si>
  <si>
    <t>XAYITBAYEV</t>
  </si>
  <si>
    <t>BEKTEMIROV</t>
  </si>
  <si>
    <t>ABDUXOLIQ O‘G‘LI</t>
  </si>
  <si>
    <t>RA’NO</t>
  </si>
  <si>
    <t>KARIMDJANOVA</t>
  </si>
  <si>
    <t>ARAPATALI QIZI</t>
  </si>
  <si>
    <t>SOATMUROT O‘G‘LI</t>
  </si>
  <si>
    <t>RUXSORBEK</t>
  </si>
  <si>
    <t>RAJABBOYEV</t>
  </si>
  <si>
    <t>HURMATJONOVICH</t>
  </si>
  <si>
    <t>SOBIRALIXON</t>
  </si>
  <si>
    <t>MUSTAFAYEV</t>
  </si>
  <si>
    <t>ZIKRILLA O‘G‘LI</t>
  </si>
  <si>
    <t>UMIRBAYEV</t>
  </si>
  <si>
    <t>RAXMONOV</t>
  </si>
  <si>
    <t>QADAMBOYEV</t>
  </si>
  <si>
    <t>OLLOYOR O‘G‘LI</t>
  </si>
  <si>
    <t>MELISJON</t>
  </si>
  <si>
    <t>ATOYEV</t>
  </si>
  <si>
    <t>SHAROFOVICH</t>
  </si>
  <si>
    <t>ARABJON</t>
  </si>
  <si>
    <t>YIGITALI O‘G‘LI</t>
  </si>
  <si>
    <t>QOBILJONOV</t>
  </si>
  <si>
    <t>AMIN O‘G‘LI</t>
  </si>
  <si>
    <t>OLLONAZAR</t>
  </si>
  <si>
    <t>HAZRATQULOV</t>
  </si>
  <si>
    <t>OMONOVICH</t>
  </si>
  <si>
    <t>MUBORAKXON</t>
  </si>
  <si>
    <t>JO‘RABOYEVA</t>
  </si>
  <si>
    <t>MA’MURJON QIZI</t>
  </si>
  <si>
    <t>SAYDULLAYEVA</t>
  </si>
  <si>
    <t>UBAYDULLA QIZI</t>
  </si>
  <si>
    <t>SEVINCHOY</t>
  </si>
  <si>
    <t>XAYTBOEVA</t>
  </si>
  <si>
    <t>QUVONCHBEK QIZI</t>
  </si>
  <si>
    <t>ABDULBORIY</t>
  </si>
  <si>
    <t>BOTIR O‘G‘LI</t>
  </si>
  <si>
    <t>BOBOLOV</t>
  </si>
  <si>
    <t>YUNUSJON O‘G‘LI</t>
  </si>
  <si>
    <t>SHAXOBJON</t>
  </si>
  <si>
    <t>ELMAMAT O‘G‘LI</t>
  </si>
  <si>
    <t>TIMUR</t>
  </si>
  <si>
    <t>AKBOTAYEV</t>
  </si>
  <si>
    <t>ANUARBEKOVICH</t>
  </si>
  <si>
    <t>SHOHIDA</t>
  </si>
  <si>
    <t>ADAMOVA</t>
  </si>
  <si>
    <t>AZAMAT QIZI</t>
  </si>
  <si>
    <t>SOXIB</t>
  </si>
  <si>
    <t>SURAYYO</t>
  </si>
  <si>
    <t>QAYUMOVA</t>
  </si>
  <si>
    <t>MUXAMMADJONOVNA</t>
  </si>
  <si>
    <t>ZAXRIDDIN</t>
  </si>
  <si>
    <t>NURMATOV</t>
  </si>
  <si>
    <t>NASRI O‘G‘LI</t>
  </si>
  <si>
    <t>AXTAM O‘G‘LI</t>
  </si>
  <si>
    <t>JURAMUROTOV</t>
  </si>
  <si>
    <t>NISHANOV</t>
  </si>
  <si>
    <t>SATTOROVICH</t>
  </si>
  <si>
    <t>BAXSHILLOYEVA</t>
  </si>
  <si>
    <t>IXTIYOR QIZI</t>
  </si>
  <si>
    <t>UMAROVA</t>
  </si>
  <si>
    <t>SAIDMURATOVNA</t>
  </si>
  <si>
    <t>GULIRA’NO</t>
  </si>
  <si>
    <t>ULUG‘BEKOVA</t>
  </si>
  <si>
    <t>XONDAMIR QIZI</t>
  </si>
  <si>
    <t>ISHIMOV</t>
  </si>
  <si>
    <t>ABDIROVUP O‘G‘LI</t>
  </si>
  <si>
    <t>MAQSUD</t>
  </si>
  <si>
    <t>TEMUROV</t>
  </si>
  <si>
    <t>MATNIYOZ</t>
  </si>
  <si>
    <t>G‘OFUROVICH</t>
  </si>
  <si>
    <t>43.84</t>
  </si>
  <si>
    <t>RIXSITILLA O‘G‘LI</t>
  </si>
  <si>
    <t>BERDIYEV</t>
  </si>
  <si>
    <t>INAT O‘G‘LI</t>
  </si>
  <si>
    <t>TAVAKKAL QIZI</t>
  </si>
  <si>
    <t>MUHAMMADRIZOXON</t>
  </si>
  <si>
    <t>MUXTORJON O’G’LI</t>
  </si>
  <si>
    <t>JAMSHIDBEK</t>
  </si>
  <si>
    <t>MAXMUDOV</t>
  </si>
  <si>
    <t>TURAYEVICH</t>
  </si>
  <si>
    <t>90.56</t>
  </si>
  <si>
    <t>0.79</t>
  </si>
  <si>
    <t>RASUL O‘G‘LI</t>
  </si>
  <si>
    <t>AZAMJON O‘G‘LI</t>
  </si>
  <si>
    <t>Ikrom</t>
  </si>
  <si>
    <t>Imonkulov</t>
  </si>
  <si>
    <t>Shoxnazar o'g'li</t>
  </si>
  <si>
    <t>SARDAR</t>
  </si>
  <si>
    <t>TURDIBAYEV</t>
  </si>
  <si>
    <t>SALAMATOVICH</t>
  </si>
  <si>
    <t>BEKMUROD</t>
  </si>
  <si>
    <t>UMMATOV</t>
  </si>
  <si>
    <t>TOGAYEVA</t>
  </si>
  <si>
    <t>KARIMJONOVNA</t>
  </si>
  <si>
    <t>MIRZAAXMEDOV</t>
  </si>
  <si>
    <t>FURKATOVICH</t>
  </si>
  <si>
    <t>ISLAMDJANOV</t>
  </si>
  <si>
    <t>MAXAMAD O‘G‘LI</t>
  </si>
  <si>
    <t>SALAUAT</t>
  </si>
  <si>
    <t>TORENIYAZOV</t>
  </si>
  <si>
    <t>KURBANIYAZ ULI</t>
  </si>
  <si>
    <t>ABDURAXMONOVICH</t>
  </si>
  <si>
    <t>MAHMUDOV</t>
  </si>
  <si>
    <t>ZARIFOV</t>
  </si>
  <si>
    <t>YOKUBJON O‘G‘LI</t>
  </si>
  <si>
    <t>MELIQUL</t>
  </si>
  <si>
    <t>TURANOV</t>
  </si>
  <si>
    <t>AXROROVICH</t>
  </si>
  <si>
    <t>ZIYODOV</t>
  </si>
  <si>
    <t>NURIDDINOVICH</t>
  </si>
  <si>
    <t>BOXODIR</t>
  </si>
  <si>
    <t>ABDUG‘ANIYEV</t>
  </si>
  <si>
    <t>DEDAXON O‘G‘LI</t>
  </si>
  <si>
    <t>NARZULLAYEV</t>
  </si>
  <si>
    <t>AMIR</t>
  </si>
  <si>
    <t>MAXAMADOVICH</t>
  </si>
  <si>
    <t>MINGBOYEV</t>
  </si>
  <si>
    <t>ERKINALI O‘G‘LI</t>
  </si>
  <si>
    <t>MIRAFZAL</t>
  </si>
  <si>
    <t>MIRQOSIMOV</t>
  </si>
  <si>
    <t>MIRSOBIR O‘G‘LI</t>
  </si>
  <si>
    <t>MAXSUD O‘G‘LI</t>
  </si>
  <si>
    <t>40.69</t>
  </si>
  <si>
    <t>ARTIKOV</t>
  </si>
  <si>
    <t>AKMALEVICH</t>
  </si>
  <si>
    <t>DOSTONJON O‘G‘LI</t>
  </si>
  <si>
    <t>PALVANNAZIR</t>
  </si>
  <si>
    <t>PALVANNAZIROV</t>
  </si>
  <si>
    <t>QO‘ZIBOY O‘G‘LI</t>
  </si>
  <si>
    <t>ISOYEV</t>
  </si>
  <si>
    <t>KOZIM</t>
  </si>
  <si>
    <t>BAXSHILLOYEV</t>
  </si>
  <si>
    <t>ABILOV</t>
  </si>
  <si>
    <t>NOZIMJON</t>
  </si>
  <si>
    <t>XIKMAT O‘G‘LI</t>
  </si>
  <si>
    <t>JAFAR</t>
  </si>
  <si>
    <t>UCHKUNOVICH</t>
  </si>
  <si>
    <t>NAZIMJON</t>
  </si>
  <si>
    <t>SHOKIROVICH</t>
  </si>
  <si>
    <t>XASANXO‘JA</t>
  </si>
  <si>
    <t>QO‘CHQORBOYEV</t>
  </si>
  <si>
    <t>XUDOYNAZAROV</t>
  </si>
  <si>
    <t>TULIBOY</t>
  </si>
  <si>
    <t>JAMOLIDDINOVICH</t>
  </si>
  <si>
    <t>ABDUJABBOR O‘G‘LI</t>
  </si>
  <si>
    <t>KELDIYOR</t>
  </si>
  <si>
    <t>XOLMURADOVICH</t>
  </si>
  <si>
    <t>LAZIZJON</t>
  </si>
  <si>
    <t>OBLAKULOV</t>
  </si>
  <si>
    <t>RAXMONKULOVICH</t>
  </si>
  <si>
    <t>NOSIRJON</t>
  </si>
  <si>
    <t>XIKMATILLAYEV</t>
  </si>
  <si>
    <t>YEKUB O‘GLI</t>
  </si>
  <si>
    <t>SHUHRAT</t>
  </si>
  <si>
    <t>FERUZ</t>
  </si>
  <si>
    <t>GAPPAROV</t>
  </si>
  <si>
    <t>KAXRAMON UGLI</t>
  </si>
  <si>
    <t>RISQITILLAYEV</t>
  </si>
  <si>
    <t>100.80</t>
  </si>
  <si>
    <t>JALOLOV</t>
  </si>
  <si>
    <t>MIXLIBOYEV</t>
  </si>
  <si>
    <t>YULDUZ</t>
  </si>
  <si>
    <t>MARDANAQULOVA</t>
  </si>
  <si>
    <t>SHERQOBILOVNA</t>
  </si>
  <si>
    <t>ISTAMJON</t>
  </si>
  <si>
    <t>MADRIMOV</t>
  </si>
  <si>
    <t>BAXRAMBOY O‘G‘LI</t>
  </si>
  <si>
    <t>BOBODO‘STOV</t>
  </si>
  <si>
    <t>ESHTEMIROV</t>
  </si>
  <si>
    <t>AZIMJON O‘G‘LI</t>
  </si>
  <si>
    <t>AVABAKIROV</t>
  </si>
  <si>
    <t>DOVRONBEK</t>
  </si>
  <si>
    <t>SOLIJONOV</t>
  </si>
  <si>
    <t>SAMARIDDIN</t>
  </si>
  <si>
    <t>DANABOY O‘G‘LI</t>
  </si>
  <si>
    <t>MURODULLAYEV</t>
  </si>
  <si>
    <t>YULDOSHOV</t>
  </si>
  <si>
    <t>ABDUMANNONOV</t>
  </si>
  <si>
    <t>MAXAMADJONOV</t>
  </si>
  <si>
    <t>OLMOS O‘G‘LI</t>
  </si>
  <si>
    <t>BAYGEN</t>
  </si>
  <si>
    <t>SHARIYATOVICH</t>
  </si>
  <si>
    <t>NOZANIN</t>
  </si>
  <si>
    <t>SHUKURILLAYEVA</t>
  </si>
  <si>
    <t>FARXOD-QIZI</t>
  </si>
  <si>
    <t>SAMUG‘JONOV</t>
  </si>
  <si>
    <t>USMONOVA</t>
  </si>
  <si>
    <t>G‘AYRAT QIZI</t>
  </si>
  <si>
    <t>URAZBAYEVICH</t>
  </si>
  <si>
    <t>SEYTAPTIYEV</t>
  </si>
  <si>
    <t>REZVANOVICH</t>
  </si>
  <si>
    <t>SUNNATULLO</t>
  </si>
  <si>
    <t>VAXIDOV</t>
  </si>
  <si>
    <t>SULTONALIYEVICH</t>
  </si>
  <si>
    <t>ORTIQJON</t>
  </si>
  <si>
    <t>MUSTAFOQULOV</t>
  </si>
  <si>
    <t>DABILOV</t>
  </si>
  <si>
    <t>SHUXRATOVICH</t>
  </si>
  <si>
    <t>QADIR</t>
  </si>
  <si>
    <t>MUSURMANKULOVICH</t>
  </si>
  <si>
    <t>SINDAROV</t>
  </si>
  <si>
    <t>MANSURXON</t>
  </si>
  <si>
    <t>DEXQONBOYEV</t>
  </si>
  <si>
    <t>ISAXO‘JA</t>
  </si>
  <si>
    <t>SADILLAYEV</t>
  </si>
  <si>
    <t>OLMOSOV</t>
  </si>
  <si>
    <t>ESHTUXTOSH O‘G‘LI</t>
  </si>
  <si>
    <t>BO‘RANOV</t>
  </si>
  <si>
    <t>BAHRIDDIN O‘G‘LI</t>
  </si>
  <si>
    <t>MIRZOHID</t>
  </si>
  <si>
    <t>ITOLMASOV</t>
  </si>
  <si>
    <t>MEHRIDDIN O‘G‘LI</t>
  </si>
  <si>
    <t>JO‘MAYEV</t>
  </si>
  <si>
    <t>XAMRAKULOV</t>
  </si>
  <si>
    <t>RISKUBAYEVICH</t>
  </si>
  <si>
    <t>ESIRGAPOV</t>
  </si>
  <si>
    <t>RASULOV</t>
  </si>
  <si>
    <t>MELS</t>
  </si>
  <si>
    <t>ABDUMAJITOV</t>
  </si>
  <si>
    <t>ABDUJALIL O‘G‘LI</t>
  </si>
  <si>
    <t>QORAQULOV</t>
  </si>
  <si>
    <t>LATIFJON</t>
  </si>
  <si>
    <t>MEYLIYEV</t>
  </si>
  <si>
    <t>ESHNAZAROVICH</t>
  </si>
  <si>
    <t>ILYOSJON</t>
  </si>
  <si>
    <t>AZAMATOV</t>
  </si>
  <si>
    <t>PO‘LATOV</t>
  </si>
  <si>
    <t>NAZAR O‘G‘LI</t>
  </si>
  <si>
    <t>SHERQULOV</t>
  </si>
  <si>
    <t>ZUXRIDDIN O‘G‘LI</t>
  </si>
  <si>
    <t>SHAMSIDDINOV</t>
  </si>
  <si>
    <t>129.15</t>
  </si>
  <si>
    <t>ABIDOVA</t>
  </si>
  <si>
    <t>YUSUP QIZI</t>
  </si>
  <si>
    <t>RAMZBEK</t>
  </si>
  <si>
    <t>RAVSHANBEKOV</t>
  </si>
  <si>
    <t>RASHIDBEK O‘G‘LI</t>
  </si>
  <si>
    <t>KAZBEK</t>
  </si>
  <si>
    <t>DAULETIYAROV</t>
  </si>
  <si>
    <t>KARAMATDINOVICH</t>
  </si>
  <si>
    <t>SAYFUTDIN O‘G‘LI</t>
  </si>
  <si>
    <t>BAZAROV</t>
  </si>
  <si>
    <t>BAXODIRJONOVICH</t>
  </si>
  <si>
    <t>ILHOM</t>
  </si>
  <si>
    <t>XOLMIRZAYEV</t>
  </si>
  <si>
    <t>NORMO‘MIN O‘G‘LI</t>
  </si>
  <si>
    <t>XURRAMOV</t>
  </si>
  <si>
    <t>ABDUMO‘MINOVICH</t>
  </si>
  <si>
    <t>GULYAM</t>
  </si>
  <si>
    <t>XIDIRNAZAROV</t>
  </si>
  <si>
    <t>NARMATOVICH</t>
  </si>
  <si>
    <t>YIGITALIYEV</t>
  </si>
  <si>
    <t>RASHIDJON O‘G‘LI</t>
  </si>
  <si>
    <t>ROHATBOYEV</t>
  </si>
  <si>
    <t>FAZLIDDIN O‘G‘LI</t>
  </si>
  <si>
    <t>DILNORA</t>
  </si>
  <si>
    <t>DUSNAYEVA</t>
  </si>
  <si>
    <t>UKTAM QIZI</t>
  </si>
  <si>
    <t>TURSUNPULAT</t>
  </si>
  <si>
    <t>UZOQOV</t>
  </si>
  <si>
    <t>SODIQJON O‘G‘LI</t>
  </si>
  <si>
    <t>XAMIDOVA</t>
  </si>
  <si>
    <t>MIRG‘OLIB</t>
  </si>
  <si>
    <t>ABDURAZAQOV</t>
  </si>
  <si>
    <t>MAMASALI O‘G‘LI</t>
  </si>
  <si>
    <t>UZAQOV</t>
  </si>
  <si>
    <t>DILAVEROVICH</t>
  </si>
  <si>
    <t>MAHSUDJON</t>
  </si>
  <si>
    <t>BAHTIYOR O‘G‘LI</t>
  </si>
  <si>
    <t>MUXIDDINOVA</t>
  </si>
  <si>
    <t>SHARIFOVNA</t>
  </si>
  <si>
    <t>NABIYEV</t>
  </si>
  <si>
    <t>ZOKIR</t>
  </si>
  <si>
    <t>XO‘ROZBOYEV</t>
  </si>
  <si>
    <t>JO‘RABOY O‘G‘LI</t>
  </si>
  <si>
    <t>TO‘LQINOV</t>
  </si>
  <si>
    <t>EGAMBERDIYEV</t>
  </si>
  <si>
    <t>ASADULLO O‘G‘LI</t>
  </si>
  <si>
    <t>RUZMATOV</t>
  </si>
  <si>
    <t>AZIMBOY O‘G‘LI</t>
  </si>
  <si>
    <t>QOBILBEK</t>
  </si>
  <si>
    <t>BEGMUROTOV</t>
  </si>
  <si>
    <t>BEGZOD O‘G‘LI</t>
  </si>
  <si>
    <t>Intellektual muhandislik tizimlari (avtomobil transporti)</t>
  </si>
  <si>
    <t>SHAMIYEV</t>
  </si>
  <si>
    <t>ILXOMXO‘JA</t>
  </si>
  <si>
    <t>ASQAROV</t>
  </si>
  <si>
    <t>NILUFAR</t>
  </si>
  <si>
    <t>ZARIFOVA</t>
  </si>
  <si>
    <t>ABROR QIZI</t>
  </si>
  <si>
    <t>MUHAMMADI</t>
  </si>
  <si>
    <t>RO‘ZIYEV</t>
  </si>
  <si>
    <t>ABDISALOM O‘G‘LI</t>
  </si>
  <si>
    <t>NIZOMIDDIN</t>
  </si>
  <si>
    <t>XUSHNUDOVICH</t>
  </si>
  <si>
    <t>BAHODIRJON</t>
  </si>
  <si>
    <t>TURSINOV</t>
  </si>
  <si>
    <t>RO‘ZIMURODOV</t>
  </si>
  <si>
    <t>туланган суммаси</t>
  </si>
  <si>
    <t>тулаган санаси</t>
  </si>
  <si>
    <t>қарздорлик</t>
  </si>
  <si>
    <t>28,10,2021</t>
  </si>
  <si>
    <t>26,10,2021</t>
  </si>
  <si>
    <t>01,11,2021</t>
  </si>
  <si>
    <t>25,10,2021</t>
  </si>
  <si>
    <t>22,10,2021</t>
  </si>
  <si>
    <t>29,10,2021</t>
  </si>
  <si>
    <t>27,10,2021</t>
  </si>
  <si>
    <t>04,11,2021</t>
  </si>
  <si>
    <t>27,10,21</t>
  </si>
  <si>
    <t>29,10,21</t>
  </si>
  <si>
    <t>26,10,21</t>
  </si>
  <si>
    <t>22,10,21</t>
  </si>
  <si>
    <t>02,11,21</t>
  </si>
  <si>
    <t>01,11,21</t>
  </si>
  <si>
    <t>25,10,21</t>
  </si>
  <si>
    <t>22-25,10,21</t>
  </si>
  <si>
    <t>02,11,2021</t>
  </si>
  <si>
    <t>08,11,21</t>
  </si>
  <si>
    <t>21,10,2021</t>
  </si>
  <si>
    <t>18,10,2021</t>
  </si>
  <si>
    <t>13,10,2021</t>
  </si>
  <si>
    <t>19-20,10,2021</t>
  </si>
  <si>
    <t>20,10,2021</t>
  </si>
  <si>
    <t>14,10,2021</t>
  </si>
  <si>
    <t>27,09,2021</t>
  </si>
  <si>
    <t>15,10,2021</t>
  </si>
  <si>
    <t>28-29,10,2021</t>
  </si>
  <si>
    <t>28,09,2021</t>
  </si>
  <si>
    <t>27,10-01,11,2021</t>
  </si>
  <si>
    <t>06,10,2021</t>
  </si>
  <si>
    <t>29,09,2021</t>
  </si>
  <si>
    <t>25-29,10,2021</t>
  </si>
  <si>
    <t>25,10,2021-27,10,2021</t>
  </si>
  <si>
    <t>24,09,2021</t>
  </si>
  <si>
    <t>02,10,2021</t>
  </si>
  <si>
    <t>04,10,2021</t>
  </si>
  <si>
    <t>19,10,2021</t>
  </si>
  <si>
    <t>30,09,2021</t>
  </si>
  <si>
    <t>03,11,2021</t>
  </si>
  <si>
    <t>08,11,2021</t>
  </si>
  <si>
    <t>11,10,2021</t>
  </si>
  <si>
    <t>23,09,2021</t>
  </si>
  <si>
    <t>15-18,10,2021</t>
  </si>
  <si>
    <t>07,10,2021</t>
  </si>
  <si>
    <t>11,11,2021</t>
  </si>
  <si>
    <t>02-03,11,2021</t>
  </si>
  <si>
    <t>25,10-26.01.1900  2:24:00</t>
  </si>
  <si>
    <t>18,11,2021</t>
  </si>
  <si>
    <t>16,11,2021</t>
  </si>
  <si>
    <t>19,11,2021</t>
  </si>
  <si>
    <t>17-18,11,2021</t>
  </si>
  <si>
    <t>9-19,11,2021</t>
  </si>
  <si>
    <t>16-17-19,11,2021</t>
  </si>
  <si>
    <t>09,11,2021</t>
  </si>
  <si>
    <t>12,11,2021</t>
  </si>
  <si>
    <t>15-16,11,2021</t>
  </si>
  <si>
    <t>17,11,2021</t>
  </si>
  <si>
    <t>17-22,11,2021</t>
  </si>
  <si>
    <t>10,11,2021</t>
  </si>
  <si>
    <t>04-09,11,2021</t>
  </si>
  <si>
    <t>22,11,2021</t>
  </si>
  <si>
    <t>09-15,11,2021</t>
  </si>
  <si>
    <t>15,11,2021</t>
  </si>
  <si>
    <t>05,11,2021</t>
  </si>
  <si>
    <t>16-17,11,2021</t>
  </si>
  <si>
    <t>27,10,2021 05,11,2021</t>
  </si>
  <si>
    <t>11-19-22,11,2021</t>
  </si>
  <si>
    <t>27,10,2021-12,11,2021</t>
  </si>
  <si>
    <t>28,10-08,11,2021</t>
  </si>
  <si>
    <t>29,10-03,16,11,2021</t>
  </si>
  <si>
    <t>11-15,11,2021</t>
  </si>
  <si>
    <t>12-15,11,2021</t>
  </si>
  <si>
    <t>05-24,11,2021</t>
  </si>
  <si>
    <t>26,11,2021</t>
  </si>
  <si>
    <t>29,11,2021</t>
  </si>
  <si>
    <t>12-18,2021</t>
  </si>
  <si>
    <t>10-22,11,2021</t>
  </si>
  <si>
    <t>05,11-06,12,2021</t>
  </si>
  <si>
    <t>26,10-15,12,2021</t>
  </si>
  <si>
    <t>15,12,2021</t>
  </si>
  <si>
    <t>20,12,2021</t>
  </si>
  <si>
    <t>10-16,11,2021</t>
  </si>
  <si>
    <t>11-18,11,2021</t>
  </si>
  <si>
    <t>15-17,11,2021</t>
  </si>
  <si>
    <t>27-30,09,2021</t>
  </si>
  <si>
    <t>21,10,21-29,12,2021</t>
  </si>
  <si>
    <t>18-19,11,2021-29,12,2021</t>
  </si>
  <si>
    <t>13,10,2021-28,12,2021</t>
  </si>
  <si>
    <t>28,12-18,10-07,10,2021</t>
  </si>
  <si>
    <t>27,10,21-28,12,2021</t>
  </si>
  <si>
    <t>25,10,21-15,12,2021</t>
  </si>
  <si>
    <t>27,12,2021</t>
  </si>
  <si>
    <t>23,11,2021</t>
  </si>
  <si>
    <t>01,11-08,11,2021</t>
  </si>
  <si>
    <t>22,10,21-28,12,2021</t>
  </si>
  <si>
    <t>08-10-11,11,2021</t>
  </si>
  <si>
    <t>22,12,2021</t>
  </si>
  <si>
    <t>22 193 711,10</t>
  </si>
  <si>
    <t>59 183 229,60</t>
  </si>
  <si>
    <t>16 813 417,50</t>
  </si>
  <si>
    <t>12 329 839,50</t>
  </si>
  <si>
    <t>10 088 050,50</t>
  </si>
  <si>
    <t>20 549 732,50</t>
  </si>
  <si>
    <t>118 366 459,20</t>
  </si>
  <si>
    <t>14 123 270,70</t>
  </si>
  <si>
    <t>18 494 759,25</t>
  </si>
  <si>
    <t>14428372,50</t>
  </si>
  <si>
    <t>12329839,50</t>
  </si>
  <si>
    <t>14 428 372,50</t>
  </si>
  <si>
    <t>11 096 855,55</t>
  </si>
  <si>
    <t>28 246 541,40</t>
  </si>
  <si>
    <t>8 657 023,50</t>
  </si>
  <si>
    <t>30,12,2021</t>
  </si>
  <si>
    <t>АВ</t>
  </si>
  <si>
    <t>19,05,1993</t>
  </si>
  <si>
    <t>SAMAD O'G'LI</t>
  </si>
  <si>
    <t>59781040</t>
  </si>
  <si>
    <t>24,12,2021</t>
  </si>
  <si>
    <t>05,11,21-09,12,2021-08,01,2022</t>
  </si>
  <si>
    <t>возврат</t>
  </si>
  <si>
    <t>19,11-22-24,11,2021</t>
  </si>
  <si>
    <t>25,10-20,12,2021</t>
  </si>
  <si>
    <t>08,11,2021-11,01,2022</t>
  </si>
  <si>
    <t>18,10+19,10,2021</t>
  </si>
  <si>
    <t>53802936</t>
  </si>
  <si>
    <t>26,10,2021-01,11,2021-01,11,-01,11,2021</t>
  </si>
  <si>
    <t>16,11,2021-17,11-29,10,2021</t>
  </si>
  <si>
    <t>22,10,2021-28,12,2021-26,01,2022</t>
  </si>
  <si>
    <t>17,11,2021-21,01,2022</t>
  </si>
  <si>
    <t>29,10,21-29,11,2021-28,01,2022</t>
  </si>
  <si>
    <t>21,10,2021-27,01,2022</t>
  </si>
  <si>
    <t>83107425,60</t>
  </si>
  <si>
    <t>12,11,2021-27,01,2022</t>
  </si>
  <si>
    <t>92341584</t>
  </si>
  <si>
    <t>04,07,2019</t>
  </si>
  <si>
    <t>DUSMURODOVA</t>
  </si>
  <si>
    <t>O'RAL QIZI</t>
  </si>
  <si>
    <t>6412610</t>
  </si>
  <si>
    <t>02,02,2022</t>
  </si>
  <si>
    <t>ПЕРЕВОД</t>
  </si>
  <si>
    <t>05,05,2015</t>
  </si>
  <si>
    <t>A'ZAMJON</t>
  </si>
  <si>
    <t>5771349</t>
  </si>
  <si>
    <t>31,01,2022</t>
  </si>
  <si>
    <t>12,06,2018</t>
  </si>
  <si>
    <t>URUNBAYEV</t>
  </si>
  <si>
    <t>28,01,2022</t>
  </si>
  <si>
    <t>04,10,2021-31,01,2022</t>
  </si>
  <si>
    <t>29,10,21-31,01,2022</t>
  </si>
  <si>
    <t>12,10-18,10,-18,10,2021-07,02,2022</t>
  </si>
  <si>
    <t>27,10,2021-09,02,2022</t>
  </si>
  <si>
    <t>27,10,2021-11,01,2022</t>
  </si>
  <si>
    <t>21,12,1992</t>
  </si>
  <si>
    <t>RADIK</t>
  </si>
  <si>
    <t>MARTINOV</t>
  </si>
  <si>
    <t>ALEKSANDROVICH</t>
  </si>
  <si>
    <t>4109946,50</t>
  </si>
  <si>
    <t>10,02,2022</t>
  </si>
  <si>
    <t>17,05,1997</t>
  </si>
  <si>
    <t>RAXMATILLA O'G'LI</t>
  </si>
  <si>
    <t>14,02,2022</t>
  </si>
  <si>
    <t>07,09,2002</t>
  </si>
  <si>
    <t>KARIMJON</t>
  </si>
  <si>
    <t>TEMIEV</t>
  </si>
  <si>
    <t>KAFLON O'G'LI</t>
  </si>
  <si>
    <t>102601760</t>
  </si>
  <si>
    <t>11,02,2022</t>
  </si>
  <si>
    <t>25,10,2021-04,02,2022</t>
  </si>
  <si>
    <t>16813417,50</t>
  </si>
  <si>
    <t>29,10,21, 01,02,2022, 12,01,2022, 07,12,2021</t>
  </si>
  <si>
    <t>Фоизда</t>
  </si>
  <si>
    <t>25,10,2021, 14,01,2022</t>
  </si>
  <si>
    <t>05,11,2021-14,02,2022</t>
  </si>
  <si>
    <t>59183229,60</t>
  </si>
  <si>
    <t>сер.бор</t>
  </si>
  <si>
    <t>46170792</t>
  </si>
  <si>
    <t>03,11,2021-16,02,2022</t>
  </si>
  <si>
    <t>20176101</t>
  </si>
  <si>
    <t>94155138</t>
  </si>
  <si>
    <t>ISHANXODJAYEV</t>
  </si>
  <si>
    <t>MUHAMMADAMIN</t>
  </si>
  <si>
    <t>NODIRXON O‘G‘LI</t>
  </si>
  <si>
    <t>13 694 895.00</t>
  </si>
  <si>
    <t>ASKAROV</t>
  </si>
  <si>
    <t>16 031 525.00</t>
  </si>
  <si>
    <t>21,10,2021-22,02,2022</t>
  </si>
  <si>
    <t>27.04.1906  4:51:01-22,02,2022</t>
  </si>
  <si>
    <t>19,11,2021-02,02,2022-22,02,2022-27,12,2021</t>
  </si>
  <si>
    <t>21,10,2021-14,02,2022-14,02,2022</t>
  </si>
  <si>
    <t>10088050,50</t>
  </si>
  <si>
    <t>51061968</t>
  </si>
  <si>
    <t>102123936</t>
  </si>
  <si>
    <t>28,09-13,10,2021-15,02,2022-15,02,2022</t>
  </si>
  <si>
    <t>21,10,2021-24,02,2022</t>
  </si>
  <si>
    <t>27,10,2021-07,02,2022-07,02,2022</t>
  </si>
  <si>
    <t>27,10,2021-25,02,2022</t>
  </si>
  <si>
    <t>22,10,2021-21,02,2022-25,02,2022</t>
  </si>
  <si>
    <t>25,10,21-25,02,2022</t>
  </si>
  <si>
    <t>02,11,2021-25,02,2022</t>
  </si>
  <si>
    <t>25,10,2021-22,02,2022</t>
  </si>
  <si>
    <t>04,10,2021-25,02,2022</t>
  </si>
  <si>
    <t>03,11-25,10,21-04,02,2022-04,02,2022</t>
  </si>
  <si>
    <t>25,10,21 25,02,2022</t>
  </si>
  <si>
    <t>25,10,21-24,02,2022</t>
  </si>
  <si>
    <t>29,09,2021-01,03,2022</t>
  </si>
  <si>
    <t>29,10,2021-28,02,2022-28,02,2022</t>
  </si>
  <si>
    <t>28,09,2021-28,02,22</t>
  </si>
  <si>
    <t>14,10,2021-25,02,2022</t>
  </si>
  <si>
    <t>11096855,55</t>
  </si>
  <si>
    <t>25,10,2021-1500000</t>
  </si>
  <si>
    <t>24,09,2021-01,03,2022</t>
  </si>
  <si>
    <t>19,10,2021-04,11,2021-21,02,2022-03,12,2021-07,01,2022</t>
  </si>
  <si>
    <t>30,09,-05,10,2021-01,03,2022</t>
  </si>
  <si>
    <t>10-15,11,2021-22,02,2022-22,02,2022-22,02,2022-23,02,2022-22,02,2022</t>
  </si>
  <si>
    <t>04,10,2021-28,02,2022</t>
  </si>
  <si>
    <t>16,11,2021-31,01,2022</t>
  </si>
  <si>
    <t>22,09,2021-03,03,2022</t>
  </si>
  <si>
    <t>01,11,2021-03,03,2022-03,03,2022</t>
  </si>
  <si>
    <t>28,10,2021-03,03,2022</t>
  </si>
  <si>
    <t>26,10,2021-01,03,2022</t>
  </si>
  <si>
    <t>28,09,2021-18,02,2022</t>
  </si>
  <si>
    <t xml:space="preserve"> </t>
  </si>
  <si>
    <t>29,10,2021 18.02.2022 21.02.2022</t>
  </si>
  <si>
    <t>25,10,2021-07,03,2022</t>
  </si>
  <si>
    <t>27,10,2021-09,03,2022</t>
  </si>
  <si>
    <t>06,10,2021-13,10,2021-04,03,2022</t>
  </si>
  <si>
    <t>17314047</t>
  </si>
  <si>
    <t>22,10,2021-02,03,2022-07,02,2022</t>
  </si>
  <si>
    <t>04,10,2021-22,02,2022</t>
  </si>
  <si>
    <t>15,10,2021-10,03,2022-18,01,2022</t>
  </si>
  <si>
    <t>19,11,2021-25,02,2022</t>
  </si>
  <si>
    <t>28,10,2021-09,11,2021</t>
  </si>
  <si>
    <t>28,10,2021-15,02,2022</t>
  </si>
  <si>
    <t>27,09,2021-28,02,2022</t>
  </si>
  <si>
    <t>18,11,2021-28,02,2022-28,02,2022</t>
  </si>
  <si>
    <t>30,09,2021-02,03,2022</t>
  </si>
  <si>
    <t>19,10,2021-07,03,2022-07,03,2022-07,03,2022</t>
  </si>
  <si>
    <t>05,11,2021-07,03,2022-07,03,2022</t>
  </si>
  <si>
    <t>25,10,2021-04,03,2022-04,03,2022-04,03,2022</t>
  </si>
  <si>
    <t>05,11,2021-01,03,2022-01,03,2022-01,03,2022</t>
  </si>
  <si>
    <t>16-18,11,2021-09,03,2022</t>
  </si>
  <si>
    <t>12,11,2021-10,03,2022</t>
  </si>
  <si>
    <t>25,10,2021 28,01,2022</t>
  </si>
  <si>
    <t>04-22,11,2021 10,03,2022</t>
  </si>
  <si>
    <t>28,10,2021 07,03,2022</t>
  </si>
  <si>
    <t>25,10,2021-10,03,2022</t>
  </si>
  <si>
    <t>17-19,11,2021-24,11,2021-28,02,2022-11,03,2022</t>
  </si>
  <si>
    <t>22,11,2021-03,03,2022-11,03,2022</t>
  </si>
  <si>
    <t>05,11,2021 16,02,2022-09,03,2022-09,03,2022</t>
  </si>
  <si>
    <t>02-15,11,2021-06,12,2021-02,02,2022-02,03,2022</t>
  </si>
  <si>
    <t>25,10,2021-11,03,2022</t>
  </si>
  <si>
    <t>16,11,2021-28,02,2022</t>
  </si>
  <si>
    <t>04,11,2021 041,03,2022</t>
  </si>
  <si>
    <t>24,09,2021-04,02,2022-04,03,2022</t>
  </si>
  <si>
    <t>28,09,2021-11,03,2022</t>
  </si>
  <si>
    <t>01,11,21-14,03,2022</t>
  </si>
  <si>
    <t>11,11,2021-14,03,2022</t>
  </si>
  <si>
    <t>19,10,2021-19,10,2021-03,02,2022</t>
  </si>
  <si>
    <t>09,11,2021-14,03,2022</t>
  </si>
  <si>
    <t>26-28,10,2021-25,01,2022-17,02,2022-04,03,2022</t>
  </si>
  <si>
    <t>11,11,2021-09,02,2022</t>
  </si>
  <si>
    <t>11,11,2021-11,03,2022-01,03,2022</t>
  </si>
  <si>
    <t>28,09,2021-15,03,2022</t>
  </si>
  <si>
    <t>02,11,21-03,120,2021-04,03,2022</t>
  </si>
  <si>
    <t>14,10,2021-15,03,2022</t>
  </si>
  <si>
    <t>28,09,2021-10,03,2022</t>
  </si>
  <si>
    <t>8657023,50</t>
  </si>
  <si>
    <t>05,10,2021-15,11,2021-16,12,2021-13,01,2022-11,02,2022-16,03,2022</t>
  </si>
  <si>
    <t>29,10,2021-07,03,2022</t>
  </si>
  <si>
    <t>18494759,25</t>
  </si>
  <si>
    <t>01,11,2021-13,01,2022-28,02,2022-28,02,2022-07,02,2022-09,03,2022</t>
  </si>
  <si>
    <t>28,09,2021-14,02,2022</t>
  </si>
  <si>
    <t>14945260</t>
  </si>
  <si>
    <t>27,10,21-03,12,2021-09,02,2022</t>
  </si>
  <si>
    <t>03,11,2021-25,03,2022</t>
  </si>
  <si>
    <t>01,11,2021-09,03,2022</t>
  </si>
  <si>
    <t>30,09,2021-5000000</t>
  </si>
  <si>
    <t>20,10,2021-25,01,2022-02,03,2022</t>
  </si>
  <si>
    <t>22,11-19,11,2021-24,03,2022</t>
  </si>
  <si>
    <t>27,09,2021-10,03,2022</t>
  </si>
  <si>
    <t>12,11,2021-24,03,2022</t>
  </si>
  <si>
    <t>03-08,11,2021-10,03,2022</t>
  </si>
  <si>
    <t>19,11,2021-28,03,2022</t>
  </si>
  <si>
    <t>04,11,2021-28,03,2022-28,03,2022</t>
  </si>
  <si>
    <t>107605872</t>
  </si>
  <si>
    <t>25,10,2021-01,03,2022</t>
  </si>
  <si>
    <t>07,10,2021-03,03,2022-11,03,2022-11,03,2022</t>
  </si>
  <si>
    <t>27,10,2021-24,11,2021</t>
  </si>
  <si>
    <t>03,11,21-16,03,2022</t>
  </si>
  <si>
    <t>27,10,2021-28,02,2022-28,12,2021-29,11,2021</t>
  </si>
  <si>
    <t>12,11,2021-07,03,2022</t>
  </si>
  <si>
    <t>13,10,2021-15,03,2022</t>
  </si>
  <si>
    <t>25,10,2021-14,03,2022</t>
  </si>
  <si>
    <t>05,11,2021 28,02,2022</t>
  </si>
  <si>
    <t>29,10,2021-25,03,2022-25,03,2022</t>
  </si>
  <si>
    <t>24,09,2021-01,03,2022-01,03,2022</t>
  </si>
  <si>
    <t>25,10,2021-29,03,2022</t>
  </si>
  <si>
    <t>19,10,2021-04,03,2022</t>
  </si>
  <si>
    <t>25,10,2021-26,01,2022</t>
  </si>
  <si>
    <t>19,10,2021-11,03,2022</t>
  </si>
  <si>
    <t>09,11,2021-30,03,2022</t>
  </si>
  <si>
    <t>16,11,2021-28,03,2022</t>
  </si>
  <si>
    <t>23,09,2021-14,12,2022</t>
  </si>
  <si>
    <t>27,10,2021-27,10,2021-24,11,2021-24,11,2021</t>
  </si>
  <si>
    <t>17,11,2021-10,03,2022-11,03,2022-15,03,2022</t>
  </si>
  <si>
    <t>17,11,2021-29,03,2022</t>
  </si>
  <si>
    <t>27,10,2021-25,03,2022-25,03,2022-25,03,2022</t>
  </si>
  <si>
    <t>18,11,2021-29,12,2021-29,03,2022</t>
  </si>
  <si>
    <t>09-24-29,11,2021-11,03,2022</t>
  </si>
  <si>
    <t>01,11,2021-14,03,2022</t>
  </si>
  <si>
    <t>15,10,2021-01,03,2022</t>
  </si>
  <si>
    <t>18,10,2021-07,03,22</t>
  </si>
  <si>
    <t>13,10,2021-22,02,2022</t>
  </si>
  <si>
    <t>27,10,2021-15,02,2022</t>
  </si>
  <si>
    <t>02,11,21-10,03,2022</t>
  </si>
  <si>
    <t>26,10,2021-03,03,2022-18,03,2022-30,03,2022</t>
  </si>
  <si>
    <t>11,11,2021-28,03,2022</t>
  </si>
  <si>
    <t>10,11,2021-14,02,2022-09,03,2022</t>
  </si>
  <si>
    <t>18,11,2021-13,12,2021-21,12,2021-07,03,2022</t>
  </si>
  <si>
    <t>27,10,2021-29,03,2022-29,03,2022</t>
  </si>
  <si>
    <t>16,11,2021-14,03,2022</t>
  </si>
  <si>
    <t>06,12,2021-30,03,2022-30,03,2022</t>
  </si>
  <si>
    <t>22,10,2021-30,03,2022</t>
  </si>
  <si>
    <t>25,10,21-15,03,2022</t>
  </si>
  <si>
    <t>25,10,2021-10,03,2022-29,03,2022-29,03,2022-29,03,2022</t>
  </si>
  <si>
    <t>21,10,21-22,02,2022-28,02,2022</t>
  </si>
  <si>
    <t>26,10,2021-10,03,2022</t>
  </si>
  <si>
    <t>08,11,2021-03,03,2022</t>
  </si>
  <si>
    <t>21,10,2021-25,03,2022</t>
  </si>
  <si>
    <t>06-15,10,2021-28,02,2022-1220000</t>
  </si>
  <si>
    <t>20,10,2021 09,03,2022</t>
  </si>
  <si>
    <t>18-23,11,2021-27,01,2022 07,03,2022</t>
  </si>
  <si>
    <t>29,09,2021 10,03,2022</t>
  </si>
  <si>
    <t>09,11,2021 23,02,2022 25,03,2022</t>
  </si>
  <si>
    <t>25,10,2021 21,01,2022 06,12,2021 24,11,2021 26,11,2021</t>
  </si>
  <si>
    <t>29,10,2021 15,03,2022</t>
  </si>
  <si>
    <t>11,11,2021-28,02,2022</t>
  </si>
  <si>
    <t>01,11,2021-09,03,2022-09,03,2022</t>
  </si>
  <si>
    <t>02,11,2021-11,03,2022</t>
  </si>
  <si>
    <t>01,11,2021-31,03,2022</t>
  </si>
  <si>
    <t>25,10,2021-31,03,2022</t>
  </si>
  <si>
    <t>04,11,2021-31,03,2022</t>
  </si>
  <si>
    <t>25,10,2021-17,12,2021</t>
  </si>
  <si>
    <t>21,10,2021-25,02,2022</t>
  </si>
  <si>
    <t>17,11,2021-28,02,2022</t>
  </si>
  <si>
    <t>22,10,2021-21,02,2022</t>
  </si>
  <si>
    <t>18,11,2021-04,04,2022</t>
  </si>
  <si>
    <t>16-17,11,2021-09,02,2022-17,01,2022</t>
  </si>
  <si>
    <t>01,11,21-22,02,2022-24,02,2022-09,12,2021-08,01,2022-04,02,2022</t>
  </si>
  <si>
    <t>27,10,2021-14,02,2022</t>
  </si>
  <si>
    <t>01-04,11,2021 01,02,2022 01,03,2022 01,04,2022</t>
  </si>
  <si>
    <t>29,10,21-11,03,2022 22,12,2021 22,12,2021</t>
  </si>
  <si>
    <t>14,10,2021-07,03,2022</t>
  </si>
  <si>
    <t>26,10,2021-11,03,2022</t>
  </si>
  <si>
    <t>18,10,2021-11,02,2022-06,04,2022</t>
  </si>
  <si>
    <t>18-19,11,2021-07,03,2022-04,04,2022-06,04,2022</t>
  </si>
  <si>
    <t>12,11,2021-28,03,2022-04,04,2022</t>
  </si>
  <si>
    <t>17,11,2021-18,03,2022</t>
  </si>
  <si>
    <t>18,10,2021-25,03,2022-25,03,2022</t>
  </si>
  <si>
    <t>25,10,2021-10,03,2022-01,04,2022</t>
  </si>
  <si>
    <t>03-04,11,2021-31,01,2022-24,02,2022-28,02,2022</t>
  </si>
  <si>
    <t>12,11,2021-24,03,2022-28,03,2022</t>
  </si>
  <si>
    <t>25,10,21-28,03,2022</t>
  </si>
  <si>
    <t>15,10,2021-07,12,2021-17,01,2022</t>
  </si>
  <si>
    <t>25,1-01-05,11,2021-25,03,2022-28,03,2022</t>
  </si>
  <si>
    <t>18,10,2021-30,03,2022 14,03,2022</t>
  </si>
  <si>
    <t>11208945</t>
  </si>
  <si>
    <t>25,10,21 09,03,2022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</si>
</sst>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EB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17" fontId="18" fillId="0" borderId="0" xfId="0" applyNumberFormat="1" applyFont="1" applyAlignment="1">
      <alignment wrapText="1"/>
    </xf>
    <xf numFmtId="16" fontId="18" fillId="0" borderId="0" xfId="0" applyNumberFormat="1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20" fillId="34" borderId="11" xfId="0" applyNumberFormat="1" applyFont="1" applyFill="1" applyBorder="1" applyAlignment="1">
      <alignment vertical="center" wrapText="1"/>
    </xf>
    <xf numFmtId="14" fontId="20" fillId="34" borderId="11" xfId="0" applyNumberFormat="1" applyFont="1" applyFill="1" applyBorder="1" applyAlignment="1">
      <alignment vertical="center" wrapText="1"/>
    </xf>
    <xf numFmtId="4" fontId="21" fillId="34" borderId="11" xfId="0" applyNumberFormat="1" applyFont="1" applyFill="1" applyBorder="1"/>
    <xf numFmtId="14" fontId="21" fillId="34" borderId="11" xfId="0" applyNumberFormat="1" applyFont="1" applyFill="1" applyBorder="1"/>
    <xf numFmtId="14" fontId="21" fillId="34" borderId="11" xfId="42" applyNumberFormat="1" applyFont="1" applyFill="1" applyBorder="1"/>
    <xf numFmtId="14" fontId="21" fillId="34" borderId="11" xfId="43" applyNumberFormat="1" applyFont="1" applyFill="1" applyBorder="1"/>
    <xf numFmtId="14" fontId="23" fillId="34" borderId="11" xfId="42" applyNumberFormat="1" applyFont="1" applyFill="1" applyBorder="1"/>
    <xf numFmtId="14" fontId="23" fillId="34" borderId="11" xfId="42" applyNumberFormat="1" applyFont="1" applyFill="1" applyBorder="1" applyAlignment="1">
      <alignment vertical="center" wrapText="1"/>
    </xf>
    <xf numFmtId="14" fontId="23" fillId="34" borderId="11" xfId="43" applyNumberFormat="1" applyFont="1" applyFill="1" applyBorder="1" applyAlignment="1">
      <alignment vertical="center" wrapText="1"/>
    </xf>
    <xf numFmtId="14" fontId="21" fillId="34" borderId="0" xfId="0" applyNumberFormat="1" applyFont="1" applyFill="1" applyBorder="1"/>
    <xf numFmtId="14" fontId="21" fillId="34" borderId="0" xfId="42" applyNumberFormat="1" applyFont="1" applyFill="1" applyBorder="1"/>
    <xf numFmtId="14" fontId="21" fillId="34" borderId="0" xfId="43" applyNumberFormat="1" applyFont="1" applyFill="1" applyBorder="1"/>
    <xf numFmtId="43" fontId="20" fillId="34" borderId="11" xfId="44" applyFont="1" applyFill="1" applyBorder="1" applyAlignment="1">
      <alignment vertical="center" wrapText="1"/>
    </xf>
    <xf numFmtId="43" fontId="0" fillId="0" borderId="0" xfId="44" applyFont="1"/>
    <xf numFmtId="43" fontId="21" fillId="34" borderId="11" xfId="44" applyFont="1" applyFill="1" applyBorder="1"/>
    <xf numFmtId="43" fontId="21" fillId="34" borderId="0" xfId="44" applyFont="1" applyFill="1" applyBorder="1"/>
    <xf numFmtId="43" fontId="23" fillId="34" borderId="11" xfId="44" applyFont="1" applyFill="1" applyBorder="1"/>
    <xf numFmtId="43" fontId="23" fillId="34" borderId="11" xfId="44" applyFont="1" applyFill="1" applyBorder="1" applyAlignment="1">
      <alignment vertical="center" wrapText="1"/>
    </xf>
    <xf numFmtId="43" fontId="18" fillId="0" borderId="0" xfId="44" applyFont="1" applyAlignment="1">
      <alignment wrapText="1"/>
    </xf>
    <xf numFmtId="43" fontId="24" fillId="0" borderId="11" xfId="44" applyFont="1" applyFill="1" applyBorder="1" applyAlignment="1" applyProtection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0" fillId="0" borderId="0" xfId="0" applyNumberFormat="1"/>
    <xf numFmtId="49" fontId="18" fillId="35" borderId="0" xfId="44" applyNumberFormat="1" applyFont="1" applyFill="1" applyAlignment="1">
      <alignment wrapText="1"/>
    </xf>
    <xf numFmtId="49" fontId="0" fillId="0" borderId="0" xfId="0" applyNumberFormat="1"/>
    <xf numFmtId="49" fontId="19" fillId="0" borderId="0" xfId="44" applyNumberFormat="1" applyFont="1" applyAlignment="1">
      <alignment horizontal="center" vertical="center" wrapText="1"/>
    </xf>
    <xf numFmtId="49" fontId="18" fillId="0" borderId="0" xfId="44" applyNumberFormat="1" applyFont="1" applyAlignment="1">
      <alignment wrapText="1"/>
    </xf>
    <xf numFmtId="49" fontId="18" fillId="35" borderId="0" xfId="44" applyNumberFormat="1" applyFont="1" applyFill="1" applyAlignment="1">
      <alignment horizontal="center" wrapText="1"/>
    </xf>
    <xf numFmtId="49" fontId="19" fillId="33" borderId="10" xfId="44" applyNumberFormat="1" applyFont="1" applyFill="1" applyBorder="1" applyAlignment="1">
      <alignment wrapText="1"/>
    </xf>
    <xf numFmtId="49" fontId="0" fillId="0" borderId="0" xfId="44" applyNumberFormat="1" applyFont="1"/>
    <xf numFmtId="0" fontId="0" fillId="36" borderId="0" xfId="0" applyFill="1"/>
    <xf numFmtId="0" fontId="18" fillId="0" borderId="0" xfId="0" applyFont="1"/>
    <xf numFmtId="49" fontId="18" fillId="0" borderId="0" xfId="44" applyNumberFormat="1" applyFont="1"/>
    <xf numFmtId="43" fontId="18" fillId="0" borderId="0" xfId="44" applyFont="1"/>
    <xf numFmtId="10" fontId="20" fillId="34" borderId="11" xfId="0" applyNumberFormat="1" applyFont="1" applyFill="1" applyBorder="1" applyAlignment="1">
      <alignment vertical="center" wrapText="1"/>
    </xf>
    <xf numFmtId="10" fontId="0" fillId="0" borderId="0" xfId="0" applyNumberFormat="1"/>
    <xf numFmtId="0" fontId="0" fillId="35" borderId="0" xfId="0" applyFill="1"/>
    <xf numFmtId="14" fontId="25" fillId="0" borderId="11" xfId="0" applyNumberFormat="1" applyFont="1" applyFill="1" applyBorder="1" applyAlignment="1" applyProtection="1">
      <alignment horizontal="center" vertical="center" wrapText="1"/>
    </xf>
    <xf numFmtId="3" fontId="25" fillId="0" borderId="11" xfId="44" applyNumberFormat="1" applyFont="1" applyFill="1" applyBorder="1" applyAlignment="1" applyProtection="1">
      <alignment horizontal="center" vertical="center" wrapText="1"/>
    </xf>
    <xf numFmtId="14" fontId="21" fillId="34" borderId="11" xfId="0" applyNumberFormat="1" applyFont="1" applyFill="1" applyBorder="1" applyAlignment="1">
      <alignment wrapText="1"/>
    </xf>
    <xf numFmtId="1" fontId="18" fillId="35" borderId="0" xfId="44" applyNumberFormat="1" applyFont="1" applyFill="1" applyAlignment="1">
      <alignment horizontal="left" vertical="center" wrapText="1"/>
    </xf>
    <xf numFmtId="1" fontId="18" fillId="35" borderId="0" xfId="44" applyNumberFormat="1" applyFont="1" applyFill="1" applyAlignment="1">
      <alignment wrapText="1"/>
    </xf>
    <xf numFmtId="14" fontId="21" fillId="34" borderId="11" xfId="42" applyNumberFormat="1" applyFont="1" applyFill="1" applyBorder="1" applyAlignment="1">
      <alignment wrapText="1"/>
    </xf>
    <xf numFmtId="0" fontId="0" fillId="35" borderId="0" xfId="0" applyNumberFormat="1" applyFill="1"/>
    <xf numFmtId="0" fontId="0" fillId="0" borderId="0" xfId="0" applyAlignment="1">
      <alignment wrapText="1"/>
    </xf>
    <xf numFmtId="14" fontId="21" fillId="34" borderId="0" xfId="0" applyNumberFormat="1" applyFont="1" applyFill="1" applyBorder="1" applyAlignment="1">
      <alignment wrapText="1"/>
    </xf>
    <xf numFmtId="2" fontId="0" fillId="0" borderId="0" xfId="0" applyNumberFormat="1"/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/>
    <cellStyle name="Обычный 2 3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4" builtinId="3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219"/>
  <sheetViews>
    <sheetView tabSelected="1" zoomScale="89" zoomScaleNormal="89" workbookViewId="0">
      <pane ySplit="1" topLeftCell="A837" activePane="bottomLeft" state="frozen"/>
      <selection pane="bottomLeft" activeCell="H847" sqref="H847"/>
    </sheetView>
  </sheetViews>
  <sheetFormatPr defaultRowHeight="15"/>
  <cols>
    <col min="1" max="1" width="5" bestFit="1" customWidth="1"/>
    <col min="2" max="2" width="10.7109375" bestFit="1" customWidth="1"/>
    <col min="3" max="3" width="11.7109375" bestFit="1" customWidth="1"/>
    <col min="4" max="4" width="5.7109375" bestFit="1" customWidth="1"/>
    <col min="5" max="5" width="10.140625" customWidth="1"/>
    <col min="6" max="6" width="10" bestFit="1" customWidth="1"/>
    <col min="7" max="7" width="9.85546875" bestFit="1" customWidth="1"/>
    <col min="8" max="8" width="18.5703125" bestFit="1" customWidth="1"/>
    <col min="9" max="9" width="17.42578125" bestFit="1" customWidth="1"/>
    <col min="10" max="10" width="19.5703125" bestFit="1" customWidth="1"/>
    <col min="11" max="11" width="10.28515625" hidden="1" customWidth="1"/>
    <col min="12" max="12" width="9" hidden="1" customWidth="1"/>
    <col min="13" max="13" width="8" hidden="1" customWidth="1"/>
    <col min="14" max="14" width="36.5703125" hidden="1" customWidth="1"/>
    <col min="15" max="15" width="6.7109375" hidden="1" customWidth="1"/>
    <col min="16" max="16" width="8.7109375" hidden="1" customWidth="1"/>
    <col min="17" max="17" width="6.7109375" hidden="1" customWidth="1"/>
    <col min="18" max="18" width="12.7109375" hidden="1" customWidth="1"/>
    <col min="19" max="19" width="13.28515625" hidden="1" customWidth="1"/>
    <col min="20" max="20" width="15.42578125" hidden="1" customWidth="1"/>
    <col min="21" max="21" width="11.28515625" hidden="1" customWidth="1"/>
    <col min="22" max="22" width="15.28515625" style="35" bestFit="1" customWidth="1"/>
    <col min="23" max="23" width="22.7109375" style="20" customWidth="1"/>
    <col min="24" max="24" width="15.28515625" customWidth="1"/>
    <col min="25" max="25" width="14" customWidth="1"/>
    <col min="26" max="26" width="11" style="4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1" t="s">
        <v>21</v>
      </c>
      <c r="W1" s="19" t="s">
        <v>2621</v>
      </c>
      <c r="X1" s="8" t="s">
        <v>2622</v>
      </c>
      <c r="Y1" s="7" t="s">
        <v>2623</v>
      </c>
      <c r="Z1" s="40" t="s">
        <v>2794</v>
      </c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1"/>
      <c r="Z2" s="41">
        <f>W3/V3*100</f>
        <v>0</v>
      </c>
      <c r="AA2" s="28"/>
    </row>
    <row r="3" spans="1:27">
      <c r="A3" s="2">
        <v>1</v>
      </c>
      <c r="B3" s="2">
        <v>3342604</v>
      </c>
      <c r="C3" s="2">
        <v>51602036040014</v>
      </c>
      <c r="D3" s="2" t="s">
        <v>22</v>
      </c>
      <c r="E3" s="2">
        <v>1728558</v>
      </c>
      <c r="F3" s="2">
        <v>999550216</v>
      </c>
      <c r="G3" s="3">
        <v>37668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>
        <v>5240109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>
        <v>25</v>
      </c>
      <c r="T3" s="2" t="s">
        <v>33</v>
      </c>
      <c r="U3" s="2" t="s">
        <v>34</v>
      </c>
      <c r="V3" s="32">
        <v>245231500</v>
      </c>
      <c r="Y3" s="30">
        <f>V3-W3</f>
        <v>245231500</v>
      </c>
      <c r="Z3" s="41">
        <f>W3/V3</f>
        <v>0</v>
      </c>
      <c r="AA3" s="28"/>
    </row>
    <row r="4" spans="1:27" ht="26.25">
      <c r="A4" s="2">
        <v>2</v>
      </c>
      <c r="B4" s="2">
        <v>3409228</v>
      </c>
      <c r="C4" s="2">
        <v>51601037310016</v>
      </c>
      <c r="D4" s="2" t="s">
        <v>35</v>
      </c>
      <c r="E4" s="2">
        <v>1253198</v>
      </c>
      <c r="F4" s="2">
        <v>907368994</v>
      </c>
      <c r="G4" s="3">
        <v>37637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27</v>
      </c>
      <c r="M4" s="2">
        <v>5340605</v>
      </c>
      <c r="N4" s="2" t="s">
        <v>40</v>
      </c>
      <c r="O4" s="2" t="s">
        <v>41</v>
      </c>
      <c r="P4" s="2" t="s">
        <v>42</v>
      </c>
      <c r="Q4" s="2" t="s">
        <v>43</v>
      </c>
      <c r="R4" s="2" t="s">
        <v>44</v>
      </c>
      <c r="S4" s="2">
        <v>8</v>
      </c>
      <c r="T4" s="2" t="s">
        <v>33</v>
      </c>
      <c r="U4" s="2" t="s">
        <v>34</v>
      </c>
      <c r="V4" s="32">
        <v>65759144</v>
      </c>
      <c r="Y4" s="30">
        <f t="shared" ref="Y4:Y67" si="0">V4-W4</f>
        <v>65759144</v>
      </c>
      <c r="Z4" s="41">
        <f t="shared" ref="Z4:Z67" si="1">W4/V4</f>
        <v>0</v>
      </c>
      <c r="AA4" s="28"/>
    </row>
    <row r="5" spans="1:27" ht="39">
      <c r="A5" s="2">
        <v>3</v>
      </c>
      <c r="B5" s="2">
        <v>1881503</v>
      </c>
      <c r="C5" s="2">
        <v>50608007100038</v>
      </c>
      <c r="D5" s="2" t="s">
        <v>45</v>
      </c>
      <c r="E5" s="2">
        <v>6267090</v>
      </c>
      <c r="F5" s="2">
        <v>990461074</v>
      </c>
      <c r="G5" s="3">
        <v>36744</v>
      </c>
      <c r="H5" s="2" t="s">
        <v>46</v>
      </c>
      <c r="I5" s="2" t="s">
        <v>47</v>
      </c>
      <c r="J5" s="2" t="s">
        <v>48</v>
      </c>
      <c r="K5" s="2" t="s">
        <v>26</v>
      </c>
      <c r="L5" s="2" t="s">
        <v>27</v>
      </c>
      <c r="M5" s="2">
        <v>5620101</v>
      </c>
      <c r="N5" s="2" t="s">
        <v>49</v>
      </c>
      <c r="O5" s="2" t="s">
        <v>50</v>
      </c>
      <c r="P5" s="2" t="s">
        <v>51</v>
      </c>
      <c r="Q5" s="2" t="s">
        <v>52</v>
      </c>
      <c r="R5" s="2" t="s">
        <v>53</v>
      </c>
      <c r="S5" s="2">
        <v>8</v>
      </c>
      <c r="T5" s="2" t="s">
        <v>33</v>
      </c>
      <c r="U5" s="2" t="s">
        <v>34</v>
      </c>
      <c r="V5" s="32">
        <v>92341584</v>
      </c>
      <c r="W5" s="20">
        <f>46000000+171000+46500000</f>
        <v>92671000</v>
      </c>
      <c r="X5" s="2" t="s">
        <v>2931</v>
      </c>
      <c r="Y5" s="30">
        <f t="shared" si="0"/>
        <v>-329416</v>
      </c>
      <c r="Z5" s="41">
        <f t="shared" si="1"/>
        <v>1.0035673635401359</v>
      </c>
      <c r="AA5" s="28"/>
    </row>
    <row r="6" spans="1:27">
      <c r="A6" s="2">
        <v>4</v>
      </c>
      <c r="B6" s="2">
        <v>1485107</v>
      </c>
      <c r="C6" s="2">
        <v>52203005930014</v>
      </c>
      <c r="D6" s="2" t="s">
        <v>45</v>
      </c>
      <c r="E6" s="2">
        <v>3792048</v>
      </c>
      <c r="F6" s="2">
        <v>909070501</v>
      </c>
      <c r="G6" s="3">
        <v>36607</v>
      </c>
      <c r="H6" s="2" t="s">
        <v>54</v>
      </c>
      <c r="I6" s="2" t="s">
        <v>55</v>
      </c>
      <c r="J6" s="2" t="s">
        <v>56</v>
      </c>
      <c r="K6" s="2" t="s">
        <v>39</v>
      </c>
      <c r="L6" s="2" t="s">
        <v>57</v>
      </c>
      <c r="M6" s="2">
        <v>5620200</v>
      </c>
      <c r="N6" s="2" t="s">
        <v>58</v>
      </c>
      <c r="O6" s="2" t="s">
        <v>59</v>
      </c>
      <c r="P6" s="2" t="s">
        <v>60</v>
      </c>
      <c r="Q6" s="2" t="s">
        <v>61</v>
      </c>
      <c r="R6" s="2" t="s">
        <v>62</v>
      </c>
      <c r="S6" s="2">
        <v>8</v>
      </c>
      <c r="T6" s="2" t="s">
        <v>33</v>
      </c>
      <c r="U6" s="2" t="s">
        <v>34</v>
      </c>
      <c r="V6" s="32">
        <v>119562080</v>
      </c>
      <c r="Y6" s="30">
        <f t="shared" si="0"/>
        <v>119562080</v>
      </c>
      <c r="Z6" s="41">
        <f t="shared" si="1"/>
        <v>0</v>
      </c>
      <c r="AA6" s="28"/>
    </row>
    <row r="7" spans="1:27" ht="39">
      <c r="A7" s="2">
        <v>5</v>
      </c>
      <c r="B7" s="2">
        <v>2576096</v>
      </c>
      <c r="C7" s="2">
        <v>31202876330018</v>
      </c>
      <c r="D7" s="2" t="s">
        <v>45</v>
      </c>
      <c r="E7" s="2">
        <v>5490014</v>
      </c>
      <c r="F7" s="2">
        <v>997441287</v>
      </c>
      <c r="G7" s="3">
        <v>31820</v>
      </c>
      <c r="H7" s="2" t="s">
        <v>63</v>
      </c>
      <c r="I7" s="2" t="s">
        <v>64</v>
      </c>
      <c r="J7" s="2" t="s">
        <v>65</v>
      </c>
      <c r="K7" s="2" t="s">
        <v>39</v>
      </c>
      <c r="L7" s="2" t="s">
        <v>27</v>
      </c>
      <c r="M7" s="2">
        <v>5320200</v>
      </c>
      <c r="N7" s="2" t="s">
        <v>66</v>
      </c>
      <c r="O7" s="2" t="s">
        <v>67</v>
      </c>
      <c r="P7" s="2" t="s">
        <v>68</v>
      </c>
      <c r="Q7" s="4">
        <v>14824</v>
      </c>
      <c r="R7" s="2" t="s">
        <v>62</v>
      </c>
      <c r="S7" s="2">
        <v>8</v>
      </c>
      <c r="T7" s="2" t="s">
        <v>33</v>
      </c>
      <c r="U7" s="2" t="s">
        <v>34</v>
      </c>
      <c r="V7" s="32">
        <v>59781040</v>
      </c>
      <c r="Y7" s="30">
        <f t="shared" si="0"/>
        <v>59781040</v>
      </c>
      <c r="Z7" s="41">
        <f t="shared" si="1"/>
        <v>0</v>
      </c>
      <c r="AA7" s="28"/>
    </row>
    <row r="8" spans="1:27" ht="15.75">
      <c r="A8" s="2">
        <v>6</v>
      </c>
      <c r="B8" s="2">
        <v>2559178</v>
      </c>
      <c r="C8" s="2">
        <v>30610963330077</v>
      </c>
      <c r="D8" s="2" t="s">
        <v>35</v>
      </c>
      <c r="E8" s="2">
        <v>1093100</v>
      </c>
      <c r="F8" s="2">
        <v>941499606</v>
      </c>
      <c r="G8" s="3">
        <v>35344</v>
      </c>
      <c r="H8" s="2" t="s">
        <v>69</v>
      </c>
      <c r="I8" s="2" t="s">
        <v>70</v>
      </c>
      <c r="J8" s="2" t="s">
        <v>71</v>
      </c>
      <c r="K8" s="2" t="s">
        <v>39</v>
      </c>
      <c r="L8" s="2" t="s">
        <v>27</v>
      </c>
      <c r="M8" s="2">
        <v>5310606</v>
      </c>
      <c r="N8" s="2" t="s">
        <v>72</v>
      </c>
      <c r="O8" s="2" t="s">
        <v>42</v>
      </c>
      <c r="P8" s="2" t="s">
        <v>73</v>
      </c>
      <c r="Q8" s="5">
        <v>44317</v>
      </c>
      <c r="R8" s="2" t="s">
        <v>62</v>
      </c>
      <c r="S8" s="2">
        <v>8</v>
      </c>
      <c r="T8" s="2" t="s">
        <v>33</v>
      </c>
      <c r="U8" s="2" t="s">
        <v>34</v>
      </c>
      <c r="V8" s="29" t="s">
        <v>2813</v>
      </c>
      <c r="W8" s="21">
        <f>7500000+2145000+4500000</f>
        <v>14145000</v>
      </c>
      <c r="X8" s="10" t="s">
        <v>2853</v>
      </c>
      <c r="Y8" s="30">
        <f t="shared" si="0"/>
        <v>-4056949.5</v>
      </c>
      <c r="Z8" s="41">
        <f t="shared" si="1"/>
        <v>1.4021539642371934</v>
      </c>
      <c r="AA8" s="49" t="s">
        <v>2798</v>
      </c>
    </row>
    <row r="9" spans="1:27" ht="26.25">
      <c r="A9" s="2">
        <v>7</v>
      </c>
      <c r="B9" s="2">
        <v>3543896</v>
      </c>
      <c r="C9" s="2">
        <v>50902047250013</v>
      </c>
      <c r="D9" s="2" t="s">
        <v>74</v>
      </c>
      <c r="E9" s="2">
        <v>21379</v>
      </c>
      <c r="F9" s="2">
        <v>975005415</v>
      </c>
      <c r="G9" s="3">
        <v>38026</v>
      </c>
      <c r="H9" s="2" t="s">
        <v>75</v>
      </c>
      <c r="I9" s="2" t="s">
        <v>76</v>
      </c>
      <c r="J9" s="2" t="s">
        <v>77</v>
      </c>
      <c r="K9" s="2" t="s">
        <v>39</v>
      </c>
      <c r="L9" s="2" t="s">
        <v>27</v>
      </c>
      <c r="M9" s="2">
        <v>5230104</v>
      </c>
      <c r="N9" s="2" t="s">
        <v>78</v>
      </c>
      <c r="O9" s="2" t="s">
        <v>79</v>
      </c>
      <c r="P9" s="2" t="s">
        <v>80</v>
      </c>
      <c r="Q9" s="2" t="s">
        <v>81</v>
      </c>
      <c r="R9" s="2" t="s">
        <v>82</v>
      </c>
      <c r="S9" s="2">
        <v>10</v>
      </c>
      <c r="T9" s="2" t="s">
        <v>33</v>
      </c>
      <c r="U9" s="2" t="s">
        <v>34</v>
      </c>
      <c r="V9" s="32">
        <v>104616820</v>
      </c>
      <c r="W9" s="20">
        <f>6350000+9000000+37000000</f>
        <v>52350000</v>
      </c>
      <c r="X9" s="2" t="s">
        <v>2750</v>
      </c>
      <c r="Y9" s="30">
        <f t="shared" si="0"/>
        <v>52266820</v>
      </c>
      <c r="Z9" s="41">
        <f t="shared" si="1"/>
        <v>0.50039754601602304</v>
      </c>
      <c r="AA9" s="28"/>
    </row>
    <row r="10" spans="1:27" ht="15.75">
      <c r="A10" s="2">
        <v>8</v>
      </c>
      <c r="B10" s="2">
        <v>3492980</v>
      </c>
      <c r="C10" s="2">
        <v>31907996240011</v>
      </c>
      <c r="D10" s="2" t="s">
        <v>45</v>
      </c>
      <c r="E10" s="2">
        <v>3958313</v>
      </c>
      <c r="F10" s="2">
        <v>888079907</v>
      </c>
      <c r="G10" s="3">
        <v>36360</v>
      </c>
      <c r="H10" s="2" t="s">
        <v>83</v>
      </c>
      <c r="I10" s="2" t="s">
        <v>84</v>
      </c>
      <c r="J10" s="2" t="s">
        <v>85</v>
      </c>
      <c r="K10" s="2" t="s">
        <v>26</v>
      </c>
      <c r="L10" s="2" t="s">
        <v>57</v>
      </c>
      <c r="M10" s="2">
        <v>5310202</v>
      </c>
      <c r="N10" s="2" t="s">
        <v>86</v>
      </c>
      <c r="O10" s="2" t="s">
        <v>87</v>
      </c>
      <c r="P10" s="2" t="s">
        <v>88</v>
      </c>
      <c r="Q10" s="4">
        <v>42064</v>
      </c>
      <c r="R10" s="2" t="s">
        <v>53</v>
      </c>
      <c r="S10" s="2">
        <v>8</v>
      </c>
      <c r="T10" s="2" t="s">
        <v>33</v>
      </c>
      <c r="U10" s="2" t="s">
        <v>34</v>
      </c>
      <c r="V10" s="29" t="s">
        <v>2850</v>
      </c>
      <c r="W10" s="21">
        <v>10680000</v>
      </c>
      <c r="X10" s="10" t="s">
        <v>2657</v>
      </c>
      <c r="Y10" s="30">
        <f t="shared" si="0"/>
        <v>6634047</v>
      </c>
      <c r="Z10" s="41">
        <f t="shared" si="1"/>
        <v>0.61684018762337889</v>
      </c>
      <c r="AA10" s="49" t="s">
        <v>2798</v>
      </c>
    </row>
    <row r="11" spans="1:27" ht="39">
      <c r="A11" s="2">
        <v>9</v>
      </c>
      <c r="B11" s="2">
        <v>1060907</v>
      </c>
      <c r="C11" s="2">
        <v>50206015060054</v>
      </c>
      <c r="D11" s="2" t="s">
        <v>45</v>
      </c>
      <c r="E11" s="2">
        <v>6850028</v>
      </c>
      <c r="F11" s="2">
        <v>907717560</v>
      </c>
      <c r="G11" s="3">
        <v>37044</v>
      </c>
      <c r="H11" s="2" t="s">
        <v>89</v>
      </c>
      <c r="I11" s="2" t="s">
        <v>90</v>
      </c>
      <c r="J11" s="2" t="s">
        <v>91</v>
      </c>
      <c r="K11" s="2" t="s">
        <v>26</v>
      </c>
      <c r="L11" s="2" t="s">
        <v>27</v>
      </c>
      <c r="M11" s="2">
        <v>5341300</v>
      </c>
      <c r="N11" s="2" t="s">
        <v>92</v>
      </c>
      <c r="O11" s="2">
        <v>63</v>
      </c>
      <c r="P11" s="2" t="s">
        <v>41</v>
      </c>
      <c r="Q11" s="5">
        <v>44471</v>
      </c>
      <c r="R11" s="2" t="s">
        <v>93</v>
      </c>
      <c r="S11" s="2">
        <v>8</v>
      </c>
      <c r="T11" s="2" t="s">
        <v>33</v>
      </c>
      <c r="U11" s="2" t="s">
        <v>34</v>
      </c>
      <c r="V11" s="32">
        <v>17729850</v>
      </c>
      <c r="W11" s="21">
        <f>8865000+8865000</f>
        <v>17730000</v>
      </c>
      <c r="X11" s="12" t="s">
        <v>2838</v>
      </c>
      <c r="Y11" s="30">
        <f t="shared" si="0"/>
        <v>-150</v>
      </c>
      <c r="Z11" s="41">
        <f t="shared" si="1"/>
        <v>1.0000084603084629</v>
      </c>
      <c r="AA11" s="28"/>
    </row>
    <row r="12" spans="1:27" ht="26.25">
      <c r="A12" s="2">
        <v>10</v>
      </c>
      <c r="B12" s="2">
        <v>3366109</v>
      </c>
      <c r="C12" s="2">
        <v>50309036230021</v>
      </c>
      <c r="D12" s="2" t="s">
        <v>22</v>
      </c>
      <c r="E12" s="2">
        <v>2224298</v>
      </c>
      <c r="F12" s="2">
        <v>976933303</v>
      </c>
      <c r="G12" s="3">
        <v>37867</v>
      </c>
      <c r="H12" s="2" t="s">
        <v>94</v>
      </c>
      <c r="I12" s="2" t="s">
        <v>95</v>
      </c>
      <c r="J12" s="2" t="s">
        <v>96</v>
      </c>
      <c r="K12" s="2" t="s">
        <v>26</v>
      </c>
      <c r="L12" s="2" t="s">
        <v>27</v>
      </c>
      <c r="M12" s="2">
        <v>5310605</v>
      </c>
      <c r="N12" s="2" t="s">
        <v>97</v>
      </c>
      <c r="O12" s="2" t="s">
        <v>87</v>
      </c>
      <c r="P12" s="2" t="s">
        <v>98</v>
      </c>
      <c r="Q12" s="2" t="s">
        <v>99</v>
      </c>
      <c r="R12" s="2" t="s">
        <v>53</v>
      </c>
      <c r="S12" s="2">
        <v>8</v>
      </c>
      <c r="T12" s="2" t="s">
        <v>33</v>
      </c>
      <c r="U12" s="2" t="s">
        <v>34</v>
      </c>
      <c r="V12" s="29">
        <v>46170792</v>
      </c>
      <c r="W12" s="21">
        <f>23086000+6282613+5894909</f>
        <v>35263522</v>
      </c>
      <c r="X12" s="10" t="s">
        <v>2742</v>
      </c>
      <c r="Y12" s="30">
        <f t="shared" si="0"/>
        <v>10907270</v>
      </c>
      <c r="Z12" s="41">
        <f t="shared" si="1"/>
        <v>0.76376255360748413</v>
      </c>
    </row>
    <row r="13" spans="1:27" ht="15.75">
      <c r="A13" s="2">
        <v>11</v>
      </c>
      <c r="B13" s="2">
        <v>2347487</v>
      </c>
      <c r="C13" s="2">
        <v>50402026060030</v>
      </c>
      <c r="D13" s="2" t="s">
        <v>45</v>
      </c>
      <c r="E13" s="2">
        <v>8960713</v>
      </c>
      <c r="F13" s="2">
        <v>939647404</v>
      </c>
      <c r="G13" s="3">
        <v>37291</v>
      </c>
      <c r="H13" s="2" t="s">
        <v>100</v>
      </c>
      <c r="I13" s="2" t="s">
        <v>101</v>
      </c>
      <c r="J13" s="2" t="s">
        <v>102</v>
      </c>
      <c r="K13" s="2" t="s">
        <v>26</v>
      </c>
      <c r="L13" s="2" t="s">
        <v>27</v>
      </c>
      <c r="M13" s="2">
        <v>5620400</v>
      </c>
      <c r="N13" s="2" t="s">
        <v>103</v>
      </c>
      <c r="O13" s="2" t="s">
        <v>104</v>
      </c>
      <c r="P13" s="2" t="s">
        <v>105</v>
      </c>
      <c r="Q13" s="2" t="s">
        <v>106</v>
      </c>
      <c r="R13" s="2" t="s">
        <v>53</v>
      </c>
      <c r="S13" s="2">
        <v>8</v>
      </c>
      <c r="T13" s="2" t="s">
        <v>33</v>
      </c>
      <c r="U13" s="2" t="s">
        <v>34</v>
      </c>
      <c r="V13" s="32">
        <v>46170792</v>
      </c>
      <c r="W13" s="21">
        <f>25700000+3000000</f>
        <v>28700000</v>
      </c>
      <c r="X13" s="10" t="s">
        <v>2775</v>
      </c>
      <c r="Y13" s="30">
        <f t="shared" si="0"/>
        <v>17470792</v>
      </c>
      <c r="Z13" s="41">
        <f t="shared" si="1"/>
        <v>0.62160510480305387</v>
      </c>
    </row>
    <row r="14" spans="1:27">
      <c r="A14" s="2">
        <v>12</v>
      </c>
      <c r="B14" s="2">
        <v>2415578</v>
      </c>
      <c r="C14" s="2">
        <v>30707953120038</v>
      </c>
      <c r="D14" s="2" t="s">
        <v>45</v>
      </c>
      <c r="E14" s="2">
        <v>1500803</v>
      </c>
      <c r="F14" s="2">
        <v>942309898</v>
      </c>
      <c r="G14" s="3">
        <v>34887</v>
      </c>
      <c r="H14" s="2" t="s">
        <v>107</v>
      </c>
      <c r="I14" s="2" t="s">
        <v>108</v>
      </c>
      <c r="J14" s="2" t="s">
        <v>109</v>
      </c>
      <c r="K14" s="2" t="s">
        <v>39</v>
      </c>
      <c r="L14" s="2" t="s">
        <v>27</v>
      </c>
      <c r="M14" s="2">
        <v>5340601</v>
      </c>
      <c r="N14" s="2" t="s">
        <v>110</v>
      </c>
      <c r="O14" s="2" t="s">
        <v>41</v>
      </c>
      <c r="P14" s="2">
        <v>84</v>
      </c>
      <c r="Q14" s="2" t="s">
        <v>111</v>
      </c>
      <c r="R14" s="2" t="s">
        <v>44</v>
      </c>
      <c r="S14" s="2">
        <v>8</v>
      </c>
      <c r="T14" s="2" t="s">
        <v>33</v>
      </c>
      <c r="U14" s="2" t="s">
        <v>34</v>
      </c>
      <c r="V14" s="32">
        <v>65759144</v>
      </c>
      <c r="Y14" s="30">
        <f t="shared" si="0"/>
        <v>65759144</v>
      </c>
      <c r="Z14" s="41">
        <f t="shared" si="1"/>
        <v>0</v>
      </c>
    </row>
    <row r="15" spans="1:27" ht="15.75">
      <c r="A15" s="2">
        <v>13</v>
      </c>
      <c r="B15" s="2">
        <v>3541089</v>
      </c>
      <c r="C15" s="2">
        <v>31912997230033</v>
      </c>
      <c r="D15" s="2" t="s">
        <v>35</v>
      </c>
      <c r="E15" s="2">
        <v>1034684</v>
      </c>
      <c r="F15" s="2">
        <v>944510123</v>
      </c>
      <c r="G15" s="3">
        <v>36513</v>
      </c>
      <c r="H15" s="2" t="s">
        <v>112</v>
      </c>
      <c r="I15" s="2" t="s">
        <v>113</v>
      </c>
      <c r="J15" s="2" t="s">
        <v>114</v>
      </c>
      <c r="K15" s="2" t="s">
        <v>39</v>
      </c>
      <c r="L15" s="2" t="s">
        <v>27</v>
      </c>
      <c r="M15" s="2">
        <v>5310606</v>
      </c>
      <c r="N15" s="2" t="s">
        <v>72</v>
      </c>
      <c r="O15" s="2" t="s">
        <v>67</v>
      </c>
      <c r="P15" s="2" t="s">
        <v>73</v>
      </c>
      <c r="Q15" s="4">
        <v>42064</v>
      </c>
      <c r="R15" s="2" t="s">
        <v>62</v>
      </c>
      <c r="S15" s="2">
        <v>8</v>
      </c>
      <c r="T15" s="2" t="s">
        <v>33</v>
      </c>
      <c r="U15" s="2" t="s">
        <v>34</v>
      </c>
      <c r="V15" s="32">
        <v>22417890</v>
      </c>
      <c r="W15" s="22">
        <f>11250000+11168000</f>
        <v>22418000</v>
      </c>
      <c r="X15" s="16" t="s">
        <v>2856</v>
      </c>
      <c r="Y15" s="30">
        <f t="shared" si="0"/>
        <v>-110</v>
      </c>
      <c r="Z15" s="41">
        <f t="shared" si="1"/>
        <v>1.0000049067954211</v>
      </c>
    </row>
    <row r="16" spans="1:27" ht="26.25">
      <c r="A16" s="2">
        <v>14</v>
      </c>
      <c r="B16" s="2">
        <v>2285641</v>
      </c>
      <c r="C16" s="2">
        <v>52208026590038</v>
      </c>
      <c r="D16" s="2" t="s">
        <v>22</v>
      </c>
      <c r="E16" s="2">
        <v>938953</v>
      </c>
      <c r="F16" s="2">
        <v>944108828</v>
      </c>
      <c r="G16" s="3">
        <v>37490</v>
      </c>
      <c r="H16" s="2" t="s">
        <v>115</v>
      </c>
      <c r="I16" s="2" t="s">
        <v>116</v>
      </c>
      <c r="J16" s="2" t="s">
        <v>117</v>
      </c>
      <c r="K16" s="2" t="s">
        <v>26</v>
      </c>
      <c r="L16" s="2" t="s">
        <v>57</v>
      </c>
      <c r="M16" s="2">
        <v>5310701</v>
      </c>
      <c r="N16" s="2" t="s">
        <v>118</v>
      </c>
      <c r="O16" s="2" t="s">
        <v>87</v>
      </c>
      <c r="P16" s="2">
        <v>63</v>
      </c>
      <c r="Q16" s="5">
        <v>44471</v>
      </c>
      <c r="R16" s="2" t="s">
        <v>53</v>
      </c>
      <c r="S16" s="2">
        <v>8</v>
      </c>
      <c r="T16" s="2" t="s">
        <v>33</v>
      </c>
      <c r="U16" s="2" t="s">
        <v>34</v>
      </c>
      <c r="V16" s="32">
        <v>16031525</v>
      </c>
      <c r="W16" s="21">
        <v>8016000</v>
      </c>
      <c r="X16" s="10" t="s">
        <v>2625</v>
      </c>
      <c r="Y16" s="30">
        <f t="shared" si="0"/>
        <v>8015525</v>
      </c>
      <c r="Z16" s="41">
        <f t="shared" si="1"/>
        <v>0.50001481456068586</v>
      </c>
    </row>
    <row r="17" spans="1:26">
      <c r="A17" s="2">
        <v>15</v>
      </c>
      <c r="B17" s="2">
        <v>2435916</v>
      </c>
      <c r="C17" s="2">
        <v>30807943950093</v>
      </c>
      <c r="D17" s="2" t="s">
        <v>22</v>
      </c>
      <c r="E17" s="2">
        <v>860502</v>
      </c>
      <c r="F17" s="2">
        <v>942858000</v>
      </c>
      <c r="G17" s="3">
        <v>34523</v>
      </c>
      <c r="H17" s="2" t="s">
        <v>119</v>
      </c>
      <c r="I17" s="2" t="s">
        <v>120</v>
      </c>
      <c r="J17" s="2" t="s">
        <v>121</v>
      </c>
      <c r="K17" s="2" t="s">
        <v>39</v>
      </c>
      <c r="L17" s="2" t="s">
        <v>27</v>
      </c>
      <c r="M17" s="2">
        <v>5620400</v>
      </c>
      <c r="N17" s="2" t="s">
        <v>103</v>
      </c>
      <c r="O17" s="2" t="s">
        <v>122</v>
      </c>
      <c r="P17" s="2" t="s">
        <v>123</v>
      </c>
      <c r="Q17" s="2" t="s">
        <v>124</v>
      </c>
      <c r="R17" s="2" t="s">
        <v>62</v>
      </c>
      <c r="S17" s="2">
        <v>8</v>
      </c>
      <c r="T17" s="2" t="s">
        <v>33</v>
      </c>
      <c r="U17" s="2" t="s">
        <v>34</v>
      </c>
      <c r="V17" s="32">
        <v>59781040</v>
      </c>
      <c r="Y17" s="30">
        <f t="shared" si="0"/>
        <v>59781040</v>
      </c>
      <c r="Z17" s="41">
        <f t="shared" si="1"/>
        <v>0</v>
      </c>
    </row>
    <row r="18" spans="1:26" ht="15.75">
      <c r="A18" s="2">
        <v>16</v>
      </c>
      <c r="B18" s="2">
        <v>1091495</v>
      </c>
      <c r="C18" s="2">
        <v>50108006450021</v>
      </c>
      <c r="D18" s="2" t="s">
        <v>45</v>
      </c>
      <c r="E18" s="2">
        <v>4733128</v>
      </c>
      <c r="F18" s="2">
        <v>904044848</v>
      </c>
      <c r="G18" s="3">
        <v>36739</v>
      </c>
      <c r="H18" s="2" t="s">
        <v>125</v>
      </c>
      <c r="I18" s="2" t="s">
        <v>126</v>
      </c>
      <c r="J18" s="2" t="s">
        <v>127</v>
      </c>
      <c r="K18" s="2" t="s">
        <v>26</v>
      </c>
      <c r="L18" s="2" t="s">
        <v>57</v>
      </c>
      <c r="M18" s="2">
        <v>5620400</v>
      </c>
      <c r="N18" s="2" t="s">
        <v>103</v>
      </c>
      <c r="O18" s="2" t="s">
        <v>87</v>
      </c>
      <c r="P18" s="2">
        <v>63</v>
      </c>
      <c r="Q18" s="5">
        <v>44471</v>
      </c>
      <c r="R18" s="2" t="s">
        <v>53</v>
      </c>
      <c r="S18" s="2">
        <v>8</v>
      </c>
      <c r="T18" s="2" t="s">
        <v>33</v>
      </c>
      <c r="U18" s="2" t="s">
        <v>34</v>
      </c>
      <c r="V18" s="32">
        <v>16031525</v>
      </c>
      <c r="W18" s="21">
        <f>8031525+6396848</f>
        <v>14428373</v>
      </c>
      <c r="X18" s="10" t="s">
        <v>2646</v>
      </c>
      <c r="Y18" s="30">
        <f t="shared" si="0"/>
        <v>1603152</v>
      </c>
      <c r="Z18" s="41">
        <f t="shared" si="1"/>
        <v>0.90000003118854877</v>
      </c>
    </row>
    <row r="19" spans="1:26" ht="47.25">
      <c r="A19" s="2">
        <v>17</v>
      </c>
      <c r="B19" s="2">
        <v>3316671</v>
      </c>
      <c r="C19" s="2">
        <v>61406036330017</v>
      </c>
      <c r="D19" s="2" t="s">
        <v>22</v>
      </c>
      <c r="E19" s="2">
        <v>1997795</v>
      </c>
      <c r="F19" s="2">
        <v>975365303</v>
      </c>
      <c r="G19" s="3">
        <v>37786</v>
      </c>
      <c r="H19" s="2" t="s">
        <v>128</v>
      </c>
      <c r="I19" s="2" t="s">
        <v>129</v>
      </c>
      <c r="J19" s="2" t="s">
        <v>130</v>
      </c>
      <c r="K19" s="2" t="s">
        <v>26</v>
      </c>
      <c r="L19" s="2" t="s">
        <v>27</v>
      </c>
      <c r="M19" s="2">
        <v>5330600</v>
      </c>
      <c r="N19" s="2" t="s">
        <v>131</v>
      </c>
      <c r="O19" s="2" t="s">
        <v>87</v>
      </c>
      <c r="P19" s="2" t="s">
        <v>132</v>
      </c>
      <c r="Q19" s="2" t="s">
        <v>133</v>
      </c>
      <c r="R19" s="2" t="s">
        <v>134</v>
      </c>
      <c r="S19" s="2">
        <v>10</v>
      </c>
      <c r="T19" s="2" t="s">
        <v>33</v>
      </c>
      <c r="U19" s="2" t="s">
        <v>34</v>
      </c>
      <c r="V19" s="32">
        <v>82169370</v>
      </c>
      <c r="W19" s="21">
        <f>45650000+36490000+50000</f>
        <v>82190000</v>
      </c>
      <c r="X19" s="48" t="s">
        <v>2846</v>
      </c>
      <c r="Y19" s="30">
        <f t="shared" si="0"/>
        <v>-20630</v>
      </c>
      <c r="Z19" s="41">
        <f t="shared" si="1"/>
        <v>1.0002510667904598</v>
      </c>
    </row>
    <row r="20" spans="1:26" ht="26.25">
      <c r="A20" s="2">
        <v>18</v>
      </c>
      <c r="B20" s="2">
        <v>2615894</v>
      </c>
      <c r="C20" s="2">
        <v>52905026710056</v>
      </c>
      <c r="D20" s="2" t="s">
        <v>22</v>
      </c>
      <c r="E20" s="2">
        <v>589329</v>
      </c>
      <c r="F20" s="2">
        <v>997623271</v>
      </c>
      <c r="G20" s="3">
        <v>37405</v>
      </c>
      <c r="H20" s="2" t="s">
        <v>135</v>
      </c>
      <c r="I20" s="2" t="s">
        <v>136</v>
      </c>
      <c r="J20" s="2" t="s">
        <v>137</v>
      </c>
      <c r="K20" s="2" t="s">
        <v>39</v>
      </c>
      <c r="L20" s="2" t="s">
        <v>27</v>
      </c>
      <c r="M20" s="2">
        <v>5320102</v>
      </c>
      <c r="N20" s="2" t="s">
        <v>138</v>
      </c>
      <c r="O20" s="2" t="s">
        <v>139</v>
      </c>
      <c r="P20" s="2" t="s">
        <v>140</v>
      </c>
      <c r="Q20" s="4">
        <v>45778</v>
      </c>
      <c r="R20" s="2" t="s">
        <v>62</v>
      </c>
      <c r="S20" s="2">
        <v>8</v>
      </c>
      <c r="T20" s="2" t="s">
        <v>33</v>
      </c>
      <c r="U20" s="2" t="s">
        <v>34</v>
      </c>
      <c r="V20" s="32">
        <v>59781040</v>
      </c>
      <c r="X20" t="s">
        <v>2845</v>
      </c>
      <c r="Y20" s="30">
        <f t="shared" si="0"/>
        <v>59781040</v>
      </c>
      <c r="Z20" s="41">
        <f t="shared" si="1"/>
        <v>0</v>
      </c>
    </row>
    <row r="21" spans="1:26" ht="39">
      <c r="A21" s="2">
        <v>19</v>
      </c>
      <c r="B21" s="2">
        <v>1280533</v>
      </c>
      <c r="C21" s="2">
        <v>51205005350015</v>
      </c>
      <c r="D21" s="2" t="s">
        <v>45</v>
      </c>
      <c r="E21" s="2">
        <v>4232596</v>
      </c>
      <c r="F21" s="2">
        <v>912440290</v>
      </c>
      <c r="G21" s="3">
        <v>36658</v>
      </c>
      <c r="H21" s="2" t="s">
        <v>141</v>
      </c>
      <c r="I21" s="2" t="s">
        <v>142</v>
      </c>
      <c r="J21" s="2" t="s">
        <v>143</v>
      </c>
      <c r="K21" s="2" t="s">
        <v>39</v>
      </c>
      <c r="L21" s="2" t="s">
        <v>27</v>
      </c>
      <c r="M21" s="2">
        <v>5311003</v>
      </c>
      <c r="N21" s="2" t="s">
        <v>144</v>
      </c>
      <c r="O21" s="2" t="s">
        <v>68</v>
      </c>
      <c r="P21" s="2" t="s">
        <v>79</v>
      </c>
      <c r="Q21" s="5">
        <v>44317</v>
      </c>
      <c r="R21" s="2" t="s">
        <v>62</v>
      </c>
      <c r="S21" s="2">
        <v>8</v>
      </c>
      <c r="T21" s="2" t="s">
        <v>33</v>
      </c>
      <c r="U21" s="2" t="s">
        <v>34</v>
      </c>
      <c r="V21" s="32">
        <v>11208945</v>
      </c>
      <c r="W21" s="21">
        <v>7500000</v>
      </c>
      <c r="X21" s="12" t="s">
        <v>2648</v>
      </c>
      <c r="Y21" s="30">
        <f t="shared" si="0"/>
        <v>3708945</v>
      </c>
      <c r="Z21" s="41">
        <f t="shared" si="1"/>
        <v>0.66910846649707001</v>
      </c>
    </row>
    <row r="22" spans="1:26" ht="26.25">
      <c r="A22" s="2">
        <v>20</v>
      </c>
      <c r="B22" s="2">
        <v>1705215</v>
      </c>
      <c r="C22" s="2">
        <v>32609976590080</v>
      </c>
      <c r="D22" s="2" t="s">
        <v>145</v>
      </c>
      <c r="E22" s="2">
        <v>4548501</v>
      </c>
      <c r="F22" s="2">
        <v>977079764</v>
      </c>
      <c r="G22" s="3">
        <v>35699</v>
      </c>
      <c r="H22" s="2" t="s">
        <v>146</v>
      </c>
      <c r="I22" s="2" t="s">
        <v>147</v>
      </c>
      <c r="J22" s="2" t="s">
        <v>148</v>
      </c>
      <c r="K22" s="2" t="s">
        <v>39</v>
      </c>
      <c r="L22" s="2" t="s">
        <v>27</v>
      </c>
      <c r="M22" s="2">
        <v>5320102</v>
      </c>
      <c r="N22" s="2" t="s">
        <v>138</v>
      </c>
      <c r="O22" s="2" t="s">
        <v>149</v>
      </c>
      <c r="P22" s="2" t="s">
        <v>140</v>
      </c>
      <c r="Q22" s="4">
        <v>42064</v>
      </c>
      <c r="R22" s="2" t="s">
        <v>62</v>
      </c>
      <c r="S22" s="2">
        <v>8</v>
      </c>
      <c r="T22" s="2" t="s">
        <v>33</v>
      </c>
      <c r="U22" s="2" t="s">
        <v>34</v>
      </c>
      <c r="V22" s="32">
        <v>22417890</v>
      </c>
      <c r="W22" s="21">
        <v>22417890</v>
      </c>
      <c r="X22" s="12" t="s">
        <v>2648</v>
      </c>
      <c r="Y22" s="30">
        <f t="shared" si="0"/>
        <v>0</v>
      </c>
      <c r="Z22" s="41">
        <f t="shared" si="1"/>
        <v>1</v>
      </c>
    </row>
    <row r="23" spans="1:26" ht="26.25">
      <c r="A23" s="2">
        <v>21</v>
      </c>
      <c r="B23" s="2">
        <v>2375811</v>
      </c>
      <c r="C23" s="2">
        <v>51806015860037</v>
      </c>
      <c r="D23" s="2" t="s">
        <v>45</v>
      </c>
      <c r="E23" s="2">
        <v>7183220</v>
      </c>
      <c r="F23" s="2">
        <v>933153112</v>
      </c>
      <c r="G23" s="3">
        <v>37060</v>
      </c>
      <c r="H23" s="2" t="s">
        <v>150</v>
      </c>
      <c r="I23" s="2" t="s">
        <v>151</v>
      </c>
      <c r="J23" s="2" t="s">
        <v>152</v>
      </c>
      <c r="K23" s="2" t="s">
        <v>39</v>
      </c>
      <c r="L23" s="2" t="s">
        <v>57</v>
      </c>
      <c r="M23" s="2">
        <v>5310601</v>
      </c>
      <c r="N23" s="2" t="s">
        <v>153</v>
      </c>
      <c r="O23" s="2" t="s">
        <v>154</v>
      </c>
      <c r="P23" s="2" t="s">
        <v>155</v>
      </c>
      <c r="Q23" s="4">
        <v>42064</v>
      </c>
      <c r="R23" s="2" t="s">
        <v>62</v>
      </c>
      <c r="S23" s="2">
        <v>8</v>
      </c>
      <c r="T23" s="2" t="s">
        <v>33</v>
      </c>
      <c r="U23" s="2" t="s">
        <v>34</v>
      </c>
      <c r="V23" s="32">
        <v>22417890</v>
      </c>
      <c r="W23" s="20">
        <v>11418000</v>
      </c>
      <c r="X23" s="18" t="s">
        <v>2643</v>
      </c>
      <c r="Y23" s="30">
        <f t="shared" si="0"/>
        <v>10999890</v>
      </c>
      <c r="Z23" s="41">
        <f t="shared" si="1"/>
        <v>0.50932536469756962</v>
      </c>
    </row>
    <row r="24" spans="1:26" ht="26.25">
      <c r="A24" s="2">
        <v>22</v>
      </c>
      <c r="B24" s="2">
        <v>1626918</v>
      </c>
      <c r="C24" s="2">
        <v>32712900231569</v>
      </c>
      <c r="D24" s="2" t="s">
        <v>22</v>
      </c>
      <c r="E24" s="2">
        <v>1069485</v>
      </c>
      <c r="F24" s="2">
        <v>994085566</v>
      </c>
      <c r="G24" s="3">
        <v>33234</v>
      </c>
      <c r="H24" s="2" t="s">
        <v>156</v>
      </c>
      <c r="I24" s="2" t="s">
        <v>157</v>
      </c>
      <c r="J24" s="2" t="s">
        <v>158</v>
      </c>
      <c r="K24" s="2" t="s">
        <v>39</v>
      </c>
      <c r="L24" s="2" t="s">
        <v>57</v>
      </c>
      <c r="M24" s="2">
        <v>5620702</v>
      </c>
      <c r="N24" s="2" t="s">
        <v>159</v>
      </c>
      <c r="O24" s="2" t="s">
        <v>160</v>
      </c>
      <c r="P24" s="2" t="s">
        <v>139</v>
      </c>
      <c r="Q24" s="2" t="s">
        <v>133</v>
      </c>
      <c r="R24" s="2" t="s">
        <v>62</v>
      </c>
      <c r="S24" s="2">
        <v>8</v>
      </c>
      <c r="T24" s="2" t="s">
        <v>33</v>
      </c>
      <c r="U24" s="2" t="s">
        <v>34</v>
      </c>
      <c r="V24" s="32">
        <v>119562080</v>
      </c>
      <c r="Y24" s="30">
        <f t="shared" si="0"/>
        <v>119562080</v>
      </c>
      <c r="Z24" s="41">
        <f t="shared" si="1"/>
        <v>0</v>
      </c>
    </row>
    <row r="25" spans="1:26" ht="26.25">
      <c r="A25" s="2">
        <v>23</v>
      </c>
      <c r="B25" s="2">
        <v>2086639</v>
      </c>
      <c r="C25" s="2">
        <v>31812985450073</v>
      </c>
      <c r="D25" s="2" t="s">
        <v>45</v>
      </c>
      <c r="E25" s="2">
        <v>5352785</v>
      </c>
      <c r="F25" s="2">
        <v>902654397</v>
      </c>
      <c r="G25" s="3">
        <v>36147</v>
      </c>
      <c r="H25" s="2" t="s">
        <v>161</v>
      </c>
      <c r="I25" s="2" t="s">
        <v>162</v>
      </c>
      <c r="J25" s="2" t="s">
        <v>163</v>
      </c>
      <c r="K25" s="2" t="s">
        <v>26</v>
      </c>
      <c r="L25" s="2" t="s">
        <v>27</v>
      </c>
      <c r="M25" s="2">
        <v>5330202</v>
      </c>
      <c r="N25" s="2" t="s">
        <v>164</v>
      </c>
      <c r="O25" s="2" t="s">
        <v>41</v>
      </c>
      <c r="P25" s="2" t="s">
        <v>165</v>
      </c>
      <c r="Q25" s="2" t="s">
        <v>166</v>
      </c>
      <c r="R25" s="2" t="s">
        <v>93</v>
      </c>
      <c r="S25" s="2">
        <v>10</v>
      </c>
      <c r="T25" s="2" t="s">
        <v>33</v>
      </c>
      <c r="U25" s="2" t="s">
        <v>34</v>
      </c>
      <c r="V25" s="32">
        <v>70919400</v>
      </c>
      <c r="Y25" s="30">
        <f t="shared" si="0"/>
        <v>70919400</v>
      </c>
      <c r="Z25" s="41">
        <f t="shared" si="1"/>
        <v>0</v>
      </c>
    </row>
    <row r="26" spans="1:26" ht="39">
      <c r="A26" s="2">
        <v>24</v>
      </c>
      <c r="B26" s="2">
        <v>1937743</v>
      </c>
      <c r="C26" s="2">
        <v>31411976600017</v>
      </c>
      <c r="D26" s="2" t="s">
        <v>145</v>
      </c>
      <c r="E26" s="2">
        <v>3437268</v>
      </c>
      <c r="F26" s="2">
        <v>977501411</v>
      </c>
      <c r="G26" s="3">
        <v>35748</v>
      </c>
      <c r="H26" s="2" t="s">
        <v>167</v>
      </c>
      <c r="I26" s="2" t="s">
        <v>168</v>
      </c>
      <c r="J26" s="2" t="s">
        <v>169</v>
      </c>
      <c r="K26" s="2" t="s">
        <v>39</v>
      </c>
      <c r="L26" s="2" t="s">
        <v>27</v>
      </c>
      <c r="M26" s="2">
        <v>5320200</v>
      </c>
      <c r="N26" s="2" t="s">
        <v>66</v>
      </c>
      <c r="O26" s="2" t="s">
        <v>154</v>
      </c>
      <c r="P26" s="2" t="s">
        <v>68</v>
      </c>
      <c r="Q26" s="2" t="s">
        <v>170</v>
      </c>
      <c r="R26" s="2" t="s">
        <v>62</v>
      </c>
      <c r="S26" s="2">
        <v>8</v>
      </c>
      <c r="T26" s="2" t="s">
        <v>33</v>
      </c>
      <c r="U26" s="2" t="s">
        <v>34</v>
      </c>
      <c r="V26" s="32">
        <v>59781040</v>
      </c>
      <c r="Y26" s="30">
        <f t="shared" si="0"/>
        <v>59781040</v>
      </c>
      <c r="Z26" s="41">
        <f t="shared" si="1"/>
        <v>0</v>
      </c>
    </row>
    <row r="27" spans="1:26">
      <c r="A27" s="2">
        <v>25</v>
      </c>
      <c r="B27" s="2">
        <v>3570549</v>
      </c>
      <c r="C27" s="2">
        <v>32204911591708</v>
      </c>
      <c r="D27" s="2" t="s">
        <v>145</v>
      </c>
      <c r="E27" s="2">
        <v>9673994</v>
      </c>
      <c r="F27" s="2">
        <v>943424897</v>
      </c>
      <c r="G27" s="3">
        <v>33350</v>
      </c>
      <c r="H27" s="2" t="s">
        <v>171</v>
      </c>
      <c r="I27" s="2" t="s">
        <v>172</v>
      </c>
      <c r="J27" s="2" t="s">
        <v>173</v>
      </c>
      <c r="K27" s="2" t="s">
        <v>39</v>
      </c>
      <c r="L27" s="2" t="s">
        <v>27</v>
      </c>
      <c r="M27" s="2">
        <v>5340603</v>
      </c>
      <c r="N27" s="2" t="s">
        <v>174</v>
      </c>
      <c r="O27" s="2" t="s">
        <v>155</v>
      </c>
      <c r="P27" s="2" t="s">
        <v>175</v>
      </c>
      <c r="Q27" s="4">
        <v>42064</v>
      </c>
      <c r="R27" s="2" t="s">
        <v>44</v>
      </c>
      <c r="S27" s="2">
        <v>8</v>
      </c>
      <c r="T27" s="2" t="s">
        <v>33</v>
      </c>
      <c r="U27" s="2" t="s">
        <v>34</v>
      </c>
      <c r="V27" s="32" t="s">
        <v>2721</v>
      </c>
      <c r="W27" s="20">
        <v>11100000</v>
      </c>
      <c r="X27" s="2" t="s">
        <v>2662</v>
      </c>
      <c r="Y27" s="30">
        <f t="shared" si="0"/>
        <v>11093711.100000001</v>
      </c>
      <c r="Z27" s="41">
        <f t="shared" si="1"/>
        <v>0.50014168202811282</v>
      </c>
    </row>
    <row r="28" spans="1:26" ht="26.25">
      <c r="A28" s="2">
        <v>26</v>
      </c>
      <c r="B28" s="2">
        <v>3366756</v>
      </c>
      <c r="C28" s="2">
        <v>42604880050049</v>
      </c>
      <c r="D28" s="2" t="s">
        <v>145</v>
      </c>
      <c r="E28" s="2">
        <v>1599848</v>
      </c>
      <c r="F28" s="2">
        <v>998661891</v>
      </c>
      <c r="G28" s="3">
        <v>32259</v>
      </c>
      <c r="H28" s="2" t="s">
        <v>176</v>
      </c>
      <c r="I28" s="2" t="s">
        <v>177</v>
      </c>
      <c r="J28" s="2" t="s">
        <v>178</v>
      </c>
      <c r="K28" s="2" t="s">
        <v>39</v>
      </c>
      <c r="L28" s="2" t="s">
        <v>57</v>
      </c>
      <c r="M28" s="2">
        <v>5310605</v>
      </c>
      <c r="N28" s="2" t="s">
        <v>97</v>
      </c>
      <c r="O28" s="2" t="s">
        <v>179</v>
      </c>
      <c r="P28" s="2" t="s">
        <v>154</v>
      </c>
      <c r="Q28" s="4">
        <v>18537</v>
      </c>
      <c r="R28" s="2" t="s">
        <v>62</v>
      </c>
      <c r="S28" s="2">
        <v>8</v>
      </c>
      <c r="T28" s="2" t="s">
        <v>33</v>
      </c>
      <c r="U28" s="2" t="s">
        <v>34</v>
      </c>
      <c r="V28" s="32">
        <v>59781040</v>
      </c>
      <c r="Y28" s="30">
        <f t="shared" si="0"/>
        <v>59781040</v>
      </c>
      <c r="Z28" s="41">
        <f t="shared" si="1"/>
        <v>0</v>
      </c>
    </row>
    <row r="29" spans="1:26" ht="26.25">
      <c r="A29" s="2">
        <v>27</v>
      </c>
      <c r="B29" s="2">
        <v>3646724</v>
      </c>
      <c r="C29" s="2">
        <v>51111035580044</v>
      </c>
      <c r="D29" s="2" t="s">
        <v>22</v>
      </c>
      <c r="E29" s="2">
        <v>2788698</v>
      </c>
      <c r="F29" s="2">
        <v>973140603</v>
      </c>
      <c r="G29" s="3">
        <v>37936</v>
      </c>
      <c r="H29" s="2" t="s">
        <v>180</v>
      </c>
      <c r="I29" s="2" t="s">
        <v>181</v>
      </c>
      <c r="J29" s="2" t="s">
        <v>182</v>
      </c>
      <c r="K29" s="2" t="s">
        <v>39</v>
      </c>
      <c r="L29" s="2" t="s">
        <v>27</v>
      </c>
      <c r="M29" s="2">
        <v>5310701</v>
      </c>
      <c r="N29" s="2" t="s">
        <v>118</v>
      </c>
      <c r="O29" s="2" t="s">
        <v>154</v>
      </c>
      <c r="P29" s="2" t="s">
        <v>123</v>
      </c>
      <c r="Q29" s="5">
        <v>44492</v>
      </c>
      <c r="R29" s="2" t="s">
        <v>62</v>
      </c>
      <c r="S29" s="2">
        <v>8</v>
      </c>
      <c r="T29" s="2" t="s">
        <v>33</v>
      </c>
      <c r="U29" s="2" t="s">
        <v>34</v>
      </c>
      <c r="V29" s="32">
        <v>59781040</v>
      </c>
      <c r="W29" s="20">
        <v>29900000</v>
      </c>
      <c r="X29" s="2" t="s">
        <v>2692</v>
      </c>
      <c r="Y29" s="30">
        <f t="shared" si="0"/>
        <v>29881040</v>
      </c>
      <c r="Z29" s="41">
        <f t="shared" si="1"/>
        <v>0.50015857870655978</v>
      </c>
    </row>
    <row r="30" spans="1:26">
      <c r="A30" s="2">
        <v>28</v>
      </c>
      <c r="B30" s="2">
        <v>2458054</v>
      </c>
      <c r="C30" s="2">
        <v>50211026610033</v>
      </c>
      <c r="D30" s="2" t="s">
        <v>22</v>
      </c>
      <c r="E30" s="2">
        <v>1519122</v>
      </c>
      <c r="F30" s="2">
        <v>998996339</v>
      </c>
      <c r="G30" s="3">
        <v>37562</v>
      </c>
      <c r="H30" s="2" t="s">
        <v>183</v>
      </c>
      <c r="I30" s="2" t="s">
        <v>184</v>
      </c>
      <c r="J30" s="2" t="s">
        <v>185</v>
      </c>
      <c r="K30" s="2" t="s">
        <v>26</v>
      </c>
      <c r="L30" s="2" t="s">
        <v>27</v>
      </c>
      <c r="M30" s="2">
        <v>5230407</v>
      </c>
      <c r="N30" s="2" t="s">
        <v>186</v>
      </c>
      <c r="O30" s="2" t="s">
        <v>139</v>
      </c>
      <c r="P30" s="2" t="s">
        <v>187</v>
      </c>
      <c r="Q30" s="2" t="s">
        <v>81</v>
      </c>
      <c r="R30" s="2" t="s">
        <v>134</v>
      </c>
      <c r="S30" s="2">
        <v>10</v>
      </c>
      <c r="T30" s="2" t="s">
        <v>33</v>
      </c>
      <c r="U30" s="2" t="s">
        <v>34</v>
      </c>
      <c r="V30" s="32">
        <v>91299300</v>
      </c>
      <c r="Y30" s="30">
        <f t="shared" si="0"/>
        <v>91299300</v>
      </c>
      <c r="Z30" s="41">
        <f t="shared" si="1"/>
        <v>0</v>
      </c>
    </row>
    <row r="31" spans="1:26" ht="26.25">
      <c r="A31" s="2">
        <v>29</v>
      </c>
      <c r="B31" s="2">
        <v>3782580</v>
      </c>
      <c r="C31" s="2">
        <v>30205985280020</v>
      </c>
      <c r="D31" s="2" t="s">
        <v>45</v>
      </c>
      <c r="E31" s="2">
        <v>6268561</v>
      </c>
      <c r="F31" s="2">
        <v>973066460</v>
      </c>
      <c r="G31" s="3">
        <v>35917</v>
      </c>
      <c r="H31" s="2" t="s">
        <v>188</v>
      </c>
      <c r="I31" s="2" t="s">
        <v>189</v>
      </c>
      <c r="J31" s="2" t="s">
        <v>190</v>
      </c>
      <c r="K31" s="2" t="s">
        <v>39</v>
      </c>
      <c r="L31" s="2" t="s">
        <v>27</v>
      </c>
      <c r="M31" s="2">
        <v>5340606</v>
      </c>
      <c r="N31" s="2" t="s">
        <v>191</v>
      </c>
      <c r="O31" s="2" t="s">
        <v>139</v>
      </c>
      <c r="P31" s="2" t="s">
        <v>42</v>
      </c>
      <c r="Q31" s="4">
        <v>14824</v>
      </c>
      <c r="R31" s="2" t="s">
        <v>44</v>
      </c>
      <c r="S31" s="2">
        <v>8</v>
      </c>
      <c r="T31" s="2" t="s">
        <v>33</v>
      </c>
      <c r="U31" s="2" t="s">
        <v>34</v>
      </c>
      <c r="V31" s="32">
        <v>65759144</v>
      </c>
      <c r="Y31" s="30">
        <f t="shared" si="0"/>
        <v>65759144</v>
      </c>
      <c r="Z31" s="41">
        <f t="shared" si="1"/>
        <v>0</v>
      </c>
    </row>
    <row r="32" spans="1:26" ht="26.25">
      <c r="A32" s="2">
        <v>30</v>
      </c>
      <c r="B32" s="2">
        <v>2079260</v>
      </c>
      <c r="C32" s="2">
        <v>51510007150021</v>
      </c>
      <c r="D32" s="2" t="s">
        <v>45</v>
      </c>
      <c r="E32" s="2">
        <v>5581905</v>
      </c>
      <c r="F32" s="2">
        <v>995272448</v>
      </c>
      <c r="G32" s="3">
        <v>36814</v>
      </c>
      <c r="H32" s="2" t="s">
        <v>89</v>
      </c>
      <c r="I32" s="2" t="s">
        <v>192</v>
      </c>
      <c r="J32" s="2" t="s">
        <v>193</v>
      </c>
      <c r="K32" s="2" t="s">
        <v>39</v>
      </c>
      <c r="L32" s="2" t="s">
        <v>27</v>
      </c>
      <c r="M32" s="2">
        <v>5320102</v>
      </c>
      <c r="N32" s="2" t="s">
        <v>138</v>
      </c>
      <c r="O32" s="2" t="s">
        <v>194</v>
      </c>
      <c r="P32" s="2" t="s">
        <v>140</v>
      </c>
      <c r="Q32" s="5">
        <v>44471</v>
      </c>
      <c r="R32" s="2" t="s">
        <v>62</v>
      </c>
      <c r="S32" s="2">
        <v>8</v>
      </c>
      <c r="T32" s="2" t="s">
        <v>33</v>
      </c>
      <c r="U32" s="2" t="s">
        <v>34</v>
      </c>
      <c r="V32" s="32">
        <v>18681575</v>
      </c>
      <c r="Y32" s="30">
        <f t="shared" si="0"/>
        <v>18681575</v>
      </c>
      <c r="Z32" s="41">
        <f t="shared" si="1"/>
        <v>0</v>
      </c>
    </row>
    <row r="33" spans="1:27" ht="31.5">
      <c r="A33" s="2">
        <v>31</v>
      </c>
      <c r="B33" s="2">
        <v>1223444</v>
      </c>
      <c r="C33" s="2">
        <v>51408015320050</v>
      </c>
      <c r="D33" s="2" t="s">
        <v>45</v>
      </c>
      <c r="E33" s="2">
        <v>7909409</v>
      </c>
      <c r="F33" s="2">
        <v>991981571</v>
      </c>
      <c r="G33" s="3">
        <v>37117</v>
      </c>
      <c r="H33" s="2" t="s">
        <v>195</v>
      </c>
      <c r="I33" s="2" t="s">
        <v>196</v>
      </c>
      <c r="J33" s="2" t="s">
        <v>197</v>
      </c>
      <c r="K33" s="2" t="s">
        <v>26</v>
      </c>
      <c r="L33" s="2" t="s">
        <v>27</v>
      </c>
      <c r="M33" s="2">
        <v>5340606</v>
      </c>
      <c r="N33" s="2" t="s">
        <v>191</v>
      </c>
      <c r="O33" s="2" t="s">
        <v>198</v>
      </c>
      <c r="P33" s="2" t="s">
        <v>199</v>
      </c>
      <c r="Q33" s="2" t="s">
        <v>61</v>
      </c>
      <c r="R33" s="2" t="s">
        <v>93</v>
      </c>
      <c r="S33" s="2">
        <v>8</v>
      </c>
      <c r="T33" s="2" t="s">
        <v>33</v>
      </c>
      <c r="U33" s="2" t="s">
        <v>34</v>
      </c>
      <c r="V33" s="29" t="s">
        <v>2814</v>
      </c>
      <c r="W33" s="21">
        <f>28400000+22662000</f>
        <v>51062000</v>
      </c>
      <c r="X33" s="45" t="s">
        <v>2826</v>
      </c>
      <c r="Y33" s="30">
        <f t="shared" si="0"/>
        <v>-32</v>
      </c>
      <c r="Z33" s="41">
        <f t="shared" si="1"/>
        <v>1.0000006266895158</v>
      </c>
      <c r="AA33" s="42" t="s">
        <v>2798</v>
      </c>
    </row>
    <row r="34" spans="1:27" ht="39">
      <c r="A34" s="2">
        <v>32</v>
      </c>
      <c r="B34" s="2">
        <v>3564336</v>
      </c>
      <c r="C34" s="2">
        <v>31603995060022</v>
      </c>
      <c r="D34" s="2" t="s">
        <v>45</v>
      </c>
      <c r="E34" s="2">
        <v>677020</v>
      </c>
      <c r="F34" s="2">
        <v>937067774</v>
      </c>
      <c r="G34" s="3">
        <v>36235</v>
      </c>
      <c r="H34" s="2" t="s">
        <v>200</v>
      </c>
      <c r="I34" s="2" t="s">
        <v>201</v>
      </c>
      <c r="J34" s="2" t="s">
        <v>202</v>
      </c>
      <c r="K34" s="2" t="s">
        <v>39</v>
      </c>
      <c r="L34" s="2" t="s">
        <v>27</v>
      </c>
      <c r="M34" s="2">
        <v>5311003</v>
      </c>
      <c r="N34" s="2" t="s">
        <v>144</v>
      </c>
      <c r="O34" s="2" t="s">
        <v>154</v>
      </c>
      <c r="P34" s="2" t="s">
        <v>79</v>
      </c>
      <c r="Q34" s="2" t="s">
        <v>81</v>
      </c>
      <c r="R34" s="2" t="s">
        <v>62</v>
      </c>
      <c r="S34" s="2">
        <v>8</v>
      </c>
      <c r="T34" s="2" t="s">
        <v>33</v>
      </c>
      <c r="U34" s="2" t="s">
        <v>34</v>
      </c>
      <c r="V34" s="32">
        <v>59781040</v>
      </c>
      <c r="Y34" s="30">
        <f t="shared" si="0"/>
        <v>59781040</v>
      </c>
      <c r="Z34" s="41">
        <f t="shared" si="1"/>
        <v>0</v>
      </c>
    </row>
    <row r="35" spans="1:27" ht="39">
      <c r="A35" s="2">
        <v>33</v>
      </c>
      <c r="B35" s="2">
        <v>3285253</v>
      </c>
      <c r="C35" s="2">
        <v>50609045700046</v>
      </c>
      <c r="D35" s="2" t="s">
        <v>22</v>
      </c>
      <c r="E35" s="2">
        <v>2531832</v>
      </c>
      <c r="F35" s="2">
        <v>940695511</v>
      </c>
      <c r="G35" s="3">
        <v>38236</v>
      </c>
      <c r="H35" s="2" t="s">
        <v>203</v>
      </c>
      <c r="I35" s="2" t="s">
        <v>204</v>
      </c>
      <c r="J35" s="2" t="s">
        <v>205</v>
      </c>
      <c r="K35" s="2" t="s">
        <v>26</v>
      </c>
      <c r="L35" s="2" t="s">
        <v>27</v>
      </c>
      <c r="M35" s="2">
        <v>5310902</v>
      </c>
      <c r="N35" s="2" t="s">
        <v>206</v>
      </c>
      <c r="O35" s="2" t="s">
        <v>207</v>
      </c>
      <c r="P35" s="2" t="s">
        <v>149</v>
      </c>
      <c r="Q35" s="4">
        <v>42064</v>
      </c>
      <c r="R35" s="2" t="s">
        <v>53</v>
      </c>
      <c r="S35" s="2">
        <v>8</v>
      </c>
      <c r="T35" s="2" t="s">
        <v>33</v>
      </c>
      <c r="U35" s="2" t="s">
        <v>34</v>
      </c>
      <c r="V35" s="32">
        <v>19237830</v>
      </c>
      <c r="W35" s="23">
        <v>11000000</v>
      </c>
      <c r="X35" s="13" t="s">
        <v>2666</v>
      </c>
      <c r="Y35" s="30">
        <f t="shared" si="0"/>
        <v>8237830</v>
      </c>
      <c r="Z35" s="41">
        <f t="shared" si="1"/>
        <v>0.57179006156099721</v>
      </c>
    </row>
    <row r="36" spans="1:27">
      <c r="A36" s="2">
        <v>34</v>
      </c>
      <c r="B36" s="2">
        <v>1598459</v>
      </c>
      <c r="C36" s="2">
        <v>32810872930012</v>
      </c>
      <c r="D36" s="2" t="s">
        <v>145</v>
      </c>
      <c r="E36" s="2">
        <v>418356</v>
      </c>
      <c r="F36" s="2">
        <v>993662121</v>
      </c>
      <c r="G36" s="3">
        <v>32078</v>
      </c>
      <c r="H36" s="2" t="s">
        <v>208</v>
      </c>
      <c r="I36" s="2" t="s">
        <v>209</v>
      </c>
      <c r="J36" s="2" t="s">
        <v>210</v>
      </c>
      <c r="K36" s="2" t="s">
        <v>39</v>
      </c>
      <c r="L36" s="2" t="s">
        <v>57</v>
      </c>
      <c r="M36" s="2">
        <v>5620101</v>
      </c>
      <c r="N36" s="2" t="s">
        <v>49</v>
      </c>
      <c r="O36" s="2" t="s">
        <v>211</v>
      </c>
      <c r="P36" s="2" t="s">
        <v>194</v>
      </c>
      <c r="Q36" s="2" t="s">
        <v>111</v>
      </c>
      <c r="R36" s="2" t="s">
        <v>62</v>
      </c>
      <c r="S36" s="2">
        <v>8</v>
      </c>
      <c r="T36" s="2" t="s">
        <v>33</v>
      </c>
      <c r="U36" s="2" t="s">
        <v>34</v>
      </c>
      <c r="V36" s="29">
        <v>107605872</v>
      </c>
      <c r="W36" s="20">
        <v>53802936</v>
      </c>
      <c r="X36" t="s">
        <v>2704</v>
      </c>
      <c r="Y36" s="30">
        <f t="shared" si="0"/>
        <v>53802936</v>
      </c>
      <c r="Z36" s="41">
        <f t="shared" si="1"/>
        <v>0.5</v>
      </c>
    </row>
    <row r="37" spans="1:27" ht="77.25">
      <c r="A37" s="2">
        <v>35</v>
      </c>
      <c r="B37" s="2">
        <v>3135100</v>
      </c>
      <c r="C37" s="2">
        <v>31311953460037</v>
      </c>
      <c r="D37" s="2" t="s">
        <v>35</v>
      </c>
      <c r="E37" s="2">
        <v>100705</v>
      </c>
      <c r="F37" s="2">
        <v>973487995</v>
      </c>
      <c r="G37" s="3">
        <v>35016</v>
      </c>
      <c r="H37" s="2" t="s">
        <v>212</v>
      </c>
      <c r="I37" s="2" t="s">
        <v>213</v>
      </c>
      <c r="J37" s="2" t="s">
        <v>214</v>
      </c>
      <c r="K37" s="2" t="s">
        <v>39</v>
      </c>
      <c r="L37" s="2" t="s">
        <v>27</v>
      </c>
      <c r="M37" s="2">
        <v>5310605</v>
      </c>
      <c r="N37" s="2" t="s">
        <v>97</v>
      </c>
      <c r="O37" s="2" t="s">
        <v>149</v>
      </c>
      <c r="P37" s="2" t="s">
        <v>79</v>
      </c>
      <c r="Q37" s="2" t="s">
        <v>43</v>
      </c>
      <c r="R37" s="2" t="s">
        <v>62</v>
      </c>
      <c r="S37" s="2">
        <v>8</v>
      </c>
      <c r="T37" s="2" t="s">
        <v>33</v>
      </c>
      <c r="U37" s="2" t="s">
        <v>34</v>
      </c>
      <c r="V37" s="29">
        <v>53802936</v>
      </c>
      <c r="W37" s="20">
        <f>26940000+3000000+5390000+4000000+12373000+2100000</f>
        <v>53803000</v>
      </c>
      <c r="X37" s="2" t="s">
        <v>2837</v>
      </c>
      <c r="Y37" s="30">
        <f t="shared" si="0"/>
        <v>-64</v>
      </c>
      <c r="Z37" s="41">
        <f t="shared" si="1"/>
        <v>1.0000011895261627</v>
      </c>
    </row>
    <row r="38" spans="1:27" ht="26.25">
      <c r="A38" s="2">
        <v>36</v>
      </c>
      <c r="B38" s="2">
        <v>3306090</v>
      </c>
      <c r="C38" s="2">
        <v>41609923950017</v>
      </c>
      <c r="D38" s="2" t="s">
        <v>45</v>
      </c>
      <c r="E38" s="2">
        <v>7808814</v>
      </c>
      <c r="F38" s="2">
        <v>990689216</v>
      </c>
      <c r="G38" s="3">
        <v>33863</v>
      </c>
      <c r="H38" s="2" t="s">
        <v>215</v>
      </c>
      <c r="I38" s="2" t="s">
        <v>216</v>
      </c>
      <c r="J38" s="2" t="s">
        <v>217</v>
      </c>
      <c r="K38" s="2" t="s">
        <v>39</v>
      </c>
      <c r="L38" s="2" t="s">
        <v>27</v>
      </c>
      <c r="M38" s="2">
        <v>5620701</v>
      </c>
      <c r="N38" s="2" t="s">
        <v>218</v>
      </c>
      <c r="O38" s="2" t="s">
        <v>155</v>
      </c>
      <c r="P38" s="2" t="s">
        <v>219</v>
      </c>
      <c r="Q38" s="2" t="s">
        <v>133</v>
      </c>
      <c r="R38" s="2" t="s">
        <v>62</v>
      </c>
      <c r="S38" s="2">
        <v>8</v>
      </c>
      <c r="T38" s="2" t="s">
        <v>33</v>
      </c>
      <c r="U38" s="2" t="s">
        <v>34</v>
      </c>
      <c r="V38" s="32">
        <v>59781040</v>
      </c>
      <c r="Y38" s="30">
        <f t="shared" si="0"/>
        <v>59781040</v>
      </c>
      <c r="Z38" s="41">
        <f t="shared" si="1"/>
        <v>0</v>
      </c>
    </row>
    <row r="39" spans="1:27" ht="26.25">
      <c r="A39" s="2">
        <v>37</v>
      </c>
      <c r="B39" s="2">
        <v>3276588</v>
      </c>
      <c r="C39" s="2">
        <v>51307037230021</v>
      </c>
      <c r="D39" s="2" t="s">
        <v>35</v>
      </c>
      <c r="E39" s="2">
        <v>1314849</v>
      </c>
      <c r="F39" s="2">
        <v>941477727</v>
      </c>
      <c r="G39" s="3">
        <v>37815</v>
      </c>
      <c r="H39" s="2" t="s">
        <v>220</v>
      </c>
      <c r="I39" s="2" t="s">
        <v>221</v>
      </c>
      <c r="J39" s="2" t="s">
        <v>222</v>
      </c>
      <c r="K39" s="2" t="s">
        <v>26</v>
      </c>
      <c r="L39" s="2" t="s">
        <v>27</v>
      </c>
      <c r="M39" s="2">
        <v>5620701</v>
      </c>
      <c r="N39" s="2" t="s">
        <v>218</v>
      </c>
      <c r="O39" s="2" t="s">
        <v>223</v>
      </c>
      <c r="P39" s="2" t="s">
        <v>224</v>
      </c>
      <c r="Q39" s="2" t="s">
        <v>225</v>
      </c>
      <c r="R39" s="2" t="s">
        <v>53</v>
      </c>
      <c r="S39" s="2">
        <v>8</v>
      </c>
      <c r="T39" s="2" t="s">
        <v>33</v>
      </c>
      <c r="U39" s="2" t="s">
        <v>34</v>
      </c>
      <c r="V39" s="29" t="s">
        <v>2757</v>
      </c>
      <c r="W39" s="21">
        <f>50500000+800000+19000000+13600000</f>
        <v>83900000</v>
      </c>
      <c r="X39" s="10" t="s">
        <v>2825</v>
      </c>
      <c r="Y39" s="30">
        <f t="shared" si="0"/>
        <v>8441584</v>
      </c>
      <c r="Z39" s="41">
        <f t="shared" si="1"/>
        <v>0.90858307130620586</v>
      </c>
    </row>
    <row r="40" spans="1:27">
      <c r="A40" s="2">
        <v>38</v>
      </c>
      <c r="B40" s="2">
        <v>3282428</v>
      </c>
      <c r="C40" s="2">
        <v>51401046820058</v>
      </c>
      <c r="D40" s="2" t="s">
        <v>22</v>
      </c>
      <c r="E40" s="2">
        <v>3017988</v>
      </c>
      <c r="F40" s="2">
        <v>975400114</v>
      </c>
      <c r="G40" s="3">
        <v>38000</v>
      </c>
      <c r="H40" s="2" t="s">
        <v>226</v>
      </c>
      <c r="I40" s="2" t="s">
        <v>227</v>
      </c>
      <c r="J40" s="2" t="s">
        <v>228</v>
      </c>
      <c r="K40" s="2" t="s">
        <v>26</v>
      </c>
      <c r="L40" s="2" t="s">
        <v>27</v>
      </c>
      <c r="M40" s="2">
        <v>5240109</v>
      </c>
      <c r="N40" s="2" t="s">
        <v>28</v>
      </c>
      <c r="O40" s="2" t="s">
        <v>80</v>
      </c>
      <c r="P40" s="2" t="s">
        <v>30</v>
      </c>
      <c r="Q40" s="2" t="s">
        <v>179</v>
      </c>
      <c r="R40" s="2" t="s">
        <v>32</v>
      </c>
      <c r="S40" s="2">
        <v>25</v>
      </c>
      <c r="T40" s="2" t="s">
        <v>33</v>
      </c>
      <c r="U40" s="2" t="s">
        <v>34</v>
      </c>
      <c r="V40" s="32">
        <v>245231500</v>
      </c>
      <c r="Y40" s="30">
        <f t="shared" si="0"/>
        <v>245231500</v>
      </c>
      <c r="Z40" s="41">
        <f t="shared" si="1"/>
        <v>0</v>
      </c>
    </row>
    <row r="41" spans="1:27">
      <c r="A41" s="2">
        <v>39</v>
      </c>
      <c r="B41" s="2">
        <v>2769971</v>
      </c>
      <c r="C41" s="2">
        <v>40905950240020</v>
      </c>
      <c r="D41" s="2" t="s">
        <v>145</v>
      </c>
      <c r="E41" s="2">
        <v>7429550</v>
      </c>
      <c r="F41" s="2">
        <v>903223226</v>
      </c>
      <c r="G41" s="3">
        <v>34828</v>
      </c>
      <c r="H41" s="2" t="s">
        <v>229</v>
      </c>
      <c r="I41" s="2" t="s">
        <v>230</v>
      </c>
      <c r="J41" s="2" t="s">
        <v>231</v>
      </c>
      <c r="K41" s="2" t="s">
        <v>39</v>
      </c>
      <c r="L41" s="2" t="s">
        <v>57</v>
      </c>
      <c r="M41" s="2">
        <v>5310400</v>
      </c>
      <c r="N41" s="2" t="s">
        <v>232</v>
      </c>
      <c r="O41" s="2" t="s">
        <v>225</v>
      </c>
      <c r="P41" s="2" t="s">
        <v>139</v>
      </c>
      <c r="Q41" s="4">
        <v>43922</v>
      </c>
      <c r="R41" s="2" t="s">
        <v>62</v>
      </c>
      <c r="S41" s="2">
        <v>8</v>
      </c>
      <c r="T41" s="2" t="s">
        <v>33</v>
      </c>
      <c r="U41" s="2" t="s">
        <v>34</v>
      </c>
      <c r="V41" s="32">
        <v>59781040</v>
      </c>
      <c r="Y41" s="30">
        <f t="shared" si="0"/>
        <v>59781040</v>
      </c>
      <c r="Z41" s="41">
        <f t="shared" si="1"/>
        <v>0</v>
      </c>
    </row>
    <row r="42" spans="1:27" ht="15.75">
      <c r="A42" s="2">
        <v>40</v>
      </c>
      <c r="B42" s="2">
        <v>3534388</v>
      </c>
      <c r="C42" s="2">
        <v>51309035540021</v>
      </c>
      <c r="D42" s="2" t="s">
        <v>22</v>
      </c>
      <c r="E42" s="2">
        <v>3176117</v>
      </c>
      <c r="F42" s="2">
        <v>990312722</v>
      </c>
      <c r="G42" s="3">
        <v>37877</v>
      </c>
      <c r="H42" s="2" t="s">
        <v>233</v>
      </c>
      <c r="I42" s="2" t="s">
        <v>234</v>
      </c>
      <c r="J42" s="2" t="s">
        <v>235</v>
      </c>
      <c r="K42" s="2" t="s">
        <v>26</v>
      </c>
      <c r="L42" s="2" t="s">
        <v>27</v>
      </c>
      <c r="M42" s="2">
        <v>5240109</v>
      </c>
      <c r="N42" s="2" t="s">
        <v>28</v>
      </c>
      <c r="O42" s="2" t="s">
        <v>236</v>
      </c>
      <c r="P42" s="2" t="s">
        <v>30</v>
      </c>
      <c r="Q42" s="4">
        <v>42064</v>
      </c>
      <c r="R42" s="2" t="s">
        <v>32</v>
      </c>
      <c r="S42" s="2">
        <v>25</v>
      </c>
      <c r="T42" s="2" t="s">
        <v>33</v>
      </c>
      <c r="U42" s="2" t="s">
        <v>34</v>
      </c>
      <c r="V42" s="32">
        <v>29427780</v>
      </c>
      <c r="W42" s="21">
        <f>7021000+2430000+1900000+3400000</f>
        <v>14751000</v>
      </c>
      <c r="X42" s="10" t="s">
        <v>2773</v>
      </c>
      <c r="Y42" s="30">
        <f t="shared" si="0"/>
        <v>14676780</v>
      </c>
      <c r="Z42" s="41">
        <f t="shared" si="1"/>
        <v>0.50126105333124005</v>
      </c>
    </row>
    <row r="43" spans="1:27" ht="26.25">
      <c r="A43" s="2">
        <v>41</v>
      </c>
      <c r="B43" s="2">
        <v>1795571</v>
      </c>
      <c r="C43" s="2">
        <v>30202943950047</v>
      </c>
      <c r="D43" s="2" t="s">
        <v>145</v>
      </c>
      <c r="E43" s="2">
        <v>1999326</v>
      </c>
      <c r="F43" s="2">
        <v>931305006</v>
      </c>
      <c r="G43" s="3">
        <v>34367</v>
      </c>
      <c r="H43" s="2" t="s">
        <v>237</v>
      </c>
      <c r="I43" s="2" t="s">
        <v>238</v>
      </c>
      <c r="J43" s="2" t="s">
        <v>239</v>
      </c>
      <c r="K43" s="2" t="s">
        <v>39</v>
      </c>
      <c r="L43" s="2" t="s">
        <v>27</v>
      </c>
      <c r="M43" s="2">
        <v>5640202</v>
      </c>
      <c r="N43" s="2" t="s">
        <v>240</v>
      </c>
      <c r="O43" s="2" t="s">
        <v>149</v>
      </c>
      <c r="P43" s="2" t="s">
        <v>241</v>
      </c>
      <c r="Q43" s="4">
        <v>16681</v>
      </c>
      <c r="R43" s="2" t="s">
        <v>62</v>
      </c>
      <c r="S43" s="2">
        <v>8</v>
      </c>
      <c r="T43" s="2" t="s">
        <v>33</v>
      </c>
      <c r="U43" s="2" t="s">
        <v>34</v>
      </c>
      <c r="V43" s="32">
        <v>59781040</v>
      </c>
      <c r="W43" s="20">
        <v>30368000</v>
      </c>
      <c r="X43" s="2" t="s">
        <v>2694</v>
      </c>
      <c r="Y43" s="30">
        <f t="shared" si="0"/>
        <v>29413040</v>
      </c>
      <c r="Z43" s="41">
        <f t="shared" si="1"/>
        <v>0.50798714776457554</v>
      </c>
    </row>
    <row r="44" spans="1:27">
      <c r="A44" s="2">
        <v>42</v>
      </c>
      <c r="B44" s="2">
        <v>3719103</v>
      </c>
      <c r="C44" s="2">
        <v>33010956320013</v>
      </c>
      <c r="D44" s="2" t="s">
        <v>145</v>
      </c>
      <c r="E44" s="2">
        <v>2464346</v>
      </c>
      <c r="F44" s="2">
        <v>905771795</v>
      </c>
      <c r="G44" s="3">
        <v>35002</v>
      </c>
      <c r="H44" s="2" t="s">
        <v>242</v>
      </c>
      <c r="I44" s="2" t="s">
        <v>243</v>
      </c>
      <c r="J44" s="2" t="s">
        <v>244</v>
      </c>
      <c r="K44" s="2" t="s">
        <v>39</v>
      </c>
      <c r="L44" s="2" t="s">
        <v>57</v>
      </c>
      <c r="M44" s="2">
        <v>5620400</v>
      </c>
      <c r="N44" s="2" t="s">
        <v>103</v>
      </c>
      <c r="O44" s="2" t="s">
        <v>198</v>
      </c>
      <c r="P44" s="2" t="s">
        <v>139</v>
      </c>
      <c r="Q44" s="4">
        <v>20394</v>
      </c>
      <c r="R44" s="2" t="s">
        <v>62</v>
      </c>
      <c r="S44" s="2">
        <v>8</v>
      </c>
      <c r="T44" s="2" t="s">
        <v>33</v>
      </c>
      <c r="U44" s="2" t="s">
        <v>34</v>
      </c>
      <c r="V44" s="32">
        <v>59781040</v>
      </c>
      <c r="Y44" s="30">
        <f t="shared" si="0"/>
        <v>59781040</v>
      </c>
      <c r="Z44" s="41">
        <f t="shared" si="1"/>
        <v>0</v>
      </c>
    </row>
    <row r="45" spans="1:27" ht="78.75">
      <c r="A45" s="2">
        <v>43</v>
      </c>
      <c r="B45" s="2">
        <v>2856376</v>
      </c>
      <c r="C45" s="2">
        <v>30504963370017</v>
      </c>
      <c r="D45" s="2" t="s">
        <v>35</v>
      </c>
      <c r="E45" s="2">
        <v>988421</v>
      </c>
      <c r="F45" s="2">
        <v>945902528</v>
      </c>
      <c r="G45" s="3">
        <v>35160</v>
      </c>
      <c r="H45" s="2" t="s">
        <v>245</v>
      </c>
      <c r="I45" s="2" t="s">
        <v>246</v>
      </c>
      <c r="J45" s="2" t="s">
        <v>247</v>
      </c>
      <c r="K45" s="2" t="s">
        <v>39</v>
      </c>
      <c r="L45" s="2" t="s">
        <v>27</v>
      </c>
      <c r="M45" s="2">
        <v>5620701</v>
      </c>
      <c r="N45" s="2" t="s">
        <v>218</v>
      </c>
      <c r="O45" s="2" t="s">
        <v>155</v>
      </c>
      <c r="P45" s="2" t="s">
        <v>219</v>
      </c>
      <c r="Q45" s="2" t="s">
        <v>133</v>
      </c>
      <c r="R45" s="2" t="s">
        <v>62</v>
      </c>
      <c r="S45" s="2">
        <v>8</v>
      </c>
      <c r="T45" s="2" t="s">
        <v>33</v>
      </c>
      <c r="U45" s="2" t="s">
        <v>34</v>
      </c>
      <c r="V45" s="32">
        <v>53802936</v>
      </c>
      <c r="W45" s="21">
        <f>30000000+3000000+12000000+3803000+5000000</f>
        <v>53803000</v>
      </c>
      <c r="X45" s="45" t="s">
        <v>2958</v>
      </c>
      <c r="Y45" s="52">
        <f>V45-W45</f>
        <v>-64</v>
      </c>
      <c r="Z45" s="41">
        <f t="shared" si="1"/>
        <v>1.0000011895261627</v>
      </c>
    </row>
    <row r="46" spans="1:27" ht="26.25">
      <c r="A46" s="2">
        <v>44</v>
      </c>
      <c r="B46" s="2">
        <v>2069254</v>
      </c>
      <c r="C46" s="2">
        <v>50404005750015</v>
      </c>
      <c r="D46" s="2" t="s">
        <v>45</v>
      </c>
      <c r="E46" s="2">
        <v>4318929</v>
      </c>
      <c r="F46" s="2">
        <v>916333993</v>
      </c>
      <c r="G46" s="3">
        <v>36620</v>
      </c>
      <c r="H46" s="2" t="s">
        <v>248</v>
      </c>
      <c r="I46" s="2" t="s">
        <v>249</v>
      </c>
      <c r="J46" s="2" t="s">
        <v>250</v>
      </c>
      <c r="K46" s="2" t="s">
        <v>39</v>
      </c>
      <c r="L46" s="2" t="s">
        <v>27</v>
      </c>
      <c r="M46" s="2">
        <v>5230902</v>
      </c>
      <c r="N46" s="2" t="s">
        <v>251</v>
      </c>
      <c r="O46" s="2" t="s">
        <v>175</v>
      </c>
      <c r="P46" s="2" t="s">
        <v>252</v>
      </c>
      <c r="Q46" s="2" t="s">
        <v>253</v>
      </c>
      <c r="R46" s="2" t="s">
        <v>82</v>
      </c>
      <c r="S46" s="2">
        <v>10</v>
      </c>
      <c r="T46" s="2" t="s">
        <v>33</v>
      </c>
      <c r="U46" s="2" t="s">
        <v>34</v>
      </c>
      <c r="V46" s="29" t="s">
        <v>2802</v>
      </c>
      <c r="W46" s="21">
        <f>52000000+10000000+13329600+10000000</f>
        <v>85329600</v>
      </c>
      <c r="X46" s="10" t="s">
        <v>2927</v>
      </c>
      <c r="Y46" s="30">
        <f t="shared" si="0"/>
        <v>8825538</v>
      </c>
      <c r="Z46" s="41">
        <f t="shared" si="1"/>
        <v>0.90626599686997433</v>
      </c>
      <c r="AA46" s="42" t="s">
        <v>2798</v>
      </c>
    </row>
    <row r="47" spans="1:27" ht="15.75">
      <c r="A47" s="2">
        <v>45</v>
      </c>
      <c r="B47" s="2">
        <v>3406701</v>
      </c>
      <c r="C47" s="2">
        <v>52801046540056</v>
      </c>
      <c r="D47" s="2" t="s">
        <v>22</v>
      </c>
      <c r="E47" s="2">
        <v>2813800</v>
      </c>
      <c r="F47" s="2">
        <v>971884542</v>
      </c>
      <c r="G47" s="3">
        <v>38014</v>
      </c>
      <c r="H47" s="2" t="s">
        <v>254</v>
      </c>
      <c r="I47" s="2" t="s">
        <v>255</v>
      </c>
      <c r="J47" s="2" t="s">
        <v>256</v>
      </c>
      <c r="K47" s="2" t="s">
        <v>26</v>
      </c>
      <c r="L47" s="2" t="s">
        <v>27</v>
      </c>
      <c r="M47" s="2">
        <v>5330600</v>
      </c>
      <c r="N47" s="2" t="s">
        <v>131</v>
      </c>
      <c r="O47" s="2">
        <v>84</v>
      </c>
      <c r="P47" s="2" t="s">
        <v>132</v>
      </c>
      <c r="Q47" s="4">
        <v>42064</v>
      </c>
      <c r="R47" s="2" t="s">
        <v>134</v>
      </c>
      <c r="S47" s="2">
        <v>10</v>
      </c>
      <c r="T47" s="2" t="s">
        <v>33</v>
      </c>
      <c r="U47" s="2" t="s">
        <v>34</v>
      </c>
      <c r="V47" s="32">
        <v>27389790</v>
      </c>
      <c r="W47" s="21">
        <v>13695000</v>
      </c>
      <c r="X47" s="11" t="s">
        <v>2629</v>
      </c>
      <c r="Y47" s="30">
        <f t="shared" si="0"/>
        <v>13694790</v>
      </c>
      <c r="Z47" s="41">
        <f t="shared" si="1"/>
        <v>0.50000383354527367</v>
      </c>
    </row>
    <row r="48" spans="1:27" ht="26.25">
      <c r="A48" s="2">
        <v>46</v>
      </c>
      <c r="B48" s="2">
        <v>1896528</v>
      </c>
      <c r="C48" s="2">
        <v>33010930262139</v>
      </c>
      <c r="D48" s="2" t="s">
        <v>45</v>
      </c>
      <c r="E48" s="2">
        <v>9040948</v>
      </c>
      <c r="F48" s="2">
        <v>909295953</v>
      </c>
      <c r="G48" s="3">
        <v>34272</v>
      </c>
      <c r="H48" s="2" t="s">
        <v>257</v>
      </c>
      <c r="I48" s="2" t="s">
        <v>258</v>
      </c>
      <c r="J48" s="2" t="s">
        <v>259</v>
      </c>
      <c r="K48" s="2" t="s">
        <v>39</v>
      </c>
      <c r="L48" s="2" t="s">
        <v>27</v>
      </c>
      <c r="M48" s="2">
        <v>5340606</v>
      </c>
      <c r="N48" s="2" t="s">
        <v>191</v>
      </c>
      <c r="O48" s="2" t="s">
        <v>225</v>
      </c>
      <c r="P48" s="2" t="s">
        <v>42</v>
      </c>
      <c r="Q48" s="4">
        <v>22251</v>
      </c>
      <c r="R48" s="2" t="s">
        <v>44</v>
      </c>
      <c r="S48" s="2">
        <v>8</v>
      </c>
      <c r="T48" s="2" t="s">
        <v>33</v>
      </c>
      <c r="U48" s="2" t="s">
        <v>34</v>
      </c>
      <c r="V48" s="29" t="s">
        <v>2722</v>
      </c>
      <c r="W48" s="22">
        <f>29591614.8+14795808</f>
        <v>44387422.799999997</v>
      </c>
      <c r="X48" s="17" t="s">
        <v>2965</v>
      </c>
      <c r="Y48" s="30">
        <f t="shared" si="0"/>
        <v>14795806.800000004</v>
      </c>
      <c r="Z48" s="41">
        <f t="shared" si="1"/>
        <v>0.75000001013800699</v>
      </c>
    </row>
    <row r="49" spans="1:26">
      <c r="A49" s="2">
        <v>47</v>
      </c>
      <c r="B49" s="2">
        <v>2512619</v>
      </c>
      <c r="C49" s="2">
        <v>33105985560010</v>
      </c>
      <c r="D49" s="2" t="s">
        <v>45</v>
      </c>
      <c r="E49" s="2">
        <v>3952145</v>
      </c>
      <c r="F49" s="2">
        <v>999373498</v>
      </c>
      <c r="G49" s="3">
        <v>35946</v>
      </c>
      <c r="H49" s="2" t="s">
        <v>260</v>
      </c>
      <c r="I49" s="2" t="s">
        <v>261</v>
      </c>
      <c r="J49" s="2" t="s">
        <v>262</v>
      </c>
      <c r="K49" s="2" t="s">
        <v>39</v>
      </c>
      <c r="L49" s="2" t="s">
        <v>27</v>
      </c>
      <c r="M49" s="2">
        <v>5620101</v>
      </c>
      <c r="N49" s="2" t="s">
        <v>49</v>
      </c>
      <c r="O49" s="2" t="s">
        <v>263</v>
      </c>
      <c r="P49" s="2" t="s">
        <v>264</v>
      </c>
      <c r="Q49" s="2" t="s">
        <v>122</v>
      </c>
      <c r="R49" s="2" t="s">
        <v>62</v>
      </c>
      <c r="S49" s="2">
        <v>8</v>
      </c>
      <c r="T49" s="2" t="s">
        <v>33</v>
      </c>
      <c r="U49" s="2" t="s">
        <v>34</v>
      </c>
      <c r="V49" s="32">
        <v>119562080</v>
      </c>
      <c r="Y49" s="30">
        <f t="shared" si="0"/>
        <v>119562080</v>
      </c>
      <c r="Z49" s="41">
        <f t="shared" si="1"/>
        <v>0</v>
      </c>
    </row>
    <row r="50" spans="1:26" ht="26.25">
      <c r="A50" s="2">
        <v>48</v>
      </c>
      <c r="B50" s="2">
        <v>2755841</v>
      </c>
      <c r="C50" s="2">
        <v>51911026980011</v>
      </c>
      <c r="D50" s="2" t="s">
        <v>22</v>
      </c>
      <c r="E50" s="2">
        <v>403440</v>
      </c>
      <c r="F50" s="2">
        <v>911449694</v>
      </c>
      <c r="G50" s="3">
        <v>37579</v>
      </c>
      <c r="H50" s="2" t="s">
        <v>265</v>
      </c>
      <c r="I50" s="2" t="s">
        <v>266</v>
      </c>
      <c r="J50" s="2" t="s">
        <v>267</v>
      </c>
      <c r="K50" s="2" t="s">
        <v>26</v>
      </c>
      <c r="L50" s="2" t="s">
        <v>27</v>
      </c>
      <c r="M50" s="2">
        <v>5320102</v>
      </c>
      <c r="N50" s="2" t="s">
        <v>138</v>
      </c>
      <c r="O50" s="2" t="s">
        <v>87</v>
      </c>
      <c r="P50" s="2" t="s">
        <v>154</v>
      </c>
      <c r="Q50" s="4">
        <v>12966</v>
      </c>
      <c r="R50" s="2" t="s">
        <v>53</v>
      </c>
      <c r="S50" s="2">
        <v>8</v>
      </c>
      <c r="T50" s="2" t="s">
        <v>33</v>
      </c>
      <c r="U50" s="2" t="s">
        <v>34</v>
      </c>
      <c r="V50" s="32">
        <v>46170792</v>
      </c>
      <c r="W50" s="21">
        <v>26000000</v>
      </c>
      <c r="X50" s="10" t="s">
        <v>2625</v>
      </c>
      <c r="Y50" s="30">
        <f t="shared" si="0"/>
        <v>20170792</v>
      </c>
      <c r="Z50" s="41">
        <f t="shared" si="1"/>
        <v>0.56312657577976999</v>
      </c>
    </row>
    <row r="51" spans="1:26">
      <c r="A51" s="2">
        <v>49</v>
      </c>
      <c r="B51" s="2">
        <v>2382685</v>
      </c>
      <c r="C51" s="2">
        <v>51101025450024</v>
      </c>
      <c r="D51" s="2" t="s">
        <v>45</v>
      </c>
      <c r="E51" s="2">
        <v>8905081</v>
      </c>
      <c r="F51" s="2">
        <v>990610109</v>
      </c>
      <c r="G51" s="3">
        <v>37267</v>
      </c>
      <c r="H51" s="2" t="s">
        <v>268</v>
      </c>
      <c r="I51" s="2" t="s">
        <v>269</v>
      </c>
      <c r="J51" s="2" t="s">
        <v>270</v>
      </c>
      <c r="K51" s="2" t="s">
        <v>39</v>
      </c>
      <c r="L51" s="2" t="s">
        <v>27</v>
      </c>
      <c r="M51" s="2">
        <v>5620101</v>
      </c>
      <c r="N51" s="2" t="s">
        <v>49</v>
      </c>
      <c r="O51" s="2" t="s">
        <v>198</v>
      </c>
      <c r="P51" s="2" t="s">
        <v>264</v>
      </c>
      <c r="Q51" s="2" t="s">
        <v>223</v>
      </c>
      <c r="R51" s="2" t="s">
        <v>62</v>
      </c>
      <c r="S51" s="2">
        <v>8</v>
      </c>
      <c r="T51" s="2" t="s">
        <v>33</v>
      </c>
      <c r="U51" s="2" t="s">
        <v>34</v>
      </c>
      <c r="V51" s="32">
        <v>59781040</v>
      </c>
      <c r="Y51" s="30">
        <f t="shared" si="0"/>
        <v>59781040</v>
      </c>
      <c r="Z51" s="41">
        <f t="shared" si="1"/>
        <v>0</v>
      </c>
    </row>
    <row r="52" spans="1:26" ht="39">
      <c r="A52" s="2">
        <v>50</v>
      </c>
      <c r="B52" s="2">
        <v>3738027</v>
      </c>
      <c r="C52" s="2">
        <v>53001036320027</v>
      </c>
      <c r="D52" s="2" t="s">
        <v>74</v>
      </c>
      <c r="E52" s="2">
        <v>319796</v>
      </c>
      <c r="F52" s="2">
        <v>904117724</v>
      </c>
      <c r="G52" s="3">
        <v>37651</v>
      </c>
      <c r="H52" s="2" t="s">
        <v>271</v>
      </c>
      <c r="I52" s="2" t="s">
        <v>272</v>
      </c>
      <c r="J52" s="2" t="s">
        <v>273</v>
      </c>
      <c r="K52" s="2" t="s">
        <v>39</v>
      </c>
      <c r="L52" s="2" t="s">
        <v>57</v>
      </c>
      <c r="M52" s="2">
        <v>5311003</v>
      </c>
      <c r="N52" s="2" t="s">
        <v>144</v>
      </c>
      <c r="O52" s="2" t="s">
        <v>88</v>
      </c>
      <c r="P52" s="2" t="s">
        <v>155</v>
      </c>
      <c r="Q52" s="4">
        <v>12966</v>
      </c>
      <c r="R52" s="2" t="s">
        <v>62</v>
      </c>
      <c r="S52" s="2">
        <v>8</v>
      </c>
      <c r="T52" s="2" t="s">
        <v>33</v>
      </c>
      <c r="U52" s="2" t="s">
        <v>34</v>
      </c>
      <c r="V52" s="32">
        <v>53802936</v>
      </c>
      <c r="W52" s="20">
        <f>26905000+10000000</f>
        <v>36905000</v>
      </c>
      <c r="X52" s="2" t="s">
        <v>2924</v>
      </c>
      <c r="Y52" s="30">
        <f t="shared" si="0"/>
        <v>16897936</v>
      </c>
      <c r="Z52" s="41">
        <f t="shared" si="1"/>
        <v>0.68592910989095468</v>
      </c>
    </row>
    <row r="53" spans="1:26" ht="26.25">
      <c r="A53" s="2">
        <v>51</v>
      </c>
      <c r="B53" s="2">
        <v>2015957</v>
      </c>
      <c r="C53" s="2">
        <v>32102987140054</v>
      </c>
      <c r="D53" s="2" t="s">
        <v>45</v>
      </c>
      <c r="E53" s="2">
        <v>4653572</v>
      </c>
      <c r="F53" s="2">
        <v>993841909</v>
      </c>
      <c r="G53" s="3">
        <v>35847</v>
      </c>
      <c r="H53" s="2" t="s">
        <v>274</v>
      </c>
      <c r="I53" s="2" t="s">
        <v>275</v>
      </c>
      <c r="J53" s="2" t="s">
        <v>276</v>
      </c>
      <c r="K53" s="2" t="s">
        <v>39</v>
      </c>
      <c r="L53" s="2" t="s">
        <v>27</v>
      </c>
      <c r="M53" s="2">
        <v>5340606</v>
      </c>
      <c r="N53" s="2" t="s">
        <v>191</v>
      </c>
      <c r="O53" s="2">
        <v>63</v>
      </c>
      <c r="P53" s="2" t="s">
        <v>42</v>
      </c>
      <c r="Q53" s="2" t="s">
        <v>277</v>
      </c>
      <c r="R53" s="2" t="s">
        <v>44</v>
      </c>
      <c r="S53" s="2">
        <v>8</v>
      </c>
      <c r="T53" s="2" t="s">
        <v>33</v>
      </c>
      <c r="U53" s="2" t="s">
        <v>34</v>
      </c>
      <c r="V53" s="32">
        <v>65759144</v>
      </c>
      <c r="Y53" s="30">
        <f t="shared" si="0"/>
        <v>65759144</v>
      </c>
      <c r="Z53" s="41">
        <f t="shared" si="1"/>
        <v>0</v>
      </c>
    </row>
    <row r="54" spans="1:26" ht="39">
      <c r="A54" s="2">
        <v>52</v>
      </c>
      <c r="B54" s="2">
        <v>1897115</v>
      </c>
      <c r="C54" s="2">
        <v>30804966220037</v>
      </c>
      <c r="D54" s="2" t="s">
        <v>145</v>
      </c>
      <c r="E54" s="2">
        <v>8813557</v>
      </c>
      <c r="F54" s="2">
        <v>996741514</v>
      </c>
      <c r="G54" s="3">
        <v>35163</v>
      </c>
      <c r="H54" s="2" t="s">
        <v>278</v>
      </c>
      <c r="I54" s="2" t="s">
        <v>279</v>
      </c>
      <c r="J54" s="2" t="s">
        <v>280</v>
      </c>
      <c r="K54" s="2" t="s">
        <v>39</v>
      </c>
      <c r="L54" s="2" t="s">
        <v>57</v>
      </c>
      <c r="M54" s="2">
        <v>5311003</v>
      </c>
      <c r="N54" s="2" t="s">
        <v>144</v>
      </c>
      <c r="O54" s="2" t="s">
        <v>281</v>
      </c>
      <c r="P54" s="2" t="s">
        <v>155</v>
      </c>
      <c r="Q54" s="2" t="s">
        <v>277</v>
      </c>
      <c r="R54" s="2" t="s">
        <v>62</v>
      </c>
      <c r="S54" s="2">
        <v>8</v>
      </c>
      <c r="T54" s="2" t="s">
        <v>33</v>
      </c>
      <c r="U54" s="2" t="s">
        <v>34</v>
      </c>
      <c r="V54" s="32">
        <v>119562080</v>
      </c>
      <c r="Y54" s="30">
        <f t="shared" si="0"/>
        <v>119562080</v>
      </c>
      <c r="Z54" s="41">
        <f t="shared" si="1"/>
        <v>0</v>
      </c>
    </row>
    <row r="55" spans="1:26">
      <c r="A55" s="2">
        <v>53</v>
      </c>
      <c r="B55" s="2">
        <v>2727457</v>
      </c>
      <c r="C55" s="2">
        <v>32012987360018</v>
      </c>
      <c r="D55" s="2" t="s">
        <v>35</v>
      </c>
      <c r="E55" s="2">
        <v>421886</v>
      </c>
      <c r="F55" s="2">
        <v>940279889</v>
      </c>
      <c r="G55" s="3">
        <v>36149</v>
      </c>
      <c r="H55" s="2" t="s">
        <v>282</v>
      </c>
      <c r="I55" s="2" t="s">
        <v>283</v>
      </c>
      <c r="J55" s="2" t="s">
        <v>284</v>
      </c>
      <c r="K55" s="2" t="s">
        <v>39</v>
      </c>
      <c r="L55" s="2" t="s">
        <v>27</v>
      </c>
      <c r="M55" s="2">
        <v>5310606</v>
      </c>
      <c r="N55" s="2" t="s">
        <v>72</v>
      </c>
      <c r="O55" s="2" t="s">
        <v>140</v>
      </c>
      <c r="P55" s="2" t="s">
        <v>73</v>
      </c>
      <c r="Q55" s="4">
        <v>43922</v>
      </c>
      <c r="R55" s="2" t="s">
        <v>62</v>
      </c>
      <c r="S55" s="2">
        <v>8</v>
      </c>
      <c r="T55" s="2" t="s">
        <v>33</v>
      </c>
      <c r="U55" s="2" t="s">
        <v>34</v>
      </c>
      <c r="V55" s="32">
        <v>59781040</v>
      </c>
      <c r="Y55" s="30">
        <f t="shared" si="0"/>
        <v>59781040</v>
      </c>
      <c r="Z55" s="41">
        <f t="shared" si="1"/>
        <v>0</v>
      </c>
    </row>
    <row r="56" spans="1:26">
      <c r="A56" s="2">
        <v>54</v>
      </c>
      <c r="B56" s="2">
        <v>1426331</v>
      </c>
      <c r="C56" s="2">
        <v>31405900520025</v>
      </c>
      <c r="D56" s="2" t="s">
        <v>145</v>
      </c>
      <c r="E56" s="2">
        <v>323230</v>
      </c>
      <c r="F56" s="2">
        <v>974757011</v>
      </c>
      <c r="G56" s="3">
        <v>33007</v>
      </c>
      <c r="H56" s="2" t="s">
        <v>125</v>
      </c>
      <c r="I56" s="2" t="s">
        <v>285</v>
      </c>
      <c r="J56" s="2" t="s">
        <v>286</v>
      </c>
      <c r="K56" s="2" t="s">
        <v>39</v>
      </c>
      <c r="L56" s="2" t="s">
        <v>27</v>
      </c>
      <c r="M56" s="2">
        <v>5310400</v>
      </c>
      <c r="N56" s="2" t="s">
        <v>232</v>
      </c>
      <c r="O56" s="2" t="s">
        <v>60</v>
      </c>
      <c r="P56" s="2" t="s">
        <v>287</v>
      </c>
      <c r="Q56" s="2" t="s">
        <v>288</v>
      </c>
      <c r="R56" s="2" t="s">
        <v>62</v>
      </c>
      <c r="S56" s="2">
        <v>8</v>
      </c>
      <c r="T56" s="2" t="s">
        <v>33</v>
      </c>
      <c r="U56" s="2" t="s">
        <v>34</v>
      </c>
      <c r="V56" s="32">
        <v>59781040</v>
      </c>
      <c r="Y56" s="30">
        <f t="shared" si="0"/>
        <v>59781040</v>
      </c>
      <c r="Z56" s="41">
        <f t="shared" si="1"/>
        <v>0</v>
      </c>
    </row>
    <row r="57" spans="1:26">
      <c r="A57" s="2">
        <v>55</v>
      </c>
      <c r="B57" s="2">
        <v>1905683</v>
      </c>
      <c r="C57" s="2">
        <v>32904897360012</v>
      </c>
      <c r="D57" s="2" t="s">
        <v>35</v>
      </c>
      <c r="E57" s="2">
        <v>199927</v>
      </c>
      <c r="F57" s="2">
        <v>911662227</v>
      </c>
      <c r="G57" s="3">
        <v>32627</v>
      </c>
      <c r="H57" s="2" t="s">
        <v>289</v>
      </c>
      <c r="I57" s="2" t="s">
        <v>290</v>
      </c>
      <c r="J57" s="2" t="s">
        <v>291</v>
      </c>
      <c r="K57" s="2" t="s">
        <v>39</v>
      </c>
      <c r="L57" s="2" t="s">
        <v>57</v>
      </c>
      <c r="M57" s="2">
        <v>5310606</v>
      </c>
      <c r="N57" s="2" t="s">
        <v>72</v>
      </c>
      <c r="O57" s="2">
        <v>42</v>
      </c>
      <c r="P57" s="2" t="s">
        <v>225</v>
      </c>
      <c r="Q57" s="2" t="s">
        <v>61</v>
      </c>
      <c r="R57" s="2" t="s">
        <v>62</v>
      </c>
      <c r="S57" s="2">
        <v>8</v>
      </c>
      <c r="T57" s="2" t="s">
        <v>33</v>
      </c>
      <c r="U57" s="2" t="s">
        <v>34</v>
      </c>
      <c r="V57" s="32">
        <v>119562080</v>
      </c>
      <c r="Y57" s="30">
        <f t="shared" si="0"/>
        <v>119562080</v>
      </c>
      <c r="Z57" s="41">
        <f t="shared" si="1"/>
        <v>0</v>
      </c>
    </row>
    <row r="58" spans="1:26" ht="26.25">
      <c r="A58" s="2">
        <v>56</v>
      </c>
      <c r="B58" s="2">
        <v>3355863</v>
      </c>
      <c r="C58" s="2">
        <v>52509045590011</v>
      </c>
      <c r="D58" s="2" t="s">
        <v>74</v>
      </c>
      <c r="E58" s="2">
        <v>105692</v>
      </c>
      <c r="F58" s="2">
        <v>908748272</v>
      </c>
      <c r="G58" s="3">
        <v>38255</v>
      </c>
      <c r="H58" s="2" t="s">
        <v>292</v>
      </c>
      <c r="I58" s="2" t="s">
        <v>293</v>
      </c>
      <c r="J58" s="2" t="s">
        <v>294</v>
      </c>
      <c r="K58" s="2" t="s">
        <v>26</v>
      </c>
      <c r="L58" s="2" t="s">
        <v>27</v>
      </c>
      <c r="M58" s="2">
        <v>5310603</v>
      </c>
      <c r="N58" s="2" t="s">
        <v>295</v>
      </c>
      <c r="O58" s="2" t="s">
        <v>296</v>
      </c>
      <c r="P58" s="2" t="s">
        <v>154</v>
      </c>
      <c r="Q58" s="4">
        <v>14824</v>
      </c>
      <c r="R58" s="2" t="s">
        <v>53</v>
      </c>
      <c r="S58" s="2">
        <v>8</v>
      </c>
      <c r="T58" s="2" t="s">
        <v>33</v>
      </c>
      <c r="U58" s="2" t="s">
        <v>34</v>
      </c>
      <c r="V58" s="32">
        <v>46170792</v>
      </c>
      <c r="W58" s="21">
        <v>23085396</v>
      </c>
      <c r="X58" s="10" t="s">
        <v>2626</v>
      </c>
      <c r="Y58" s="30">
        <f t="shared" si="0"/>
        <v>23085396</v>
      </c>
      <c r="Z58" s="41">
        <f t="shared" si="1"/>
        <v>0.5</v>
      </c>
    </row>
    <row r="59" spans="1:26" ht="26.25">
      <c r="A59" s="2">
        <v>57</v>
      </c>
      <c r="B59" s="2">
        <v>1689173</v>
      </c>
      <c r="C59" s="2">
        <v>50701016770037</v>
      </c>
      <c r="D59" s="2" t="s">
        <v>45</v>
      </c>
      <c r="E59" s="2">
        <v>6259508</v>
      </c>
      <c r="F59" s="2">
        <v>942124909</v>
      </c>
      <c r="G59" s="3">
        <v>36898</v>
      </c>
      <c r="H59" s="2" t="s">
        <v>54</v>
      </c>
      <c r="I59" s="2" t="s">
        <v>297</v>
      </c>
      <c r="J59" s="2" t="s">
        <v>148</v>
      </c>
      <c r="K59" s="2" t="s">
        <v>26</v>
      </c>
      <c r="L59" s="2" t="s">
        <v>27</v>
      </c>
      <c r="M59" s="2">
        <v>5310701</v>
      </c>
      <c r="N59" s="2" t="s">
        <v>118</v>
      </c>
      <c r="O59" s="2">
        <v>63</v>
      </c>
      <c r="P59" s="2" t="s">
        <v>298</v>
      </c>
      <c r="Q59" s="2" t="s">
        <v>299</v>
      </c>
      <c r="R59" s="2" t="s">
        <v>53</v>
      </c>
      <c r="S59" s="2">
        <v>8</v>
      </c>
      <c r="T59" s="2" t="s">
        <v>33</v>
      </c>
      <c r="U59" s="2" t="s">
        <v>34</v>
      </c>
      <c r="V59" s="32">
        <v>46170792</v>
      </c>
      <c r="W59" s="20">
        <v>25700000</v>
      </c>
      <c r="X59" s="2" t="s">
        <v>2678</v>
      </c>
      <c r="Y59" s="30">
        <f t="shared" si="0"/>
        <v>20470792</v>
      </c>
      <c r="Z59" s="41">
        <f t="shared" si="1"/>
        <v>0.55662896144384966</v>
      </c>
    </row>
    <row r="60" spans="1:26">
      <c r="A60" s="2">
        <v>58</v>
      </c>
      <c r="B60" s="2">
        <v>1957099</v>
      </c>
      <c r="C60" s="2">
        <v>41108750450014</v>
      </c>
      <c r="D60" s="2" t="s">
        <v>145</v>
      </c>
      <c r="E60" s="2">
        <v>1767991</v>
      </c>
      <c r="F60" s="2">
        <v>911373999</v>
      </c>
      <c r="G60" s="3">
        <v>27617</v>
      </c>
      <c r="H60" s="2" t="s">
        <v>300</v>
      </c>
      <c r="I60" s="2" t="s">
        <v>301</v>
      </c>
      <c r="J60" s="2" t="s">
        <v>302</v>
      </c>
      <c r="K60" s="2" t="s">
        <v>39</v>
      </c>
      <c r="L60" s="2" t="s">
        <v>57</v>
      </c>
      <c r="M60" s="2">
        <v>5620101</v>
      </c>
      <c r="N60" s="2" t="s">
        <v>49</v>
      </c>
      <c r="O60" s="2" t="s">
        <v>211</v>
      </c>
      <c r="P60" s="2" t="s">
        <v>194</v>
      </c>
      <c r="Q60" s="2" t="s">
        <v>111</v>
      </c>
      <c r="R60" s="2" t="s">
        <v>62</v>
      </c>
      <c r="S60" s="2">
        <v>8</v>
      </c>
      <c r="T60" s="2" t="s">
        <v>33</v>
      </c>
      <c r="U60" s="2" t="s">
        <v>34</v>
      </c>
      <c r="V60" s="32">
        <v>119562080</v>
      </c>
      <c r="Y60" s="30">
        <f t="shared" si="0"/>
        <v>119562080</v>
      </c>
      <c r="Z60" s="41">
        <f t="shared" si="1"/>
        <v>0</v>
      </c>
    </row>
    <row r="61" spans="1:26">
      <c r="A61" s="2">
        <v>59</v>
      </c>
      <c r="B61" s="2">
        <v>1351177</v>
      </c>
      <c r="C61" s="2">
        <v>32507985590056</v>
      </c>
      <c r="D61" s="2" t="s">
        <v>45</v>
      </c>
      <c r="E61" s="2">
        <v>1181403</v>
      </c>
      <c r="F61" s="2">
        <v>901181018</v>
      </c>
      <c r="G61" s="3">
        <v>36001</v>
      </c>
      <c r="H61" s="2" t="s">
        <v>303</v>
      </c>
      <c r="I61" s="2" t="s">
        <v>304</v>
      </c>
      <c r="J61" s="2" t="s">
        <v>305</v>
      </c>
      <c r="K61" s="2" t="s">
        <v>26</v>
      </c>
      <c r="L61" s="2" t="s">
        <v>57</v>
      </c>
      <c r="M61" s="2">
        <v>5340603</v>
      </c>
      <c r="N61" s="2" t="s">
        <v>174</v>
      </c>
      <c r="O61" s="2" t="s">
        <v>99</v>
      </c>
      <c r="P61" s="2" t="s">
        <v>60</v>
      </c>
      <c r="Q61" s="4">
        <v>16681</v>
      </c>
      <c r="R61" s="2" t="s">
        <v>93</v>
      </c>
      <c r="S61" s="2">
        <v>8</v>
      </c>
      <c r="T61" s="2" t="s">
        <v>33</v>
      </c>
      <c r="U61" s="2" t="s">
        <v>34</v>
      </c>
      <c r="V61" s="32">
        <v>113471040</v>
      </c>
      <c r="Y61" s="30">
        <f t="shared" si="0"/>
        <v>113471040</v>
      </c>
      <c r="Z61" s="41">
        <f t="shared" si="1"/>
        <v>0</v>
      </c>
    </row>
    <row r="62" spans="1:26">
      <c r="A62" s="2">
        <v>60</v>
      </c>
      <c r="B62" s="2">
        <v>3610142</v>
      </c>
      <c r="C62" s="2">
        <v>52904046770011</v>
      </c>
      <c r="D62" s="2" t="s">
        <v>22</v>
      </c>
      <c r="E62" s="2">
        <v>2847846</v>
      </c>
      <c r="F62" s="2">
        <v>945342029</v>
      </c>
      <c r="G62" s="3">
        <v>38106</v>
      </c>
      <c r="H62" s="2" t="s">
        <v>306</v>
      </c>
      <c r="I62" s="2" t="s">
        <v>307</v>
      </c>
      <c r="J62" s="2" t="s">
        <v>308</v>
      </c>
      <c r="K62" s="2" t="s">
        <v>26</v>
      </c>
      <c r="L62" s="2" t="s">
        <v>27</v>
      </c>
      <c r="M62" s="2">
        <v>5240109</v>
      </c>
      <c r="N62" s="2" t="s">
        <v>28</v>
      </c>
      <c r="O62" s="2" t="s">
        <v>309</v>
      </c>
      <c r="P62" s="2" t="s">
        <v>30</v>
      </c>
      <c r="Q62" s="2" t="s">
        <v>310</v>
      </c>
      <c r="R62" s="2" t="s">
        <v>32</v>
      </c>
      <c r="S62" s="2">
        <v>25</v>
      </c>
      <c r="T62" s="2" t="s">
        <v>33</v>
      </c>
      <c r="U62" s="2" t="s">
        <v>34</v>
      </c>
      <c r="V62" s="32">
        <v>245231500</v>
      </c>
      <c r="Y62" s="30">
        <f t="shared" si="0"/>
        <v>245231500</v>
      </c>
      <c r="Z62" s="41">
        <f t="shared" si="1"/>
        <v>0</v>
      </c>
    </row>
    <row r="63" spans="1:26" ht="26.25">
      <c r="A63" s="2">
        <v>61</v>
      </c>
      <c r="B63" s="2">
        <v>2396652</v>
      </c>
      <c r="C63" s="2">
        <v>61805015730015</v>
      </c>
      <c r="D63" s="2" t="s">
        <v>45</v>
      </c>
      <c r="E63" s="2">
        <v>9114470</v>
      </c>
      <c r="F63" s="2">
        <v>991314319</v>
      </c>
      <c r="G63" s="3">
        <v>37029</v>
      </c>
      <c r="H63" s="2" t="s">
        <v>311</v>
      </c>
      <c r="I63" s="2" t="s">
        <v>312</v>
      </c>
      <c r="J63" s="2" t="s">
        <v>313</v>
      </c>
      <c r="K63" s="2" t="s">
        <v>39</v>
      </c>
      <c r="L63" s="2" t="s">
        <v>27</v>
      </c>
      <c r="M63" s="2">
        <v>5230903</v>
      </c>
      <c r="N63" s="2" t="s">
        <v>314</v>
      </c>
      <c r="O63" s="2">
        <v>63</v>
      </c>
      <c r="P63" s="2" t="s">
        <v>298</v>
      </c>
      <c r="Q63" s="2" t="s">
        <v>299</v>
      </c>
      <c r="R63" s="2" t="s">
        <v>82</v>
      </c>
      <c r="S63" s="2">
        <v>10</v>
      </c>
      <c r="T63" s="2" t="s">
        <v>33</v>
      </c>
      <c r="U63" s="2" t="s">
        <v>34</v>
      </c>
      <c r="V63" s="32">
        <v>104616820</v>
      </c>
      <c r="Y63" s="30">
        <f t="shared" si="0"/>
        <v>104616820</v>
      </c>
      <c r="Z63" s="41">
        <f t="shared" si="1"/>
        <v>0</v>
      </c>
    </row>
    <row r="64" spans="1:26" ht="26.25">
      <c r="A64" s="2">
        <v>62</v>
      </c>
      <c r="B64" s="2">
        <v>1298222</v>
      </c>
      <c r="C64" s="2">
        <v>31001923120011</v>
      </c>
      <c r="D64" s="2" t="s">
        <v>145</v>
      </c>
      <c r="E64" s="2">
        <v>5995689</v>
      </c>
      <c r="F64" s="2">
        <v>976084192</v>
      </c>
      <c r="G64" s="3">
        <v>33613</v>
      </c>
      <c r="H64" s="2" t="s">
        <v>315</v>
      </c>
      <c r="I64" s="2" t="s">
        <v>76</v>
      </c>
      <c r="J64" s="2" t="s">
        <v>316</v>
      </c>
      <c r="K64" s="2" t="s">
        <v>39</v>
      </c>
      <c r="L64" s="2" t="s">
        <v>27</v>
      </c>
      <c r="M64" s="2">
        <v>5320102</v>
      </c>
      <c r="N64" s="2" t="s">
        <v>138</v>
      </c>
      <c r="O64" s="2" t="s">
        <v>149</v>
      </c>
      <c r="P64" s="2" t="s">
        <v>140</v>
      </c>
      <c r="Q64" s="4">
        <v>42064</v>
      </c>
      <c r="R64" s="2" t="s">
        <v>62</v>
      </c>
      <c r="S64" s="2">
        <v>8</v>
      </c>
      <c r="T64" s="2" t="s">
        <v>33</v>
      </c>
      <c r="U64" s="2" t="s">
        <v>34</v>
      </c>
      <c r="V64" s="32">
        <v>22417890</v>
      </c>
      <c r="Y64" s="30">
        <f t="shared" si="0"/>
        <v>22417890</v>
      </c>
      <c r="Z64" s="41">
        <f t="shared" si="1"/>
        <v>0</v>
      </c>
    </row>
    <row r="65" spans="1:27" ht="26.25">
      <c r="A65" s="2">
        <v>63</v>
      </c>
      <c r="B65" s="2">
        <v>3091561</v>
      </c>
      <c r="C65" s="2">
        <v>50608016320045</v>
      </c>
      <c r="D65" s="2" t="s">
        <v>22</v>
      </c>
      <c r="E65" s="2">
        <v>407974</v>
      </c>
      <c r="F65" s="2">
        <v>999146567</v>
      </c>
      <c r="G65" s="3">
        <v>37109</v>
      </c>
      <c r="H65" s="2" t="s">
        <v>317</v>
      </c>
      <c r="I65" s="2" t="s">
        <v>318</v>
      </c>
      <c r="J65" s="2" t="s">
        <v>319</v>
      </c>
      <c r="K65" s="2" t="s">
        <v>26</v>
      </c>
      <c r="L65" s="2" t="s">
        <v>27</v>
      </c>
      <c r="M65" s="2">
        <v>5620701</v>
      </c>
      <c r="N65" s="2" t="s">
        <v>218</v>
      </c>
      <c r="O65" s="2" t="s">
        <v>225</v>
      </c>
      <c r="P65" s="2" t="s">
        <v>224</v>
      </c>
      <c r="Q65" s="2" t="s">
        <v>223</v>
      </c>
      <c r="R65" s="2" t="s">
        <v>53</v>
      </c>
      <c r="S65" s="2">
        <v>8</v>
      </c>
      <c r="T65" s="2" t="s">
        <v>33</v>
      </c>
      <c r="U65" s="2" t="s">
        <v>34</v>
      </c>
      <c r="V65" s="32">
        <v>51300880</v>
      </c>
      <c r="W65" s="20">
        <v>32130000</v>
      </c>
      <c r="X65" s="2" t="s">
        <v>2680</v>
      </c>
      <c r="Y65" s="30">
        <f t="shared" si="0"/>
        <v>19170880</v>
      </c>
      <c r="Z65" s="41">
        <f t="shared" si="1"/>
        <v>0.62630504583936963</v>
      </c>
    </row>
    <row r="66" spans="1:27" ht="26.25">
      <c r="A66" s="2">
        <v>64</v>
      </c>
      <c r="B66" s="2">
        <v>2127472</v>
      </c>
      <c r="C66" s="2">
        <v>52007015850021</v>
      </c>
      <c r="D66" s="2" t="s">
        <v>45</v>
      </c>
      <c r="E66" s="2">
        <v>7593091</v>
      </c>
      <c r="F66" s="2">
        <v>972282508</v>
      </c>
      <c r="G66" s="3">
        <v>37092</v>
      </c>
      <c r="H66" s="2" t="s">
        <v>320</v>
      </c>
      <c r="I66" s="2" t="s">
        <v>321</v>
      </c>
      <c r="J66" s="2" t="s">
        <v>322</v>
      </c>
      <c r="K66" s="2" t="s">
        <v>39</v>
      </c>
      <c r="L66" s="2" t="s">
        <v>57</v>
      </c>
      <c r="M66" s="2">
        <v>5310605</v>
      </c>
      <c r="N66" s="2" t="s">
        <v>97</v>
      </c>
      <c r="O66" s="2" t="s">
        <v>296</v>
      </c>
      <c r="P66" s="2" t="s">
        <v>154</v>
      </c>
      <c r="Q66" s="4">
        <v>14824</v>
      </c>
      <c r="R66" s="2" t="s">
        <v>62</v>
      </c>
      <c r="S66" s="2">
        <v>8</v>
      </c>
      <c r="T66" s="2" t="s">
        <v>33</v>
      </c>
      <c r="U66" s="2" t="s">
        <v>34</v>
      </c>
      <c r="V66" s="32">
        <v>59781040</v>
      </c>
      <c r="W66" s="20">
        <v>29891000</v>
      </c>
      <c r="X66" s="2" t="s">
        <v>2640</v>
      </c>
      <c r="Y66" s="30">
        <f t="shared" si="0"/>
        <v>29890040</v>
      </c>
      <c r="Z66" s="41">
        <f t="shared" si="1"/>
        <v>0.50000802930159793</v>
      </c>
    </row>
    <row r="67" spans="1:27" ht="26.25">
      <c r="A67" s="2">
        <v>65</v>
      </c>
      <c r="B67" s="2">
        <v>1820997</v>
      </c>
      <c r="C67" s="2">
        <v>32507953430063</v>
      </c>
      <c r="D67" s="2" t="s">
        <v>35</v>
      </c>
      <c r="E67" s="2">
        <v>602094</v>
      </c>
      <c r="F67" s="2">
        <v>999511757</v>
      </c>
      <c r="G67" s="3">
        <v>34905</v>
      </c>
      <c r="H67" s="2" t="s">
        <v>323</v>
      </c>
      <c r="I67" s="2" t="s">
        <v>324</v>
      </c>
      <c r="J67" s="2" t="s">
        <v>325</v>
      </c>
      <c r="K67" s="2" t="s">
        <v>39</v>
      </c>
      <c r="L67" s="2" t="s">
        <v>57</v>
      </c>
      <c r="M67" s="2">
        <v>5620702</v>
      </c>
      <c r="N67" s="2" t="s">
        <v>159</v>
      </c>
      <c r="O67" s="2" t="s">
        <v>296</v>
      </c>
      <c r="P67" s="2" t="s">
        <v>139</v>
      </c>
      <c r="Q67" s="4">
        <v>18537</v>
      </c>
      <c r="R67" s="2" t="s">
        <v>62</v>
      </c>
      <c r="S67" s="2">
        <v>8</v>
      </c>
      <c r="T67" s="2" t="s">
        <v>33</v>
      </c>
      <c r="U67" s="2" t="s">
        <v>34</v>
      </c>
      <c r="V67" s="32">
        <v>59781040</v>
      </c>
      <c r="Y67" s="30">
        <f t="shared" si="0"/>
        <v>59781040</v>
      </c>
      <c r="Z67" s="41">
        <f t="shared" si="1"/>
        <v>0</v>
      </c>
    </row>
    <row r="68" spans="1:27" ht="26.25">
      <c r="A68" s="2">
        <v>66</v>
      </c>
      <c r="B68" s="2">
        <v>1084805</v>
      </c>
      <c r="C68" s="2">
        <v>42008975630060</v>
      </c>
      <c r="D68" s="2" t="s">
        <v>45</v>
      </c>
      <c r="E68" s="2">
        <v>1005506</v>
      </c>
      <c r="F68" s="2">
        <v>997313611</v>
      </c>
      <c r="G68" s="3">
        <v>35662</v>
      </c>
      <c r="H68" s="2" t="s">
        <v>326</v>
      </c>
      <c r="I68" s="2" t="s">
        <v>327</v>
      </c>
      <c r="J68" s="2" t="s">
        <v>328</v>
      </c>
      <c r="K68" s="2" t="s">
        <v>39</v>
      </c>
      <c r="L68" s="2" t="s">
        <v>27</v>
      </c>
      <c r="M68" s="2">
        <v>5320102</v>
      </c>
      <c r="N68" s="2" t="s">
        <v>138</v>
      </c>
      <c r="O68" s="2" t="s">
        <v>194</v>
      </c>
      <c r="P68" s="2" t="s">
        <v>140</v>
      </c>
      <c r="Q68" s="5">
        <v>44471</v>
      </c>
      <c r="R68" s="2" t="s">
        <v>62</v>
      </c>
      <c r="S68" s="2">
        <v>8</v>
      </c>
      <c r="T68" s="2" t="s">
        <v>33</v>
      </c>
      <c r="U68" s="2" t="s">
        <v>34</v>
      </c>
      <c r="V68" s="32" t="s">
        <v>2723</v>
      </c>
      <c r="W68" s="21">
        <v>9340000</v>
      </c>
      <c r="X68" s="11" t="s">
        <v>2631</v>
      </c>
      <c r="Y68" s="30">
        <f t="shared" ref="Y68:Y131" si="2">V68-W68</f>
        <v>7473417.5</v>
      </c>
      <c r="Z68" s="41">
        <f t="shared" ref="Z68:Z131" si="3">W68/V68</f>
        <v>0.5555087179629008</v>
      </c>
    </row>
    <row r="69" spans="1:27" ht="26.25">
      <c r="A69" s="2">
        <v>67</v>
      </c>
      <c r="B69" s="2">
        <v>1083083</v>
      </c>
      <c r="C69" s="2">
        <v>40210911140012</v>
      </c>
      <c r="D69" s="2" t="s">
        <v>145</v>
      </c>
      <c r="E69" s="2">
        <v>5519718</v>
      </c>
      <c r="F69" s="2">
        <v>907112255</v>
      </c>
      <c r="G69" s="3">
        <v>33513</v>
      </c>
      <c r="H69" s="2" t="s">
        <v>329</v>
      </c>
      <c r="I69" s="2" t="s">
        <v>330</v>
      </c>
      <c r="J69" s="2" t="s">
        <v>331</v>
      </c>
      <c r="K69" s="2" t="s">
        <v>39</v>
      </c>
      <c r="L69" s="2" t="s">
        <v>57</v>
      </c>
      <c r="M69" s="2">
        <v>5620702</v>
      </c>
      <c r="N69" s="2" t="s">
        <v>159</v>
      </c>
      <c r="O69" s="2" t="s">
        <v>179</v>
      </c>
      <c r="P69" s="2" t="s">
        <v>139</v>
      </c>
      <c r="Q69" s="4">
        <v>22251</v>
      </c>
      <c r="R69" s="2" t="s">
        <v>62</v>
      </c>
      <c r="S69" s="2">
        <v>8</v>
      </c>
      <c r="T69" s="2" t="s">
        <v>33</v>
      </c>
      <c r="U69" s="2" t="s">
        <v>34</v>
      </c>
      <c r="V69" s="32">
        <v>59781040</v>
      </c>
      <c r="Y69" s="30">
        <f t="shared" si="2"/>
        <v>59781040</v>
      </c>
      <c r="Z69" s="41">
        <f t="shared" si="3"/>
        <v>0</v>
      </c>
    </row>
    <row r="70" spans="1:27">
      <c r="A70" s="2">
        <v>68</v>
      </c>
      <c r="B70" s="2">
        <v>3597987</v>
      </c>
      <c r="C70" s="2">
        <v>61707036540067</v>
      </c>
      <c r="D70" s="2" t="s">
        <v>22</v>
      </c>
      <c r="E70" s="2">
        <v>2152455</v>
      </c>
      <c r="F70" s="2">
        <v>946781170</v>
      </c>
      <c r="G70" s="3">
        <v>37819</v>
      </c>
      <c r="H70" s="2" t="s">
        <v>332</v>
      </c>
      <c r="I70" s="2" t="s">
        <v>333</v>
      </c>
      <c r="J70" s="2" t="s">
        <v>334</v>
      </c>
      <c r="K70" s="2" t="s">
        <v>26</v>
      </c>
      <c r="L70" s="2" t="s">
        <v>27</v>
      </c>
      <c r="M70" s="2">
        <v>5240109</v>
      </c>
      <c r="N70" s="2" t="s">
        <v>28</v>
      </c>
      <c r="O70" s="2" t="s">
        <v>80</v>
      </c>
      <c r="P70" s="2" t="s">
        <v>30</v>
      </c>
      <c r="Q70" s="2" t="s">
        <v>179</v>
      </c>
      <c r="R70" s="2" t="s">
        <v>32</v>
      </c>
      <c r="S70" s="2">
        <v>25</v>
      </c>
      <c r="T70" s="2" t="s">
        <v>33</v>
      </c>
      <c r="U70" s="2" t="s">
        <v>34</v>
      </c>
      <c r="V70" s="32">
        <v>245231500</v>
      </c>
      <c r="Y70" s="30">
        <f t="shared" si="2"/>
        <v>245231500</v>
      </c>
      <c r="Z70" s="41">
        <f t="shared" si="3"/>
        <v>0</v>
      </c>
    </row>
    <row r="71" spans="1:27" ht="26.25">
      <c r="A71" s="2">
        <v>69</v>
      </c>
      <c r="B71" s="2">
        <v>3234995</v>
      </c>
      <c r="C71" s="2">
        <v>51609035540017</v>
      </c>
      <c r="D71" s="2" t="s">
        <v>22</v>
      </c>
      <c r="E71" s="2">
        <v>2255210</v>
      </c>
      <c r="F71" s="2">
        <v>916253141</v>
      </c>
      <c r="G71" s="3">
        <v>37880</v>
      </c>
      <c r="H71" s="2" t="s">
        <v>335</v>
      </c>
      <c r="I71" s="2" t="s">
        <v>336</v>
      </c>
      <c r="J71" s="2" t="s">
        <v>337</v>
      </c>
      <c r="K71" s="2" t="s">
        <v>26</v>
      </c>
      <c r="L71" s="2" t="s">
        <v>27</v>
      </c>
      <c r="M71" s="2">
        <v>5350701</v>
      </c>
      <c r="N71" s="2" t="s">
        <v>338</v>
      </c>
      <c r="O71" s="2" t="s">
        <v>122</v>
      </c>
      <c r="P71" s="2" t="s">
        <v>339</v>
      </c>
      <c r="Q71" s="2" t="s">
        <v>340</v>
      </c>
      <c r="R71" s="2" t="s">
        <v>93</v>
      </c>
      <c r="S71" s="2">
        <v>8</v>
      </c>
      <c r="T71" s="2" t="s">
        <v>33</v>
      </c>
      <c r="U71" s="2" t="s">
        <v>34</v>
      </c>
      <c r="V71" s="32">
        <v>51061968</v>
      </c>
      <c r="W71" s="21">
        <f>28367760+22609200</f>
        <v>50976960</v>
      </c>
      <c r="X71" s="10" t="s">
        <v>2821</v>
      </c>
      <c r="Y71" s="30">
        <f t="shared" si="2"/>
        <v>85008</v>
      </c>
      <c r="Z71" s="41">
        <f t="shared" si="3"/>
        <v>0.99833519930136649</v>
      </c>
    </row>
    <row r="72" spans="1:27" ht="26.25">
      <c r="A72" s="2">
        <v>70</v>
      </c>
      <c r="B72" s="2">
        <v>2812489</v>
      </c>
      <c r="C72" s="2">
        <v>50304025910012</v>
      </c>
      <c r="D72" s="2" t="s">
        <v>45</v>
      </c>
      <c r="E72" s="2">
        <v>9204404</v>
      </c>
      <c r="F72" s="2">
        <v>930525250</v>
      </c>
      <c r="G72" s="3">
        <v>37349</v>
      </c>
      <c r="H72" s="2" t="s">
        <v>107</v>
      </c>
      <c r="I72" s="2" t="s">
        <v>341</v>
      </c>
      <c r="J72" s="2" t="s">
        <v>342</v>
      </c>
      <c r="K72" s="2" t="s">
        <v>26</v>
      </c>
      <c r="L72" s="2" t="s">
        <v>27</v>
      </c>
      <c r="M72" s="2">
        <v>5630103</v>
      </c>
      <c r="N72" s="2" t="s">
        <v>343</v>
      </c>
      <c r="O72" s="2" t="s">
        <v>344</v>
      </c>
      <c r="P72" s="2" t="s">
        <v>345</v>
      </c>
      <c r="Q72" s="5">
        <v>44317</v>
      </c>
      <c r="R72" s="2" t="s">
        <v>53</v>
      </c>
      <c r="S72" s="2">
        <v>8</v>
      </c>
      <c r="T72" s="2" t="s">
        <v>33</v>
      </c>
      <c r="U72" s="2" t="s">
        <v>34</v>
      </c>
      <c r="V72" s="32">
        <v>9618915</v>
      </c>
      <c r="W72" s="21">
        <f>4500000+310000</f>
        <v>4810000</v>
      </c>
      <c r="X72" s="11" t="s">
        <v>2711</v>
      </c>
      <c r="Y72" s="30">
        <f t="shared" si="2"/>
        <v>4808915</v>
      </c>
      <c r="Z72" s="41">
        <f t="shared" si="3"/>
        <v>0.50005639929243584</v>
      </c>
    </row>
    <row r="73" spans="1:27" ht="39">
      <c r="A73" s="2">
        <v>71</v>
      </c>
      <c r="B73" s="2">
        <v>1009013</v>
      </c>
      <c r="C73" s="2">
        <v>52410016020018</v>
      </c>
      <c r="D73" s="2" t="s">
        <v>45</v>
      </c>
      <c r="E73" s="2">
        <v>7995588</v>
      </c>
      <c r="F73" s="2">
        <v>979126775</v>
      </c>
      <c r="G73" s="3">
        <v>37188</v>
      </c>
      <c r="H73" s="2" t="s">
        <v>346</v>
      </c>
      <c r="I73" s="2" t="s">
        <v>347</v>
      </c>
      <c r="J73" s="2" t="s">
        <v>348</v>
      </c>
      <c r="K73" s="2" t="s">
        <v>39</v>
      </c>
      <c r="L73" s="2" t="s">
        <v>27</v>
      </c>
      <c r="M73" s="2">
        <v>5340401</v>
      </c>
      <c r="N73" s="2" t="s">
        <v>349</v>
      </c>
      <c r="O73" s="2" t="s">
        <v>67</v>
      </c>
      <c r="P73" s="2" t="s">
        <v>350</v>
      </c>
      <c r="Q73" s="5">
        <v>44317</v>
      </c>
      <c r="R73" s="2" t="s">
        <v>44</v>
      </c>
      <c r="S73" s="2">
        <v>8</v>
      </c>
      <c r="T73" s="2" t="s">
        <v>33</v>
      </c>
      <c r="U73" s="2" t="s">
        <v>34</v>
      </c>
      <c r="V73" s="32" t="s">
        <v>2724</v>
      </c>
      <c r="W73" s="21">
        <f>8219893+1700000+1800000</f>
        <v>11719893</v>
      </c>
      <c r="X73" s="10" t="s">
        <v>2877</v>
      </c>
      <c r="Y73" s="30">
        <f t="shared" si="2"/>
        <v>609946.5</v>
      </c>
      <c r="Z73" s="41">
        <f t="shared" si="3"/>
        <v>0.95053086457451452</v>
      </c>
    </row>
    <row r="74" spans="1:27" ht="26.25">
      <c r="A74" s="2">
        <v>72</v>
      </c>
      <c r="B74" s="2">
        <v>1328941</v>
      </c>
      <c r="C74" s="2">
        <v>32609985080013</v>
      </c>
      <c r="D74" s="2" t="s">
        <v>145</v>
      </c>
      <c r="E74" s="2">
        <v>7468081</v>
      </c>
      <c r="F74" s="2">
        <v>885400098</v>
      </c>
      <c r="G74" s="3">
        <v>36064</v>
      </c>
      <c r="H74" s="2" t="s">
        <v>351</v>
      </c>
      <c r="I74" s="2" t="s">
        <v>352</v>
      </c>
      <c r="J74" s="2" t="s">
        <v>353</v>
      </c>
      <c r="K74" s="2" t="s">
        <v>39</v>
      </c>
      <c r="L74" s="2" t="s">
        <v>27</v>
      </c>
      <c r="M74" s="2">
        <v>5340604</v>
      </c>
      <c r="N74" s="2" t="s">
        <v>354</v>
      </c>
      <c r="O74" s="2" t="s">
        <v>350</v>
      </c>
      <c r="P74" s="2" t="s">
        <v>42</v>
      </c>
      <c r="Q74" s="5">
        <v>44317</v>
      </c>
      <c r="R74" s="2" t="s">
        <v>44</v>
      </c>
      <c r="S74" s="2">
        <v>8</v>
      </c>
      <c r="T74" s="2" t="s">
        <v>33</v>
      </c>
      <c r="U74" s="2" t="s">
        <v>34</v>
      </c>
      <c r="V74" s="29" t="s">
        <v>2832</v>
      </c>
      <c r="W74" s="21">
        <v>8219893</v>
      </c>
      <c r="X74" s="11" t="s">
        <v>2654</v>
      </c>
      <c r="Y74" s="30">
        <f t="shared" si="2"/>
        <v>2876962.5500000007</v>
      </c>
      <c r="Z74" s="41">
        <f t="shared" si="3"/>
        <v>0.7407407407407407</v>
      </c>
      <c r="AA74" s="42" t="s">
        <v>2798</v>
      </c>
    </row>
    <row r="75" spans="1:27" ht="39">
      <c r="A75" s="2">
        <v>73</v>
      </c>
      <c r="B75" s="2">
        <v>1657331</v>
      </c>
      <c r="C75" s="2">
        <v>31104961120013</v>
      </c>
      <c r="D75" s="2" t="s">
        <v>145</v>
      </c>
      <c r="E75" s="2">
        <v>9698623</v>
      </c>
      <c r="F75" s="2">
        <v>942274045</v>
      </c>
      <c r="G75" s="3">
        <v>35166</v>
      </c>
      <c r="H75" s="2" t="s">
        <v>355</v>
      </c>
      <c r="I75" s="2" t="s">
        <v>356</v>
      </c>
      <c r="J75" s="2" t="s">
        <v>357</v>
      </c>
      <c r="K75" s="2" t="s">
        <v>39</v>
      </c>
      <c r="L75" s="2" t="s">
        <v>27</v>
      </c>
      <c r="M75" s="2">
        <v>5340401</v>
      </c>
      <c r="N75" s="2" t="s">
        <v>349</v>
      </c>
      <c r="O75" s="2" t="s">
        <v>207</v>
      </c>
      <c r="P75" s="2" t="s">
        <v>350</v>
      </c>
      <c r="Q75" s="4">
        <v>14824</v>
      </c>
      <c r="R75" s="2" t="s">
        <v>44</v>
      </c>
      <c r="S75" s="2">
        <v>8</v>
      </c>
      <c r="T75" s="2" t="s">
        <v>33</v>
      </c>
      <c r="U75" s="2" t="s">
        <v>34</v>
      </c>
      <c r="V75" s="32">
        <v>65759144</v>
      </c>
      <c r="Y75" s="30">
        <f t="shared" si="2"/>
        <v>65759144</v>
      </c>
      <c r="Z75" s="41">
        <f t="shared" si="3"/>
        <v>0</v>
      </c>
    </row>
    <row r="76" spans="1:27" ht="26.25">
      <c r="A76" s="2">
        <v>74</v>
      </c>
      <c r="B76" s="2">
        <v>3371749</v>
      </c>
      <c r="C76" s="2">
        <v>51712027170010</v>
      </c>
      <c r="D76" s="2" t="s">
        <v>22</v>
      </c>
      <c r="E76" s="2">
        <v>492982</v>
      </c>
      <c r="F76" s="2">
        <v>999613801</v>
      </c>
      <c r="G76" s="3">
        <v>37607</v>
      </c>
      <c r="H76" s="2" t="s">
        <v>358</v>
      </c>
      <c r="I76" s="2" t="s">
        <v>108</v>
      </c>
      <c r="J76" s="2" t="s">
        <v>359</v>
      </c>
      <c r="K76" s="2" t="s">
        <v>39</v>
      </c>
      <c r="L76" s="2" t="s">
        <v>27</v>
      </c>
      <c r="M76" s="2">
        <v>5320102</v>
      </c>
      <c r="N76" s="2" t="s">
        <v>138</v>
      </c>
      <c r="O76" s="2" t="s">
        <v>175</v>
      </c>
      <c r="P76" s="2" t="s">
        <v>140</v>
      </c>
      <c r="Q76" s="5">
        <v>44317</v>
      </c>
      <c r="R76" s="2" t="s">
        <v>62</v>
      </c>
      <c r="S76" s="2">
        <v>8</v>
      </c>
      <c r="T76" s="2" t="s">
        <v>33</v>
      </c>
      <c r="U76" s="2" t="s">
        <v>34</v>
      </c>
      <c r="V76" s="32" t="s">
        <v>2725</v>
      </c>
      <c r="W76" s="21">
        <f>5044100+5050000</f>
        <v>10094100</v>
      </c>
      <c r="X76" s="11" t="s">
        <v>2800</v>
      </c>
      <c r="Y76" s="30">
        <f t="shared" si="2"/>
        <v>-6049.5</v>
      </c>
      <c r="Z76" s="41">
        <f t="shared" si="3"/>
        <v>1.0005996698767516</v>
      </c>
    </row>
    <row r="77" spans="1:27" ht="26.25">
      <c r="A77" s="2">
        <v>75</v>
      </c>
      <c r="B77" s="2">
        <v>3438573</v>
      </c>
      <c r="C77" s="2">
        <v>30305976080018</v>
      </c>
      <c r="D77" s="2" t="s">
        <v>145</v>
      </c>
      <c r="E77" s="2">
        <v>8913355</v>
      </c>
      <c r="F77" s="2">
        <v>991324697</v>
      </c>
      <c r="G77" s="3">
        <v>35553</v>
      </c>
      <c r="H77" s="2" t="s">
        <v>360</v>
      </c>
      <c r="I77" s="2" t="s">
        <v>361</v>
      </c>
      <c r="J77" s="2" t="s">
        <v>362</v>
      </c>
      <c r="K77" s="2" t="s">
        <v>39</v>
      </c>
      <c r="L77" s="2" t="s">
        <v>27</v>
      </c>
      <c r="M77" s="2">
        <v>5640202</v>
      </c>
      <c r="N77" s="2" t="s">
        <v>240</v>
      </c>
      <c r="O77" s="2" t="s">
        <v>87</v>
      </c>
      <c r="P77" s="2" t="s">
        <v>241</v>
      </c>
      <c r="Q77" s="2" t="s">
        <v>363</v>
      </c>
      <c r="R77" s="2" t="s">
        <v>62</v>
      </c>
      <c r="S77" s="2">
        <v>8</v>
      </c>
      <c r="T77" s="2" t="s">
        <v>33</v>
      </c>
      <c r="U77" s="2" t="s">
        <v>34</v>
      </c>
      <c r="V77" s="32">
        <v>59781040</v>
      </c>
      <c r="Y77" s="30">
        <f t="shared" si="2"/>
        <v>59781040</v>
      </c>
      <c r="Z77" s="41">
        <f t="shared" si="3"/>
        <v>0</v>
      </c>
    </row>
    <row r="78" spans="1:27" ht="15.75">
      <c r="A78" s="2">
        <v>76</v>
      </c>
      <c r="B78" s="2">
        <v>2674337</v>
      </c>
      <c r="C78" s="2">
        <v>61111016670020</v>
      </c>
      <c r="D78" s="2" t="s">
        <v>45</v>
      </c>
      <c r="E78" s="2">
        <v>8128621</v>
      </c>
      <c r="F78" s="2">
        <v>931371901</v>
      </c>
      <c r="G78" s="3">
        <v>37206</v>
      </c>
      <c r="H78" s="2" t="s">
        <v>364</v>
      </c>
      <c r="I78" s="2" t="s">
        <v>365</v>
      </c>
      <c r="J78" s="2" t="s">
        <v>366</v>
      </c>
      <c r="K78" s="2" t="s">
        <v>39</v>
      </c>
      <c r="L78" s="2" t="s">
        <v>27</v>
      </c>
      <c r="M78" s="2">
        <v>5340603</v>
      </c>
      <c r="N78" s="2" t="s">
        <v>174</v>
      </c>
      <c r="O78" s="2" t="s">
        <v>155</v>
      </c>
      <c r="P78" s="2" t="s">
        <v>175</v>
      </c>
      <c r="Q78" s="4">
        <v>42064</v>
      </c>
      <c r="R78" s="2" t="s">
        <v>44</v>
      </c>
      <c r="S78" s="2">
        <v>8</v>
      </c>
      <c r="T78" s="2" t="s">
        <v>33</v>
      </c>
      <c r="U78" s="2" t="s">
        <v>34</v>
      </c>
      <c r="V78" s="29" t="s">
        <v>2721</v>
      </c>
      <c r="W78" s="21">
        <f>12350000+5970000</f>
        <v>18320000</v>
      </c>
      <c r="X78" s="10" t="s">
        <v>2836</v>
      </c>
      <c r="Y78" s="30">
        <f t="shared" si="2"/>
        <v>3873711.1000000015</v>
      </c>
      <c r="Z78" s="41">
        <f t="shared" si="3"/>
        <v>0.82545906439234484</v>
      </c>
    </row>
    <row r="79" spans="1:27" ht="26.25">
      <c r="A79" s="2">
        <v>77</v>
      </c>
      <c r="B79" s="2">
        <v>1555242</v>
      </c>
      <c r="C79" s="2">
        <v>52506017890027</v>
      </c>
      <c r="D79" s="2" t="s">
        <v>22</v>
      </c>
      <c r="E79" s="2">
        <v>1687580</v>
      </c>
      <c r="F79" s="2">
        <v>904261484</v>
      </c>
      <c r="G79" s="3">
        <v>37067</v>
      </c>
      <c r="H79" s="2" t="s">
        <v>367</v>
      </c>
      <c r="I79" s="2" t="s">
        <v>368</v>
      </c>
      <c r="J79" s="2" t="s">
        <v>369</v>
      </c>
      <c r="K79" s="2" t="s">
        <v>26</v>
      </c>
      <c r="L79" s="2" t="s">
        <v>57</v>
      </c>
      <c r="M79" s="2">
        <v>5310701</v>
      </c>
      <c r="N79" s="2" t="s">
        <v>118</v>
      </c>
      <c r="O79" s="2" t="s">
        <v>198</v>
      </c>
      <c r="P79" s="2">
        <v>63</v>
      </c>
      <c r="Q79" s="4">
        <v>43922</v>
      </c>
      <c r="R79" s="2" t="s">
        <v>53</v>
      </c>
      <c r="S79" s="2">
        <v>8</v>
      </c>
      <c r="T79" s="2" t="s">
        <v>33</v>
      </c>
      <c r="U79" s="2" t="s">
        <v>34</v>
      </c>
      <c r="V79" s="32">
        <v>51300880</v>
      </c>
      <c r="Y79" s="30">
        <f t="shared" si="2"/>
        <v>51300880</v>
      </c>
      <c r="Z79" s="41">
        <f t="shared" si="3"/>
        <v>0</v>
      </c>
    </row>
    <row r="80" spans="1:27" ht="39">
      <c r="A80" s="2">
        <v>78</v>
      </c>
      <c r="B80" s="2">
        <v>3321754</v>
      </c>
      <c r="C80" s="2">
        <v>52303035310030</v>
      </c>
      <c r="D80" s="2" t="s">
        <v>22</v>
      </c>
      <c r="E80" s="2">
        <v>2405723</v>
      </c>
      <c r="F80" s="2">
        <v>919252524</v>
      </c>
      <c r="G80" s="3">
        <v>37703</v>
      </c>
      <c r="H80" s="2" t="s">
        <v>112</v>
      </c>
      <c r="I80" s="2" t="s">
        <v>370</v>
      </c>
      <c r="J80" s="2" t="s">
        <v>371</v>
      </c>
      <c r="K80" s="2" t="s">
        <v>39</v>
      </c>
      <c r="L80" s="2" t="s">
        <v>27</v>
      </c>
      <c r="M80" s="2">
        <v>5320200</v>
      </c>
      <c r="N80" s="2" t="s">
        <v>66</v>
      </c>
      <c r="O80" s="2">
        <v>63</v>
      </c>
      <c r="P80" s="2" t="s">
        <v>68</v>
      </c>
      <c r="Q80" s="5">
        <v>44338</v>
      </c>
      <c r="R80" s="2" t="s">
        <v>62</v>
      </c>
      <c r="S80" s="2">
        <v>8</v>
      </c>
      <c r="T80" s="2" t="s">
        <v>33</v>
      </c>
      <c r="U80" s="2" t="s">
        <v>34</v>
      </c>
      <c r="V80" s="32">
        <v>59781040</v>
      </c>
      <c r="Y80" s="30">
        <f t="shared" si="2"/>
        <v>59781040</v>
      </c>
      <c r="Z80" s="41">
        <f t="shared" si="3"/>
        <v>0</v>
      </c>
    </row>
    <row r="81" spans="1:27" ht="26.25">
      <c r="A81" s="2">
        <v>79</v>
      </c>
      <c r="B81" s="2">
        <v>3463954</v>
      </c>
      <c r="C81" s="2">
        <v>52211035610033</v>
      </c>
      <c r="D81" s="2" t="s">
        <v>22</v>
      </c>
      <c r="E81" s="2">
        <v>2848714</v>
      </c>
      <c r="F81" s="2">
        <v>907227161</v>
      </c>
      <c r="G81" s="3">
        <v>37947</v>
      </c>
      <c r="H81" s="2" t="s">
        <v>112</v>
      </c>
      <c r="I81" s="2" t="s">
        <v>372</v>
      </c>
      <c r="J81" s="2" t="s">
        <v>373</v>
      </c>
      <c r="K81" s="2" t="s">
        <v>26</v>
      </c>
      <c r="L81" s="2" t="s">
        <v>27</v>
      </c>
      <c r="M81" s="2">
        <v>5620701</v>
      </c>
      <c r="N81" s="2" t="s">
        <v>218</v>
      </c>
      <c r="O81" s="2" t="s">
        <v>194</v>
      </c>
      <c r="P81" s="2" t="s">
        <v>224</v>
      </c>
      <c r="Q81" s="2" t="s">
        <v>374</v>
      </c>
      <c r="R81" s="2" t="s">
        <v>53</v>
      </c>
      <c r="S81" s="2">
        <v>8</v>
      </c>
      <c r="T81" s="2" t="s">
        <v>33</v>
      </c>
      <c r="U81" s="2" t="s">
        <v>34</v>
      </c>
      <c r="V81" s="29">
        <v>46170792</v>
      </c>
      <c r="W81" s="20">
        <v>25651000</v>
      </c>
      <c r="X81" s="2" t="s">
        <v>2677</v>
      </c>
      <c r="Y81" s="30">
        <f t="shared" si="2"/>
        <v>20519792</v>
      </c>
      <c r="Z81" s="41">
        <f t="shared" si="3"/>
        <v>0.5555676844356493</v>
      </c>
    </row>
    <row r="82" spans="1:27" ht="26.25">
      <c r="A82" s="2">
        <v>80</v>
      </c>
      <c r="B82" s="2">
        <v>1754857</v>
      </c>
      <c r="C82" s="2">
        <v>31506986770020</v>
      </c>
      <c r="D82" s="2" t="s">
        <v>45</v>
      </c>
      <c r="E82" s="2">
        <v>1469274</v>
      </c>
      <c r="F82" s="2">
        <v>944142258</v>
      </c>
      <c r="G82" s="3">
        <v>35961</v>
      </c>
      <c r="H82" s="2" t="s">
        <v>375</v>
      </c>
      <c r="I82" s="2" t="s">
        <v>376</v>
      </c>
      <c r="J82" s="2" t="s">
        <v>377</v>
      </c>
      <c r="K82" s="2" t="s">
        <v>26</v>
      </c>
      <c r="L82" s="2" t="s">
        <v>27</v>
      </c>
      <c r="M82" s="2">
        <v>5630103</v>
      </c>
      <c r="N82" s="2" t="s">
        <v>343</v>
      </c>
      <c r="O82" s="2" t="s">
        <v>263</v>
      </c>
      <c r="P82" s="2" t="s">
        <v>345</v>
      </c>
      <c r="Q82" s="2" t="s">
        <v>99</v>
      </c>
      <c r="R82" s="2" t="s">
        <v>53</v>
      </c>
      <c r="S82" s="2">
        <v>8</v>
      </c>
      <c r="T82" s="2" t="s">
        <v>33</v>
      </c>
      <c r="U82" s="2" t="s">
        <v>34</v>
      </c>
      <c r="V82" s="32">
        <v>102601760</v>
      </c>
      <c r="Y82" s="30">
        <f t="shared" si="2"/>
        <v>102601760</v>
      </c>
      <c r="Z82" s="41">
        <f t="shared" si="3"/>
        <v>0</v>
      </c>
    </row>
    <row r="83" spans="1:27" ht="26.25">
      <c r="A83" s="2">
        <v>81</v>
      </c>
      <c r="B83" s="2">
        <v>3282496</v>
      </c>
      <c r="C83" s="2">
        <v>50802035720020</v>
      </c>
      <c r="D83" s="2" t="s">
        <v>22</v>
      </c>
      <c r="E83" s="2">
        <v>2180630</v>
      </c>
      <c r="F83" s="2">
        <v>916428664</v>
      </c>
      <c r="G83" s="3">
        <v>37660</v>
      </c>
      <c r="H83" s="2" t="s">
        <v>242</v>
      </c>
      <c r="I83" s="2" t="s">
        <v>378</v>
      </c>
      <c r="J83" s="2" t="s">
        <v>379</v>
      </c>
      <c r="K83" s="2" t="s">
        <v>26</v>
      </c>
      <c r="L83" s="2" t="s">
        <v>27</v>
      </c>
      <c r="M83" s="2">
        <v>5620101</v>
      </c>
      <c r="N83" s="2" t="s">
        <v>49</v>
      </c>
      <c r="O83" s="2" t="s">
        <v>104</v>
      </c>
      <c r="P83" s="2" t="s">
        <v>51</v>
      </c>
      <c r="Q83" s="2" t="s">
        <v>380</v>
      </c>
      <c r="R83" s="2" t="s">
        <v>53</v>
      </c>
      <c r="S83" s="2">
        <v>8</v>
      </c>
      <c r="T83" s="2" t="s">
        <v>33</v>
      </c>
      <c r="U83" s="2" t="s">
        <v>34</v>
      </c>
      <c r="V83" s="32">
        <v>46170792</v>
      </c>
      <c r="W83" s="20">
        <f>23170000+23000000</f>
        <v>46170000</v>
      </c>
      <c r="X83" s="2" t="s">
        <v>2929</v>
      </c>
      <c r="Y83" s="30">
        <f t="shared" si="2"/>
        <v>792</v>
      </c>
      <c r="Z83" s="41">
        <f t="shared" si="3"/>
        <v>0.99998284629815315</v>
      </c>
    </row>
    <row r="84" spans="1:27" ht="15.75">
      <c r="A84" s="2">
        <v>82</v>
      </c>
      <c r="B84" s="2">
        <v>3563921</v>
      </c>
      <c r="C84" s="2">
        <v>50707036100027</v>
      </c>
      <c r="D84" s="2" t="s">
        <v>22</v>
      </c>
      <c r="E84" s="2">
        <v>3154892</v>
      </c>
      <c r="F84" s="2">
        <v>998102953</v>
      </c>
      <c r="G84" s="3">
        <v>37809</v>
      </c>
      <c r="H84" s="2" t="s">
        <v>381</v>
      </c>
      <c r="I84" s="2" t="s">
        <v>382</v>
      </c>
      <c r="J84" s="2" t="s">
        <v>383</v>
      </c>
      <c r="K84" s="2" t="s">
        <v>26</v>
      </c>
      <c r="L84" s="2" t="s">
        <v>27</v>
      </c>
      <c r="M84" s="2">
        <v>5310202</v>
      </c>
      <c r="N84" s="2" t="s">
        <v>86</v>
      </c>
      <c r="O84" s="2" t="s">
        <v>384</v>
      </c>
      <c r="P84" s="2" t="s">
        <v>252</v>
      </c>
      <c r="Q84" s="2" t="s">
        <v>31</v>
      </c>
      <c r="R84" s="2" t="s">
        <v>53</v>
      </c>
      <c r="S84" s="2">
        <v>8</v>
      </c>
      <c r="T84" s="2" t="s">
        <v>33</v>
      </c>
      <c r="U84" s="2" t="s">
        <v>34</v>
      </c>
      <c r="V84" s="32">
        <v>102601760</v>
      </c>
      <c r="W84" s="21">
        <f>51600000+30000000</f>
        <v>81600000</v>
      </c>
      <c r="X84" s="10" t="s">
        <v>2714</v>
      </c>
      <c r="Y84" s="30">
        <f t="shared" si="2"/>
        <v>21001760</v>
      </c>
      <c r="Z84" s="41">
        <f t="shared" si="3"/>
        <v>0.79530799471665981</v>
      </c>
    </row>
    <row r="85" spans="1:27" ht="26.25">
      <c r="A85" s="2">
        <v>83</v>
      </c>
      <c r="B85" s="2">
        <v>1639481</v>
      </c>
      <c r="C85" s="2">
        <v>43011910560055</v>
      </c>
      <c r="D85" s="2" t="s">
        <v>145</v>
      </c>
      <c r="E85" s="2">
        <v>9595607</v>
      </c>
      <c r="F85" s="2">
        <v>935621901</v>
      </c>
      <c r="G85" s="3">
        <v>33572</v>
      </c>
      <c r="H85" s="2" t="s">
        <v>385</v>
      </c>
      <c r="I85" s="2" t="s">
        <v>386</v>
      </c>
      <c r="J85" s="2" t="s">
        <v>387</v>
      </c>
      <c r="K85" s="2" t="s">
        <v>39</v>
      </c>
      <c r="L85" s="2" t="s">
        <v>27</v>
      </c>
      <c r="M85" s="2">
        <v>5230902</v>
      </c>
      <c r="N85" s="2" t="s">
        <v>251</v>
      </c>
      <c r="O85" s="2" t="s">
        <v>207</v>
      </c>
      <c r="P85" s="2" t="s">
        <v>252</v>
      </c>
      <c r="Q85" s="2" t="s">
        <v>288</v>
      </c>
      <c r="R85" s="2" t="s">
        <v>82</v>
      </c>
      <c r="S85" s="2">
        <v>10</v>
      </c>
      <c r="T85" s="2" t="s">
        <v>33</v>
      </c>
      <c r="U85" s="2" t="s">
        <v>34</v>
      </c>
      <c r="V85" s="32">
        <v>104616820</v>
      </c>
      <c r="Y85" s="30">
        <f t="shared" si="2"/>
        <v>104616820</v>
      </c>
      <c r="Z85" s="41">
        <f t="shared" si="3"/>
        <v>0</v>
      </c>
    </row>
    <row r="86" spans="1:27" ht="26.25">
      <c r="A86" s="2">
        <v>84</v>
      </c>
      <c r="B86" s="2">
        <v>1101745</v>
      </c>
      <c r="C86" s="2">
        <v>31403966500056</v>
      </c>
      <c r="D86" s="2" t="s">
        <v>145</v>
      </c>
      <c r="E86" s="2">
        <v>225973</v>
      </c>
      <c r="F86" s="2">
        <v>998821414</v>
      </c>
      <c r="G86" s="3">
        <v>35138</v>
      </c>
      <c r="H86" s="2" t="s">
        <v>388</v>
      </c>
      <c r="I86" s="2" t="s">
        <v>389</v>
      </c>
      <c r="J86" s="2" t="s">
        <v>390</v>
      </c>
      <c r="K86" s="2" t="s">
        <v>39</v>
      </c>
      <c r="L86" s="2" t="s">
        <v>57</v>
      </c>
      <c r="M86" s="2">
        <v>5620702</v>
      </c>
      <c r="N86" s="2" t="s">
        <v>159</v>
      </c>
      <c r="O86" s="2" t="s">
        <v>391</v>
      </c>
      <c r="P86" s="2" t="s">
        <v>139</v>
      </c>
      <c r="Q86" s="2" t="s">
        <v>124</v>
      </c>
      <c r="R86" s="2" t="s">
        <v>62</v>
      </c>
      <c r="S86" s="2">
        <v>8</v>
      </c>
      <c r="T86" s="2" t="s">
        <v>33</v>
      </c>
      <c r="U86" s="2" t="s">
        <v>34</v>
      </c>
      <c r="V86" s="32">
        <v>119562080</v>
      </c>
      <c r="Y86" s="30">
        <f t="shared" si="2"/>
        <v>119562080</v>
      </c>
      <c r="Z86" s="41">
        <f t="shared" si="3"/>
        <v>0</v>
      </c>
    </row>
    <row r="87" spans="1:27">
      <c r="A87" s="2">
        <v>85</v>
      </c>
      <c r="B87" s="2">
        <v>3300898</v>
      </c>
      <c r="C87" s="2">
        <v>61305047970024</v>
      </c>
      <c r="D87" s="2" t="s">
        <v>22</v>
      </c>
      <c r="E87" s="2">
        <v>3134571</v>
      </c>
      <c r="F87" s="2">
        <v>950200414</v>
      </c>
      <c r="G87" s="3">
        <v>38120</v>
      </c>
      <c r="H87" s="2" t="s">
        <v>392</v>
      </c>
      <c r="I87" s="2" t="s">
        <v>393</v>
      </c>
      <c r="J87" s="2" t="s">
        <v>394</v>
      </c>
      <c r="K87" s="2" t="s">
        <v>26</v>
      </c>
      <c r="L87" s="2" t="s">
        <v>57</v>
      </c>
      <c r="M87" s="2">
        <v>5310606</v>
      </c>
      <c r="N87" s="2" t="s">
        <v>72</v>
      </c>
      <c r="O87" s="2" t="s">
        <v>253</v>
      </c>
      <c r="P87" s="2" t="s">
        <v>296</v>
      </c>
      <c r="Q87" s="2" t="s">
        <v>395</v>
      </c>
      <c r="R87" s="2" t="s">
        <v>53</v>
      </c>
      <c r="S87" s="2">
        <v>8</v>
      </c>
      <c r="T87" s="2" t="s">
        <v>33</v>
      </c>
      <c r="U87" s="2" t="s">
        <v>34</v>
      </c>
      <c r="V87" s="32">
        <v>102601760</v>
      </c>
      <c r="Y87" s="30">
        <f t="shared" si="2"/>
        <v>102601760</v>
      </c>
      <c r="Z87" s="41">
        <f t="shared" si="3"/>
        <v>0</v>
      </c>
    </row>
    <row r="88" spans="1:27" ht="26.25">
      <c r="A88" s="2">
        <v>86</v>
      </c>
      <c r="B88" s="2">
        <v>3478179</v>
      </c>
      <c r="C88" s="2">
        <v>30202893330010</v>
      </c>
      <c r="D88" s="2" t="s">
        <v>35</v>
      </c>
      <c r="E88" s="2">
        <v>118203</v>
      </c>
      <c r="F88" s="2">
        <v>932001199</v>
      </c>
      <c r="G88" s="3">
        <v>32541</v>
      </c>
      <c r="H88" s="2" t="s">
        <v>396</v>
      </c>
      <c r="I88" s="2" t="s">
        <v>397</v>
      </c>
      <c r="J88" s="2" t="s">
        <v>398</v>
      </c>
      <c r="K88" s="2" t="s">
        <v>26</v>
      </c>
      <c r="L88" s="2" t="s">
        <v>27</v>
      </c>
      <c r="M88" s="2">
        <v>5620701</v>
      </c>
      <c r="N88" s="2" t="s">
        <v>218</v>
      </c>
      <c r="O88" s="2" t="s">
        <v>41</v>
      </c>
      <c r="P88" s="2" t="s">
        <v>224</v>
      </c>
      <c r="Q88" s="2" t="s">
        <v>31</v>
      </c>
      <c r="R88" s="2" t="s">
        <v>53</v>
      </c>
      <c r="S88" s="2">
        <v>8</v>
      </c>
      <c r="T88" s="2" t="s">
        <v>33</v>
      </c>
      <c r="U88" s="2" t="s">
        <v>34</v>
      </c>
      <c r="V88" s="32">
        <v>51300880</v>
      </c>
      <c r="Y88" s="30">
        <f t="shared" si="2"/>
        <v>51300880</v>
      </c>
      <c r="Z88" s="41">
        <f t="shared" si="3"/>
        <v>0</v>
      </c>
    </row>
    <row r="89" spans="1:27" ht="15.75">
      <c r="A89" s="2">
        <v>87</v>
      </c>
      <c r="B89" s="2">
        <v>3660224</v>
      </c>
      <c r="C89" s="2">
        <v>53008036950025</v>
      </c>
      <c r="D89" s="2" t="s">
        <v>22</v>
      </c>
      <c r="E89" s="2">
        <v>2225559</v>
      </c>
      <c r="F89" s="2">
        <v>916909099</v>
      </c>
      <c r="G89" s="3">
        <v>37863</v>
      </c>
      <c r="H89" s="2" t="s">
        <v>399</v>
      </c>
      <c r="I89" s="2" t="s">
        <v>400</v>
      </c>
      <c r="J89" s="2" t="s">
        <v>401</v>
      </c>
      <c r="K89" s="2" t="s">
        <v>26</v>
      </c>
      <c r="L89" s="2" t="s">
        <v>27</v>
      </c>
      <c r="M89" s="2">
        <v>5340601</v>
      </c>
      <c r="N89" s="2" t="s">
        <v>110</v>
      </c>
      <c r="O89" s="2" t="s">
        <v>281</v>
      </c>
      <c r="P89" s="2" t="s">
        <v>402</v>
      </c>
      <c r="Q89" s="2" t="s">
        <v>299</v>
      </c>
      <c r="R89" s="2" t="s">
        <v>93</v>
      </c>
      <c r="S89" s="2">
        <v>8</v>
      </c>
      <c r="T89" s="2" t="s">
        <v>33</v>
      </c>
      <c r="U89" s="2" t="s">
        <v>34</v>
      </c>
      <c r="V89" s="29" t="s">
        <v>2815</v>
      </c>
      <c r="W89" s="21">
        <v>56735520</v>
      </c>
      <c r="X89" s="10" t="s">
        <v>2633</v>
      </c>
      <c r="Y89" s="30">
        <f t="shared" si="2"/>
        <v>45388416</v>
      </c>
      <c r="Z89" s="41">
        <f t="shared" si="3"/>
        <v>0.55555555555555558</v>
      </c>
      <c r="AA89" s="42" t="s">
        <v>2798</v>
      </c>
    </row>
    <row r="90" spans="1:27" ht="26.25">
      <c r="A90" s="2">
        <v>88</v>
      </c>
      <c r="B90" s="2">
        <v>1873808</v>
      </c>
      <c r="C90" s="2">
        <v>31807886090053</v>
      </c>
      <c r="D90" s="2" t="s">
        <v>145</v>
      </c>
      <c r="E90" s="2">
        <v>2633523</v>
      </c>
      <c r="F90" s="2">
        <v>985736595</v>
      </c>
      <c r="G90" s="3">
        <v>32342</v>
      </c>
      <c r="H90" s="2" t="s">
        <v>403</v>
      </c>
      <c r="I90" s="2" t="s">
        <v>84</v>
      </c>
      <c r="J90" s="2" t="s">
        <v>404</v>
      </c>
      <c r="K90" s="2" t="s">
        <v>39</v>
      </c>
      <c r="L90" s="2" t="s">
        <v>27</v>
      </c>
      <c r="M90" s="2">
        <v>5310601</v>
      </c>
      <c r="N90" s="2" t="s">
        <v>153</v>
      </c>
      <c r="O90" s="2" t="s">
        <v>175</v>
      </c>
      <c r="P90" s="2" t="s">
        <v>79</v>
      </c>
      <c r="Q90" s="4">
        <v>20394</v>
      </c>
      <c r="R90" s="2" t="s">
        <v>62</v>
      </c>
      <c r="S90" s="2">
        <v>8</v>
      </c>
      <c r="T90" s="2" t="s">
        <v>33</v>
      </c>
      <c r="U90" s="2" t="s">
        <v>34</v>
      </c>
      <c r="V90" s="32">
        <v>59781040</v>
      </c>
      <c r="Y90" s="30">
        <f t="shared" si="2"/>
        <v>59781040</v>
      </c>
      <c r="Z90" s="41">
        <f t="shared" si="3"/>
        <v>0</v>
      </c>
    </row>
    <row r="91" spans="1:27">
      <c r="A91" s="2">
        <v>89</v>
      </c>
      <c r="B91" s="2">
        <v>1354309</v>
      </c>
      <c r="C91" s="2">
        <v>52605006060019</v>
      </c>
      <c r="D91" s="2" t="s">
        <v>45</v>
      </c>
      <c r="E91" s="2">
        <v>4191501</v>
      </c>
      <c r="F91" s="2">
        <v>915474269</v>
      </c>
      <c r="G91" s="3">
        <v>36672</v>
      </c>
      <c r="H91" s="2" t="s">
        <v>100</v>
      </c>
      <c r="I91" s="2" t="s">
        <v>405</v>
      </c>
      <c r="J91" s="2" t="s">
        <v>406</v>
      </c>
      <c r="K91" s="2" t="s">
        <v>26</v>
      </c>
      <c r="L91" s="2" t="s">
        <v>27</v>
      </c>
      <c r="M91" s="2">
        <v>5230105</v>
      </c>
      <c r="N91" s="2" t="s">
        <v>407</v>
      </c>
      <c r="O91" s="2" t="s">
        <v>223</v>
      </c>
      <c r="P91" s="2" t="s">
        <v>408</v>
      </c>
      <c r="Q91" s="2" t="s">
        <v>391</v>
      </c>
      <c r="R91" s="2" t="s">
        <v>134</v>
      </c>
      <c r="S91" s="2">
        <v>10</v>
      </c>
      <c r="T91" s="2" t="s">
        <v>33</v>
      </c>
      <c r="U91" s="2" t="s">
        <v>34</v>
      </c>
      <c r="V91" s="32">
        <v>182598600</v>
      </c>
      <c r="Y91" s="30">
        <f t="shared" si="2"/>
        <v>182598600</v>
      </c>
      <c r="Z91" s="41">
        <f t="shared" si="3"/>
        <v>0</v>
      </c>
    </row>
    <row r="92" spans="1:27" ht="51.75">
      <c r="A92" s="2">
        <v>90</v>
      </c>
      <c r="B92" s="2">
        <v>2656047</v>
      </c>
      <c r="C92" s="2">
        <v>31003912350041</v>
      </c>
      <c r="D92" s="2" t="s">
        <v>145</v>
      </c>
      <c r="E92" s="2">
        <v>6910530</v>
      </c>
      <c r="F92" s="2">
        <v>993609691</v>
      </c>
      <c r="G92" s="3">
        <v>33307</v>
      </c>
      <c r="H92" s="2" t="s">
        <v>409</v>
      </c>
      <c r="I92" s="2" t="s">
        <v>410</v>
      </c>
      <c r="J92" s="2" t="s">
        <v>411</v>
      </c>
      <c r="K92" s="2" t="s">
        <v>39</v>
      </c>
      <c r="L92" s="2" t="s">
        <v>57</v>
      </c>
      <c r="M92" s="2">
        <v>5620400</v>
      </c>
      <c r="N92" s="2" t="s">
        <v>103</v>
      </c>
      <c r="O92" s="2" t="s">
        <v>207</v>
      </c>
      <c r="P92" s="2" t="s">
        <v>139</v>
      </c>
      <c r="Q92" s="5">
        <v>44317</v>
      </c>
      <c r="R92" s="2" t="s">
        <v>62</v>
      </c>
      <c r="S92" s="2">
        <v>8</v>
      </c>
      <c r="T92" s="2" t="s">
        <v>33</v>
      </c>
      <c r="U92" s="2" t="s">
        <v>34</v>
      </c>
      <c r="V92" s="32" t="s">
        <v>2725</v>
      </c>
      <c r="W92" s="20">
        <f>5620000+1200000+1200000+2000000</f>
        <v>10020000</v>
      </c>
      <c r="X92" s="2" t="s">
        <v>2984</v>
      </c>
      <c r="Y92" s="30">
        <f t="shared" si="2"/>
        <v>68050.5</v>
      </c>
      <c r="Z92" s="41">
        <f t="shared" si="3"/>
        <v>0.9932543458223172</v>
      </c>
    </row>
    <row r="93" spans="1:27" ht="15.75">
      <c r="A93" s="2">
        <v>91</v>
      </c>
      <c r="B93" s="2">
        <v>3672841</v>
      </c>
      <c r="C93" s="2">
        <v>53008036950032</v>
      </c>
      <c r="D93" s="2" t="s">
        <v>22</v>
      </c>
      <c r="E93" s="2">
        <v>2225554</v>
      </c>
      <c r="F93" s="2">
        <v>912003444</v>
      </c>
      <c r="G93" s="3">
        <v>37863</v>
      </c>
      <c r="H93" s="2" t="s">
        <v>375</v>
      </c>
      <c r="I93" s="2" t="s">
        <v>400</v>
      </c>
      <c r="J93" s="2" t="s">
        <v>401</v>
      </c>
      <c r="K93" s="2" t="s">
        <v>26</v>
      </c>
      <c r="L93" s="2" t="s">
        <v>27</v>
      </c>
      <c r="M93" s="2">
        <v>5340601</v>
      </c>
      <c r="N93" s="2" t="s">
        <v>110</v>
      </c>
      <c r="O93" s="2" t="s">
        <v>88</v>
      </c>
      <c r="P93" s="2" t="s">
        <v>402</v>
      </c>
      <c r="Q93" s="2" t="s">
        <v>124</v>
      </c>
      <c r="R93" s="2" t="s">
        <v>93</v>
      </c>
      <c r="S93" s="2">
        <v>8</v>
      </c>
      <c r="T93" s="2" t="s">
        <v>33</v>
      </c>
      <c r="U93" s="2" t="s">
        <v>34</v>
      </c>
      <c r="V93" s="29" t="s">
        <v>2814</v>
      </c>
      <c r="W93" s="21">
        <v>28736000</v>
      </c>
      <c r="X93" s="10" t="s">
        <v>2633</v>
      </c>
      <c r="Y93" s="30">
        <f t="shared" si="2"/>
        <v>22325968</v>
      </c>
      <c r="Z93" s="41">
        <f t="shared" si="3"/>
        <v>0.56276718515823754</v>
      </c>
      <c r="AA93" s="42" t="s">
        <v>2798</v>
      </c>
    </row>
    <row r="94" spans="1:27" ht="31.5">
      <c r="A94" s="2">
        <v>92</v>
      </c>
      <c r="B94" s="2">
        <v>3329815</v>
      </c>
      <c r="C94" s="2">
        <v>52012036090037</v>
      </c>
      <c r="D94" s="2" t="s">
        <v>22</v>
      </c>
      <c r="E94" s="2">
        <v>2653994</v>
      </c>
      <c r="F94" s="2">
        <v>995776576</v>
      </c>
      <c r="G94" s="3">
        <v>37975</v>
      </c>
      <c r="H94" s="2" t="s">
        <v>412</v>
      </c>
      <c r="I94" s="2" t="s">
        <v>413</v>
      </c>
      <c r="J94" s="2" t="s">
        <v>414</v>
      </c>
      <c r="K94" s="2" t="s">
        <v>26</v>
      </c>
      <c r="L94" s="2" t="s">
        <v>27</v>
      </c>
      <c r="M94" s="2">
        <v>5310202</v>
      </c>
      <c r="N94" s="2" t="s">
        <v>86</v>
      </c>
      <c r="O94" s="2" t="s">
        <v>87</v>
      </c>
      <c r="P94" s="2" t="s">
        <v>252</v>
      </c>
      <c r="Q94" s="2" t="s">
        <v>166</v>
      </c>
      <c r="R94" s="2" t="s">
        <v>53</v>
      </c>
      <c r="S94" s="2">
        <v>8</v>
      </c>
      <c r="T94" s="2" t="s">
        <v>33</v>
      </c>
      <c r="U94" s="2" t="s">
        <v>34</v>
      </c>
      <c r="V94" s="32">
        <v>51300880</v>
      </c>
      <c r="W94" s="24">
        <f>25800000+20371000</f>
        <v>46171000</v>
      </c>
      <c r="X94" s="14" t="s">
        <v>2866</v>
      </c>
      <c r="Y94" s="30">
        <f t="shared" si="2"/>
        <v>5129880</v>
      </c>
      <c r="Z94" s="41">
        <f t="shared" si="3"/>
        <v>0.90000405451134557</v>
      </c>
    </row>
    <row r="95" spans="1:27" ht="26.25">
      <c r="A95" s="2">
        <v>93</v>
      </c>
      <c r="B95" s="2">
        <v>1825872</v>
      </c>
      <c r="C95" s="2">
        <v>31302997230016</v>
      </c>
      <c r="D95" s="2" t="s">
        <v>35</v>
      </c>
      <c r="E95" s="2">
        <v>470379</v>
      </c>
      <c r="F95" s="2">
        <v>945990011</v>
      </c>
      <c r="G95" s="3">
        <v>36204</v>
      </c>
      <c r="H95" s="2" t="s">
        <v>23</v>
      </c>
      <c r="I95" s="2" t="s">
        <v>341</v>
      </c>
      <c r="J95" s="2" t="s">
        <v>77</v>
      </c>
      <c r="K95" s="2" t="s">
        <v>39</v>
      </c>
      <c r="L95" s="2" t="s">
        <v>27</v>
      </c>
      <c r="M95" s="2">
        <v>5320102</v>
      </c>
      <c r="N95" s="2" t="s">
        <v>138</v>
      </c>
      <c r="O95" s="2" t="s">
        <v>149</v>
      </c>
      <c r="P95" s="2" t="s">
        <v>140</v>
      </c>
      <c r="Q95" s="4">
        <v>42064</v>
      </c>
      <c r="R95" s="2" t="s">
        <v>62</v>
      </c>
      <c r="S95" s="2">
        <v>8</v>
      </c>
      <c r="T95" s="2" t="s">
        <v>33</v>
      </c>
      <c r="U95" s="2" t="s">
        <v>34</v>
      </c>
      <c r="V95" s="32">
        <v>22417890</v>
      </c>
      <c r="W95" s="21">
        <v>11208000</v>
      </c>
      <c r="X95" s="12" t="s">
        <v>2648</v>
      </c>
      <c r="Y95" s="30">
        <f t="shared" si="2"/>
        <v>11209890</v>
      </c>
      <c r="Z95" s="41">
        <f t="shared" si="3"/>
        <v>0.49995784616661071</v>
      </c>
    </row>
    <row r="96" spans="1:27" ht="26.25">
      <c r="A96" s="2">
        <v>94</v>
      </c>
      <c r="B96" s="2">
        <v>3784025</v>
      </c>
      <c r="C96" s="2">
        <v>51006037150042</v>
      </c>
      <c r="D96" s="2" t="s">
        <v>74</v>
      </c>
      <c r="E96" s="2">
        <v>95397</v>
      </c>
      <c r="F96" s="2">
        <v>995555628</v>
      </c>
      <c r="G96" s="3">
        <v>37782</v>
      </c>
      <c r="H96" s="2" t="s">
        <v>415</v>
      </c>
      <c r="I96" s="2" t="s">
        <v>416</v>
      </c>
      <c r="J96" s="2" t="s">
        <v>222</v>
      </c>
      <c r="K96" s="2" t="s">
        <v>39</v>
      </c>
      <c r="L96" s="2" t="s">
        <v>27</v>
      </c>
      <c r="M96" s="2">
        <v>5620701</v>
      </c>
      <c r="N96" s="2" t="s">
        <v>218</v>
      </c>
      <c r="O96" s="2" t="s">
        <v>207</v>
      </c>
      <c r="P96" s="2" t="s">
        <v>219</v>
      </c>
      <c r="Q96" s="2" t="s">
        <v>253</v>
      </c>
      <c r="R96" s="2" t="s">
        <v>62</v>
      </c>
      <c r="S96" s="2">
        <v>8</v>
      </c>
      <c r="T96" s="2" t="s">
        <v>33</v>
      </c>
      <c r="U96" s="2" t="s">
        <v>34</v>
      </c>
      <c r="V96" s="29">
        <v>53802936</v>
      </c>
      <c r="W96" s="20">
        <v>30000000</v>
      </c>
      <c r="X96" s="2" t="s">
        <v>2686</v>
      </c>
      <c r="Y96" s="30">
        <f t="shared" si="2"/>
        <v>23802936</v>
      </c>
      <c r="Z96" s="41">
        <f t="shared" si="3"/>
        <v>0.55759038874755829</v>
      </c>
    </row>
    <row r="97" spans="1:27" ht="26.25">
      <c r="A97" s="2">
        <v>95</v>
      </c>
      <c r="B97" s="2">
        <v>2714084</v>
      </c>
      <c r="C97" s="2">
        <v>51408026140014</v>
      </c>
      <c r="D97" s="2" t="s">
        <v>22</v>
      </c>
      <c r="E97" s="2">
        <v>194639</v>
      </c>
      <c r="F97" s="2">
        <v>906067033</v>
      </c>
      <c r="G97" s="3">
        <v>37482</v>
      </c>
      <c r="H97" s="2" t="s">
        <v>417</v>
      </c>
      <c r="I97" s="2" t="s">
        <v>418</v>
      </c>
      <c r="J97" s="2" t="s">
        <v>419</v>
      </c>
      <c r="K97" s="2" t="s">
        <v>39</v>
      </c>
      <c r="L97" s="2" t="s">
        <v>27</v>
      </c>
      <c r="M97" s="2">
        <v>5340605</v>
      </c>
      <c r="N97" s="2" t="s">
        <v>40</v>
      </c>
      <c r="O97" s="2" t="s">
        <v>420</v>
      </c>
      <c r="P97" s="2" t="s">
        <v>42</v>
      </c>
      <c r="Q97" s="2" t="s">
        <v>421</v>
      </c>
      <c r="R97" s="2" t="s">
        <v>44</v>
      </c>
      <c r="S97" s="2">
        <v>8</v>
      </c>
      <c r="T97" s="2" t="s">
        <v>33</v>
      </c>
      <c r="U97" s="2" t="s">
        <v>34</v>
      </c>
      <c r="V97" s="32">
        <v>131518288</v>
      </c>
      <c r="Y97" s="30">
        <f t="shared" si="2"/>
        <v>131518288</v>
      </c>
      <c r="Z97" s="41">
        <f t="shared" si="3"/>
        <v>0</v>
      </c>
    </row>
    <row r="98" spans="1:27" ht="39">
      <c r="A98" s="2">
        <v>96</v>
      </c>
      <c r="B98" s="2">
        <v>1479321</v>
      </c>
      <c r="C98" s="2">
        <v>51301025840016</v>
      </c>
      <c r="D98" s="2" t="s">
        <v>45</v>
      </c>
      <c r="E98" s="2">
        <v>9737567</v>
      </c>
      <c r="F98" s="2">
        <v>913398896</v>
      </c>
      <c r="G98" s="3">
        <v>37269</v>
      </c>
      <c r="H98" s="2" t="s">
        <v>422</v>
      </c>
      <c r="I98" s="2" t="s">
        <v>423</v>
      </c>
      <c r="J98" s="2" t="s">
        <v>235</v>
      </c>
      <c r="K98" s="2" t="s">
        <v>39</v>
      </c>
      <c r="L98" s="2" t="s">
        <v>27</v>
      </c>
      <c r="M98" s="2">
        <v>5311003</v>
      </c>
      <c r="N98" s="2" t="s">
        <v>144</v>
      </c>
      <c r="O98" s="2" t="s">
        <v>179</v>
      </c>
      <c r="P98" s="2" t="s">
        <v>79</v>
      </c>
      <c r="Q98" s="2" t="s">
        <v>253</v>
      </c>
      <c r="R98" s="2" t="s">
        <v>62</v>
      </c>
      <c r="S98" s="2">
        <v>8</v>
      </c>
      <c r="T98" s="2" t="s">
        <v>33</v>
      </c>
      <c r="U98" s="2" t="s">
        <v>34</v>
      </c>
      <c r="V98" s="32">
        <v>59781040</v>
      </c>
      <c r="Y98" s="30">
        <f t="shared" si="2"/>
        <v>59781040</v>
      </c>
      <c r="Z98" s="41">
        <f t="shared" si="3"/>
        <v>0</v>
      </c>
    </row>
    <row r="99" spans="1:27" ht="26.25">
      <c r="A99" s="2">
        <v>97</v>
      </c>
      <c r="B99" s="2">
        <v>3286219</v>
      </c>
      <c r="C99" s="2">
        <v>61607035850032</v>
      </c>
      <c r="D99" s="2" t="s">
        <v>22</v>
      </c>
      <c r="E99" s="2">
        <v>2637165</v>
      </c>
      <c r="F99" s="2">
        <v>936239024</v>
      </c>
      <c r="G99" s="3">
        <v>37818</v>
      </c>
      <c r="H99" s="2" t="s">
        <v>424</v>
      </c>
      <c r="I99" s="2" t="s">
        <v>425</v>
      </c>
      <c r="J99" s="2" t="s">
        <v>426</v>
      </c>
      <c r="K99" s="2" t="s">
        <v>39</v>
      </c>
      <c r="L99" s="2" t="s">
        <v>27</v>
      </c>
      <c r="M99" s="2">
        <v>5320102</v>
      </c>
      <c r="N99" s="2" t="s">
        <v>138</v>
      </c>
      <c r="O99" s="2" t="s">
        <v>207</v>
      </c>
      <c r="P99" s="2" t="s">
        <v>140</v>
      </c>
      <c r="Q99" s="4">
        <v>11110</v>
      </c>
      <c r="R99" s="2" t="s">
        <v>62</v>
      </c>
      <c r="S99" s="2">
        <v>8</v>
      </c>
      <c r="T99" s="2" t="s">
        <v>33</v>
      </c>
      <c r="U99" s="2" t="s">
        <v>34</v>
      </c>
      <c r="V99" s="32">
        <v>59781040</v>
      </c>
      <c r="Y99" s="30">
        <f t="shared" si="2"/>
        <v>59781040</v>
      </c>
      <c r="Z99" s="41">
        <f t="shared" si="3"/>
        <v>0</v>
      </c>
    </row>
    <row r="100" spans="1:27" ht="26.25">
      <c r="A100" s="2">
        <v>98</v>
      </c>
      <c r="B100" s="2">
        <v>3504326</v>
      </c>
      <c r="C100" s="2">
        <v>33004941860026</v>
      </c>
      <c r="D100" s="2" t="s">
        <v>145</v>
      </c>
      <c r="E100" s="2">
        <v>1902832</v>
      </c>
      <c r="F100" s="2">
        <v>971942030</v>
      </c>
      <c r="G100" s="3">
        <v>34454</v>
      </c>
      <c r="H100" s="2" t="s">
        <v>427</v>
      </c>
      <c r="I100" s="2" t="s">
        <v>428</v>
      </c>
      <c r="J100" s="2" t="s">
        <v>429</v>
      </c>
      <c r="K100" s="2" t="s">
        <v>39</v>
      </c>
      <c r="L100" s="2" t="s">
        <v>57</v>
      </c>
      <c r="M100" s="2">
        <v>5350701</v>
      </c>
      <c r="N100" s="2" t="s">
        <v>338</v>
      </c>
      <c r="O100" s="2">
        <v>63</v>
      </c>
      <c r="P100" s="2" t="s">
        <v>104</v>
      </c>
      <c r="Q100" s="4">
        <v>43922</v>
      </c>
      <c r="R100" s="2" t="s">
        <v>44</v>
      </c>
      <c r="S100" s="2">
        <v>8</v>
      </c>
      <c r="T100" s="2" t="s">
        <v>33</v>
      </c>
      <c r="U100" s="2" t="s">
        <v>34</v>
      </c>
      <c r="V100" s="32">
        <v>65759144</v>
      </c>
      <c r="Y100" s="30">
        <f t="shared" si="2"/>
        <v>65759144</v>
      </c>
      <c r="Z100" s="41">
        <f t="shared" si="3"/>
        <v>0</v>
      </c>
    </row>
    <row r="101" spans="1:27" ht="26.25">
      <c r="A101" s="2">
        <v>99</v>
      </c>
      <c r="B101" s="2">
        <v>1893546</v>
      </c>
      <c r="C101" s="2">
        <v>30109921840018</v>
      </c>
      <c r="D101" s="2" t="s">
        <v>45</v>
      </c>
      <c r="E101" s="2">
        <v>7396983</v>
      </c>
      <c r="F101" s="2">
        <v>992053737</v>
      </c>
      <c r="G101" s="3">
        <v>33848</v>
      </c>
      <c r="H101" s="2" t="s">
        <v>430</v>
      </c>
      <c r="I101" s="2" t="s">
        <v>431</v>
      </c>
      <c r="J101" s="2" t="s">
        <v>322</v>
      </c>
      <c r="K101" s="2" t="s">
        <v>39</v>
      </c>
      <c r="L101" s="2" t="s">
        <v>27</v>
      </c>
      <c r="M101" s="2">
        <v>5620701</v>
      </c>
      <c r="N101" s="2" t="s">
        <v>218</v>
      </c>
      <c r="O101" s="2" t="s">
        <v>60</v>
      </c>
      <c r="P101" s="2" t="s">
        <v>219</v>
      </c>
      <c r="Q101" s="2" t="s">
        <v>391</v>
      </c>
      <c r="R101" s="2" t="s">
        <v>62</v>
      </c>
      <c r="S101" s="2">
        <v>8</v>
      </c>
      <c r="T101" s="2" t="s">
        <v>33</v>
      </c>
      <c r="U101" s="2" t="s">
        <v>34</v>
      </c>
      <c r="V101" s="32">
        <v>59781040</v>
      </c>
      <c r="W101" s="20">
        <v>30000000</v>
      </c>
      <c r="X101" s="2" t="s">
        <v>2677</v>
      </c>
      <c r="Y101" s="30">
        <f t="shared" si="2"/>
        <v>29781040</v>
      </c>
      <c r="Z101" s="41">
        <f t="shared" si="3"/>
        <v>0.50183134987280253</v>
      </c>
    </row>
    <row r="102" spans="1:27">
      <c r="A102" s="2">
        <v>100</v>
      </c>
      <c r="B102" s="2">
        <v>2048588</v>
      </c>
      <c r="C102" s="2">
        <v>32411923430015</v>
      </c>
      <c r="D102" s="2" t="s">
        <v>35</v>
      </c>
      <c r="E102" s="2">
        <v>603377</v>
      </c>
      <c r="F102" s="2">
        <v>999556711</v>
      </c>
      <c r="G102" s="3">
        <v>33932</v>
      </c>
      <c r="H102" s="2" t="s">
        <v>432</v>
      </c>
      <c r="I102" s="2" t="s">
        <v>324</v>
      </c>
      <c r="J102" s="2" t="s">
        <v>325</v>
      </c>
      <c r="K102" s="2" t="s">
        <v>39</v>
      </c>
      <c r="L102" s="2" t="s">
        <v>27</v>
      </c>
      <c r="M102" s="2">
        <v>5620101</v>
      </c>
      <c r="N102" s="2" t="s">
        <v>49</v>
      </c>
      <c r="O102" s="2" t="s">
        <v>87</v>
      </c>
      <c r="P102" s="2" t="s">
        <v>264</v>
      </c>
      <c r="Q102" s="2" t="s">
        <v>433</v>
      </c>
      <c r="R102" s="2" t="s">
        <v>62</v>
      </c>
      <c r="S102" s="2">
        <v>8</v>
      </c>
      <c r="T102" s="2" t="s">
        <v>33</v>
      </c>
      <c r="U102" s="2" t="s">
        <v>34</v>
      </c>
      <c r="V102" s="32">
        <v>59781040</v>
      </c>
      <c r="W102" s="20">
        <v>40000000</v>
      </c>
      <c r="X102" s="2" t="s">
        <v>2720</v>
      </c>
      <c r="Y102" s="30">
        <f t="shared" si="2"/>
        <v>19781040</v>
      </c>
      <c r="Z102" s="41">
        <f t="shared" si="3"/>
        <v>0.66910846649707001</v>
      </c>
    </row>
    <row r="103" spans="1:27" ht="26.25">
      <c r="A103" s="2">
        <v>101</v>
      </c>
      <c r="B103" s="2">
        <v>1870338</v>
      </c>
      <c r="C103" s="2">
        <v>32108995850026</v>
      </c>
      <c r="D103" s="2" t="s">
        <v>45</v>
      </c>
      <c r="E103" s="2">
        <v>1148517</v>
      </c>
      <c r="F103" s="2">
        <v>933125254</v>
      </c>
      <c r="G103" s="3">
        <v>36393</v>
      </c>
      <c r="H103" s="2" t="s">
        <v>434</v>
      </c>
      <c r="I103" s="2" t="s">
        <v>435</v>
      </c>
      <c r="J103" s="2" t="s">
        <v>436</v>
      </c>
      <c r="K103" s="2" t="s">
        <v>39</v>
      </c>
      <c r="L103" s="2" t="s">
        <v>57</v>
      </c>
      <c r="M103" s="2">
        <v>5310701</v>
      </c>
      <c r="N103" s="2" t="s">
        <v>118</v>
      </c>
      <c r="O103" s="2">
        <v>63</v>
      </c>
      <c r="P103" s="2" t="s">
        <v>207</v>
      </c>
      <c r="Q103" s="4">
        <v>11110</v>
      </c>
      <c r="R103" s="2" t="s">
        <v>62</v>
      </c>
      <c r="S103" s="2">
        <v>8</v>
      </c>
      <c r="T103" s="2" t="s">
        <v>33</v>
      </c>
      <c r="U103" s="2" t="s">
        <v>34</v>
      </c>
      <c r="V103" s="32">
        <v>59781040</v>
      </c>
      <c r="Y103" s="30">
        <f t="shared" si="2"/>
        <v>59781040</v>
      </c>
      <c r="Z103" s="41">
        <f t="shared" si="3"/>
        <v>0</v>
      </c>
    </row>
    <row r="104" spans="1:27" ht="26.25">
      <c r="A104" s="2">
        <v>102</v>
      </c>
      <c r="B104" s="2">
        <v>1315546</v>
      </c>
      <c r="C104" s="2">
        <v>53105015270027</v>
      </c>
      <c r="D104" s="2" t="s">
        <v>45</v>
      </c>
      <c r="E104" s="2">
        <v>7844648</v>
      </c>
      <c r="F104" s="2">
        <v>907201214</v>
      </c>
      <c r="G104" s="3">
        <v>37042</v>
      </c>
      <c r="H104" s="2" t="s">
        <v>94</v>
      </c>
      <c r="I104" s="2" t="s">
        <v>437</v>
      </c>
      <c r="J104" s="2" t="s">
        <v>438</v>
      </c>
      <c r="K104" s="2" t="s">
        <v>39</v>
      </c>
      <c r="L104" s="2" t="s">
        <v>27</v>
      </c>
      <c r="M104" s="2">
        <v>5340605</v>
      </c>
      <c r="N104" s="2" t="s">
        <v>40</v>
      </c>
      <c r="O104" s="2" t="s">
        <v>439</v>
      </c>
      <c r="P104" s="2" t="s">
        <v>42</v>
      </c>
      <c r="Q104" s="2" t="s">
        <v>440</v>
      </c>
      <c r="R104" s="2" t="s">
        <v>44</v>
      </c>
      <c r="S104" s="2">
        <v>8</v>
      </c>
      <c r="T104" s="2" t="s">
        <v>33</v>
      </c>
      <c r="U104" s="2" t="s">
        <v>34</v>
      </c>
      <c r="V104" s="29">
        <v>118366459.2</v>
      </c>
      <c r="W104" s="20">
        <v>65000000</v>
      </c>
      <c r="X104" s="2" t="s">
        <v>2690</v>
      </c>
      <c r="Y104" s="30">
        <f t="shared" si="2"/>
        <v>53366459.200000003</v>
      </c>
      <c r="Z104" s="41">
        <f t="shared" si="3"/>
        <v>0.5491420495241105</v>
      </c>
    </row>
    <row r="105" spans="1:27" ht="26.25">
      <c r="A105" s="2">
        <v>103</v>
      </c>
      <c r="B105" s="2">
        <v>2651870</v>
      </c>
      <c r="C105" s="2">
        <v>30503862550056</v>
      </c>
      <c r="D105" s="2" t="s">
        <v>45</v>
      </c>
      <c r="E105" s="2">
        <v>2120868</v>
      </c>
      <c r="F105" s="2">
        <v>942992277</v>
      </c>
      <c r="G105" s="3">
        <v>31476</v>
      </c>
      <c r="H105" s="2" t="s">
        <v>441</v>
      </c>
      <c r="I105" s="2" t="s">
        <v>442</v>
      </c>
      <c r="J105" s="2" t="s">
        <v>443</v>
      </c>
      <c r="K105" s="2" t="s">
        <v>26</v>
      </c>
      <c r="L105" s="2" t="s">
        <v>27</v>
      </c>
      <c r="M105" s="2">
        <v>5310603</v>
      </c>
      <c r="N105" s="2" t="s">
        <v>295</v>
      </c>
      <c r="O105" s="2" t="s">
        <v>99</v>
      </c>
      <c r="P105" s="2" t="s">
        <v>154</v>
      </c>
      <c r="Q105" s="2" t="s">
        <v>363</v>
      </c>
      <c r="R105" s="2" t="s">
        <v>53</v>
      </c>
      <c r="S105" s="2">
        <v>8</v>
      </c>
      <c r="T105" s="2" t="s">
        <v>33</v>
      </c>
      <c r="U105" s="2" t="s">
        <v>34</v>
      </c>
      <c r="V105" s="32">
        <v>102601760</v>
      </c>
      <c r="Y105" s="30">
        <f t="shared" si="2"/>
        <v>102601760</v>
      </c>
      <c r="Z105" s="41">
        <f t="shared" si="3"/>
        <v>0</v>
      </c>
    </row>
    <row r="106" spans="1:27">
      <c r="A106" s="2">
        <v>104</v>
      </c>
      <c r="B106" s="2">
        <v>3649099</v>
      </c>
      <c r="C106" s="2">
        <v>52512026770021</v>
      </c>
      <c r="D106" s="2" t="s">
        <v>22</v>
      </c>
      <c r="E106" s="2">
        <v>1543004</v>
      </c>
      <c r="F106" s="2">
        <v>978710154</v>
      </c>
      <c r="G106" s="3">
        <v>37615</v>
      </c>
      <c r="H106" s="2" t="s">
        <v>444</v>
      </c>
      <c r="I106" s="2" t="s">
        <v>445</v>
      </c>
      <c r="J106" s="2" t="s">
        <v>446</v>
      </c>
      <c r="K106" s="2" t="s">
        <v>26</v>
      </c>
      <c r="L106" s="2" t="s">
        <v>27</v>
      </c>
      <c r="M106" s="2">
        <v>5310606</v>
      </c>
      <c r="N106" s="2" t="s">
        <v>72</v>
      </c>
      <c r="O106" s="2" t="s">
        <v>154</v>
      </c>
      <c r="P106" s="2" t="s">
        <v>149</v>
      </c>
      <c r="Q106" s="4">
        <v>43922</v>
      </c>
      <c r="R106" s="2" t="s">
        <v>53</v>
      </c>
      <c r="S106" s="2">
        <v>8</v>
      </c>
      <c r="T106" s="2" t="s">
        <v>33</v>
      </c>
      <c r="U106" s="2" t="s">
        <v>34</v>
      </c>
      <c r="V106" s="32">
        <v>51300880</v>
      </c>
      <c r="Y106" s="30">
        <f t="shared" si="2"/>
        <v>51300880</v>
      </c>
      <c r="Z106" s="41">
        <f t="shared" si="3"/>
        <v>0</v>
      </c>
    </row>
    <row r="107" spans="1:27">
      <c r="A107" s="2">
        <v>105</v>
      </c>
      <c r="B107" s="2">
        <v>2424134</v>
      </c>
      <c r="C107" s="2">
        <v>32906940440034</v>
      </c>
      <c r="D107" s="2" t="s">
        <v>145</v>
      </c>
      <c r="E107" s="2">
        <v>2018413</v>
      </c>
      <c r="F107" s="2">
        <v>909004626</v>
      </c>
      <c r="G107" s="3">
        <v>34514</v>
      </c>
      <c r="H107" s="2" t="s">
        <v>447</v>
      </c>
      <c r="I107" s="2" t="s">
        <v>347</v>
      </c>
      <c r="J107" s="2" t="s">
        <v>448</v>
      </c>
      <c r="K107" s="2" t="s">
        <v>39</v>
      </c>
      <c r="L107" s="2" t="s">
        <v>27</v>
      </c>
      <c r="M107" s="2">
        <v>5340601</v>
      </c>
      <c r="N107" s="2" t="s">
        <v>110</v>
      </c>
      <c r="O107" s="2" t="s">
        <v>179</v>
      </c>
      <c r="P107" s="2">
        <v>84</v>
      </c>
      <c r="Q107" s="2" t="s">
        <v>133</v>
      </c>
      <c r="R107" s="2" t="s">
        <v>44</v>
      </c>
      <c r="S107" s="2">
        <v>8</v>
      </c>
      <c r="T107" s="2" t="s">
        <v>33</v>
      </c>
      <c r="U107" s="2" t="s">
        <v>34</v>
      </c>
      <c r="V107" s="32">
        <v>65759144</v>
      </c>
      <c r="Y107" s="30">
        <f t="shared" si="2"/>
        <v>65759144</v>
      </c>
      <c r="Z107" s="41">
        <f t="shared" si="3"/>
        <v>0</v>
      </c>
    </row>
    <row r="108" spans="1:27" ht="26.25">
      <c r="A108" s="2">
        <v>106</v>
      </c>
      <c r="B108" s="2">
        <v>1795068</v>
      </c>
      <c r="C108" s="2">
        <v>52104015680039</v>
      </c>
      <c r="D108" s="2" t="s">
        <v>45</v>
      </c>
      <c r="E108" s="2">
        <v>9843160</v>
      </c>
      <c r="F108" s="2">
        <v>990668045</v>
      </c>
      <c r="G108" s="3">
        <v>37002</v>
      </c>
      <c r="H108" s="2" t="s">
        <v>115</v>
      </c>
      <c r="I108" s="2" t="s">
        <v>449</v>
      </c>
      <c r="J108" s="2" t="s">
        <v>450</v>
      </c>
      <c r="K108" s="2" t="s">
        <v>39</v>
      </c>
      <c r="L108" s="2" t="s">
        <v>27</v>
      </c>
      <c r="M108" s="2">
        <v>5320102</v>
      </c>
      <c r="N108" s="2" t="s">
        <v>138</v>
      </c>
      <c r="O108" s="2" t="s">
        <v>139</v>
      </c>
      <c r="P108" s="2" t="s">
        <v>140</v>
      </c>
      <c r="Q108" s="4">
        <v>45778</v>
      </c>
      <c r="R108" s="2" t="s">
        <v>62</v>
      </c>
      <c r="S108" s="2">
        <v>8</v>
      </c>
      <c r="T108" s="2" t="s">
        <v>33</v>
      </c>
      <c r="U108" s="2" t="s">
        <v>34</v>
      </c>
      <c r="V108" s="32">
        <v>59781040</v>
      </c>
      <c r="Y108" s="30">
        <f t="shared" si="2"/>
        <v>59781040</v>
      </c>
      <c r="Z108" s="41">
        <f t="shared" si="3"/>
        <v>0</v>
      </c>
    </row>
    <row r="109" spans="1:27" ht="26.25">
      <c r="A109" s="2">
        <v>107</v>
      </c>
      <c r="B109" s="2">
        <v>3431587</v>
      </c>
      <c r="C109" s="2">
        <v>30211942930013</v>
      </c>
      <c r="D109" s="2" t="s">
        <v>145</v>
      </c>
      <c r="E109" s="2">
        <v>2172336</v>
      </c>
      <c r="F109" s="2">
        <v>994713857</v>
      </c>
      <c r="G109" s="3">
        <v>34640</v>
      </c>
      <c r="H109" s="2" t="s">
        <v>422</v>
      </c>
      <c r="I109" s="2" t="s">
        <v>451</v>
      </c>
      <c r="J109" s="2" t="s">
        <v>148</v>
      </c>
      <c r="K109" s="2" t="s">
        <v>39</v>
      </c>
      <c r="L109" s="2" t="s">
        <v>27</v>
      </c>
      <c r="M109" s="2">
        <v>5350701</v>
      </c>
      <c r="N109" s="2" t="s">
        <v>338</v>
      </c>
      <c r="O109" s="2" t="s">
        <v>350</v>
      </c>
      <c r="P109" s="2" t="s">
        <v>73</v>
      </c>
      <c r="Q109" s="5">
        <v>44471</v>
      </c>
      <c r="R109" s="2" t="s">
        <v>44</v>
      </c>
      <c r="S109" s="2">
        <v>8</v>
      </c>
      <c r="T109" s="2" t="s">
        <v>33</v>
      </c>
      <c r="U109" s="2" t="s">
        <v>34</v>
      </c>
      <c r="V109" s="29" t="s">
        <v>2893</v>
      </c>
      <c r="W109" s="21">
        <f>10274867+3700000+1300000</f>
        <v>15274867</v>
      </c>
      <c r="X109" s="10" t="s">
        <v>2919</v>
      </c>
      <c r="Y109" s="30">
        <f t="shared" si="2"/>
        <v>3219892.25</v>
      </c>
      <c r="Z109" s="41">
        <f t="shared" si="3"/>
        <v>0.82590245125791517</v>
      </c>
      <c r="AA109" s="42" t="s">
        <v>2798</v>
      </c>
    </row>
    <row r="110" spans="1:27">
      <c r="A110" s="2">
        <v>108</v>
      </c>
      <c r="B110" s="2">
        <v>1756947</v>
      </c>
      <c r="C110" s="2">
        <v>51411006090010</v>
      </c>
      <c r="D110" s="2" t="s">
        <v>45</v>
      </c>
      <c r="E110" s="2">
        <v>6296974</v>
      </c>
      <c r="F110" s="2">
        <v>912629272</v>
      </c>
      <c r="G110" s="3">
        <v>36844</v>
      </c>
      <c r="H110" s="2" t="s">
        <v>452</v>
      </c>
      <c r="I110" s="2" t="s">
        <v>453</v>
      </c>
      <c r="J110" s="2" t="s">
        <v>454</v>
      </c>
      <c r="K110" s="2" t="s">
        <v>26</v>
      </c>
      <c r="L110" s="2" t="s">
        <v>27</v>
      </c>
      <c r="M110" s="2">
        <v>5620101</v>
      </c>
      <c r="N110" s="2" t="s">
        <v>49</v>
      </c>
      <c r="O110" s="2" t="s">
        <v>455</v>
      </c>
      <c r="P110" s="2" t="s">
        <v>51</v>
      </c>
      <c r="Q110" s="2" t="s">
        <v>456</v>
      </c>
      <c r="R110" s="2" t="s">
        <v>53</v>
      </c>
      <c r="S110" s="2">
        <v>8</v>
      </c>
      <c r="T110" s="2" t="s">
        <v>33</v>
      </c>
      <c r="U110" s="2" t="s">
        <v>34</v>
      </c>
      <c r="V110" s="32">
        <v>113471040</v>
      </c>
      <c r="W110" s="20">
        <v>56735520</v>
      </c>
      <c r="X110" s="2" t="s">
        <v>2673</v>
      </c>
      <c r="Y110" s="30">
        <f t="shared" si="2"/>
        <v>56735520</v>
      </c>
      <c r="Z110" s="41">
        <f t="shared" si="3"/>
        <v>0.5</v>
      </c>
    </row>
    <row r="111" spans="1:27">
      <c r="A111" s="2">
        <v>109</v>
      </c>
      <c r="B111" s="2">
        <v>1426165</v>
      </c>
      <c r="C111" s="2">
        <v>32902923330060</v>
      </c>
      <c r="D111" s="2" t="s">
        <v>35</v>
      </c>
      <c r="E111" s="2">
        <v>625326</v>
      </c>
      <c r="F111" s="2">
        <v>998487378</v>
      </c>
      <c r="G111" s="3">
        <v>33663</v>
      </c>
      <c r="H111" s="2" t="s">
        <v>457</v>
      </c>
      <c r="I111" s="2" t="s">
        <v>458</v>
      </c>
      <c r="J111" s="2" t="s">
        <v>459</v>
      </c>
      <c r="K111" s="2" t="s">
        <v>39</v>
      </c>
      <c r="L111" s="2" t="s">
        <v>27</v>
      </c>
      <c r="M111" s="2">
        <v>5340601</v>
      </c>
      <c r="N111" s="2" t="s">
        <v>110</v>
      </c>
      <c r="O111" s="2" t="s">
        <v>155</v>
      </c>
      <c r="P111" s="2">
        <v>84</v>
      </c>
      <c r="Q111" s="4">
        <v>22251</v>
      </c>
      <c r="R111" s="2" t="s">
        <v>44</v>
      </c>
      <c r="S111" s="2">
        <v>8</v>
      </c>
      <c r="T111" s="2" t="s">
        <v>33</v>
      </c>
      <c r="U111" s="2" t="s">
        <v>34</v>
      </c>
      <c r="V111" s="32">
        <v>65759144</v>
      </c>
      <c r="Y111" s="30">
        <f t="shared" si="2"/>
        <v>65759144</v>
      </c>
      <c r="Z111" s="41">
        <f t="shared" si="3"/>
        <v>0</v>
      </c>
    </row>
    <row r="112" spans="1:27" ht="26.25">
      <c r="A112" s="2">
        <v>110</v>
      </c>
      <c r="B112" s="2">
        <v>1914308</v>
      </c>
      <c r="C112" s="2">
        <v>30308924170072</v>
      </c>
      <c r="D112" s="2" t="s">
        <v>145</v>
      </c>
      <c r="E112" s="2">
        <v>9610210</v>
      </c>
      <c r="F112" s="2">
        <v>941399911</v>
      </c>
      <c r="G112" s="3">
        <v>33819</v>
      </c>
      <c r="H112" s="2" t="s">
        <v>460</v>
      </c>
      <c r="I112" s="2" t="s">
        <v>461</v>
      </c>
      <c r="J112" s="2" t="s">
        <v>462</v>
      </c>
      <c r="K112" s="2" t="s">
        <v>39</v>
      </c>
      <c r="L112" s="2" t="s">
        <v>27</v>
      </c>
      <c r="M112" s="2">
        <v>5340606</v>
      </c>
      <c r="N112" s="2" t="s">
        <v>191</v>
      </c>
      <c r="O112" s="2" t="s">
        <v>140</v>
      </c>
      <c r="P112" s="2" t="s">
        <v>42</v>
      </c>
      <c r="Q112" s="4">
        <v>42064</v>
      </c>
      <c r="R112" s="2" t="s">
        <v>44</v>
      </c>
      <c r="S112" s="2">
        <v>8</v>
      </c>
      <c r="T112" s="2" t="s">
        <v>33</v>
      </c>
      <c r="U112" s="2" t="s">
        <v>34</v>
      </c>
      <c r="V112" s="29">
        <v>22193711.100000001</v>
      </c>
      <c r="W112" s="20">
        <v>12330000</v>
      </c>
      <c r="X112" s="2" t="s">
        <v>2673</v>
      </c>
      <c r="Y112" s="30">
        <f t="shared" si="2"/>
        <v>9863711.1000000015</v>
      </c>
      <c r="Z112" s="41">
        <f t="shared" si="3"/>
        <v>0.55556278733393083</v>
      </c>
      <c r="AA112" s="42" t="s">
        <v>2798</v>
      </c>
    </row>
    <row r="113" spans="1:27" ht="15.75">
      <c r="A113" s="2">
        <v>111</v>
      </c>
      <c r="B113" s="2">
        <v>3740180</v>
      </c>
      <c r="C113" s="2">
        <v>31206965670012</v>
      </c>
      <c r="D113" s="2" t="s">
        <v>145</v>
      </c>
      <c r="E113" s="2">
        <v>2845662</v>
      </c>
      <c r="F113" s="2">
        <v>972939612</v>
      </c>
      <c r="G113" s="3">
        <v>35228</v>
      </c>
      <c r="H113" s="2" t="s">
        <v>463</v>
      </c>
      <c r="I113" s="2" t="s">
        <v>464</v>
      </c>
      <c r="J113" s="2" t="s">
        <v>465</v>
      </c>
      <c r="K113" s="2" t="s">
        <v>39</v>
      </c>
      <c r="L113" s="2" t="s">
        <v>27</v>
      </c>
      <c r="M113" s="2">
        <v>5310606</v>
      </c>
      <c r="N113" s="2" t="s">
        <v>72</v>
      </c>
      <c r="O113" s="2" t="s">
        <v>42</v>
      </c>
      <c r="P113" s="2" t="s">
        <v>73</v>
      </c>
      <c r="Q113" s="5">
        <v>44317</v>
      </c>
      <c r="R113" s="2" t="s">
        <v>62</v>
      </c>
      <c r="S113" s="2">
        <v>8</v>
      </c>
      <c r="T113" s="2" t="s">
        <v>33</v>
      </c>
      <c r="U113" s="2" t="s">
        <v>34</v>
      </c>
      <c r="V113" s="29">
        <v>10088050.5</v>
      </c>
      <c r="W113" s="21">
        <f>5605000+5603945</f>
        <v>11208945</v>
      </c>
      <c r="X113" s="11" t="s">
        <v>2855</v>
      </c>
      <c r="Y113" s="30">
        <f t="shared" si="2"/>
        <v>-1120894.5</v>
      </c>
      <c r="Z113" s="41">
        <f t="shared" si="3"/>
        <v>1.1111111111111112</v>
      </c>
      <c r="AA113" s="42" t="s">
        <v>2798</v>
      </c>
    </row>
    <row r="114" spans="1:27">
      <c r="A114" s="2">
        <v>112</v>
      </c>
      <c r="B114" s="2">
        <v>2503469</v>
      </c>
      <c r="C114" s="2">
        <v>50207036450037</v>
      </c>
      <c r="D114" s="2" t="s">
        <v>22</v>
      </c>
      <c r="E114" s="2">
        <v>2718856</v>
      </c>
      <c r="F114" s="2">
        <v>900205001</v>
      </c>
      <c r="G114" s="3">
        <v>37804</v>
      </c>
      <c r="H114" s="2" t="s">
        <v>466</v>
      </c>
      <c r="I114" s="2" t="s">
        <v>467</v>
      </c>
      <c r="J114" s="2" t="s">
        <v>468</v>
      </c>
      <c r="K114" s="2" t="s">
        <v>26</v>
      </c>
      <c r="L114" s="2" t="s">
        <v>57</v>
      </c>
      <c r="M114" s="2">
        <v>5620400</v>
      </c>
      <c r="N114" s="2" t="s">
        <v>103</v>
      </c>
      <c r="O114" s="2" t="s">
        <v>469</v>
      </c>
      <c r="P114" s="2">
        <v>63</v>
      </c>
      <c r="Q114" s="2" t="s">
        <v>81</v>
      </c>
      <c r="R114" s="2" t="s">
        <v>53</v>
      </c>
      <c r="S114" s="2">
        <v>8</v>
      </c>
      <c r="T114" s="2" t="s">
        <v>33</v>
      </c>
      <c r="U114" s="2" t="s">
        <v>34</v>
      </c>
      <c r="V114" s="32">
        <v>92341584</v>
      </c>
      <c r="Y114" s="30">
        <f t="shared" si="2"/>
        <v>92341584</v>
      </c>
      <c r="Z114" s="41">
        <f t="shared" si="3"/>
        <v>0</v>
      </c>
    </row>
    <row r="115" spans="1:27" ht="39">
      <c r="A115" s="2">
        <v>113</v>
      </c>
      <c r="B115" s="2">
        <v>2182119</v>
      </c>
      <c r="C115" s="2">
        <v>52402016810025</v>
      </c>
      <c r="D115" s="2" t="s">
        <v>45</v>
      </c>
      <c r="E115" s="2">
        <v>6308172</v>
      </c>
      <c r="F115" s="2">
        <v>949386917</v>
      </c>
      <c r="G115" s="3">
        <v>36946</v>
      </c>
      <c r="H115" s="2" t="s">
        <v>180</v>
      </c>
      <c r="I115" s="2" t="s">
        <v>470</v>
      </c>
      <c r="J115" s="2" t="s">
        <v>471</v>
      </c>
      <c r="K115" s="2" t="s">
        <v>26</v>
      </c>
      <c r="L115" s="2" t="s">
        <v>27</v>
      </c>
      <c r="M115" s="2">
        <v>5310902</v>
      </c>
      <c r="N115" s="2" t="s">
        <v>206</v>
      </c>
      <c r="O115" s="2" t="s">
        <v>198</v>
      </c>
      <c r="P115" s="2" t="s">
        <v>149</v>
      </c>
      <c r="Q115" s="2" t="s">
        <v>43</v>
      </c>
      <c r="R115" s="2" t="s">
        <v>53</v>
      </c>
      <c r="S115" s="2">
        <v>8</v>
      </c>
      <c r="T115" s="2" t="s">
        <v>33</v>
      </c>
      <c r="U115" s="2" t="s">
        <v>34</v>
      </c>
      <c r="V115" s="32">
        <v>46170792</v>
      </c>
      <c r="W115" s="20">
        <v>23090000</v>
      </c>
      <c r="X115" s="2" t="s">
        <v>2687</v>
      </c>
      <c r="Y115" s="30">
        <f t="shared" si="2"/>
        <v>23080792</v>
      </c>
      <c r="Z115" s="41">
        <f t="shared" si="3"/>
        <v>0.5000997167213419</v>
      </c>
    </row>
    <row r="116" spans="1:27" ht="26.25">
      <c r="A116" s="2">
        <v>114</v>
      </c>
      <c r="B116" s="2">
        <v>3715222</v>
      </c>
      <c r="C116" s="2">
        <v>61907036860011</v>
      </c>
      <c r="D116" s="2" t="s">
        <v>22</v>
      </c>
      <c r="E116" s="2">
        <v>2262654</v>
      </c>
      <c r="F116" s="2">
        <v>978828685</v>
      </c>
      <c r="G116" s="3">
        <v>37821</v>
      </c>
      <c r="H116" s="2" t="s">
        <v>472</v>
      </c>
      <c r="I116" s="2" t="s">
        <v>473</v>
      </c>
      <c r="J116" s="2" t="s">
        <v>474</v>
      </c>
      <c r="K116" s="2" t="s">
        <v>26</v>
      </c>
      <c r="L116" s="2" t="s">
        <v>27</v>
      </c>
      <c r="M116" s="2">
        <v>5230903</v>
      </c>
      <c r="N116" s="2" t="s">
        <v>314</v>
      </c>
      <c r="O116" s="2" t="s">
        <v>79</v>
      </c>
      <c r="P116" s="2" t="s">
        <v>264</v>
      </c>
      <c r="Q116" s="2" t="s">
        <v>61</v>
      </c>
      <c r="R116" s="2" t="s">
        <v>134</v>
      </c>
      <c r="S116" s="2">
        <v>10</v>
      </c>
      <c r="T116" s="2" t="s">
        <v>33</v>
      </c>
      <c r="U116" s="2" t="s">
        <v>34</v>
      </c>
      <c r="V116" s="32">
        <v>91299300</v>
      </c>
      <c r="Y116" s="30">
        <f t="shared" si="2"/>
        <v>91299300</v>
      </c>
      <c r="Z116" s="41">
        <f t="shared" si="3"/>
        <v>0</v>
      </c>
    </row>
    <row r="117" spans="1:27">
      <c r="A117" s="2">
        <v>115</v>
      </c>
      <c r="B117" s="2">
        <v>3304470</v>
      </c>
      <c r="C117" s="2">
        <v>31709862720043</v>
      </c>
      <c r="D117" s="2" t="s">
        <v>145</v>
      </c>
      <c r="E117" s="2">
        <v>4206047</v>
      </c>
      <c r="F117" s="2">
        <v>906162010</v>
      </c>
      <c r="G117" s="3">
        <v>31672</v>
      </c>
      <c r="H117" s="2" t="s">
        <v>403</v>
      </c>
      <c r="I117" s="2" t="s">
        <v>475</v>
      </c>
      <c r="J117" s="2" t="s">
        <v>476</v>
      </c>
      <c r="K117" s="2" t="s">
        <v>39</v>
      </c>
      <c r="L117" s="2" t="s">
        <v>57</v>
      </c>
      <c r="M117" s="2">
        <v>5310202</v>
      </c>
      <c r="N117" s="2" t="s">
        <v>86</v>
      </c>
      <c r="O117" s="2" t="s">
        <v>296</v>
      </c>
      <c r="P117" s="2" t="s">
        <v>154</v>
      </c>
      <c r="Q117" s="4">
        <v>14824</v>
      </c>
      <c r="R117" s="2" t="s">
        <v>62</v>
      </c>
      <c r="S117" s="2">
        <v>8</v>
      </c>
      <c r="T117" s="2" t="s">
        <v>33</v>
      </c>
      <c r="U117" s="2" t="s">
        <v>34</v>
      </c>
      <c r="V117" s="32">
        <v>59781040</v>
      </c>
      <c r="Y117" s="30">
        <f t="shared" si="2"/>
        <v>59781040</v>
      </c>
      <c r="Z117" s="41">
        <f t="shared" si="3"/>
        <v>0</v>
      </c>
    </row>
    <row r="118" spans="1:27" ht="26.25">
      <c r="A118" s="2">
        <v>116</v>
      </c>
      <c r="B118" s="2">
        <v>2159646</v>
      </c>
      <c r="C118" s="2">
        <v>31903931930043</v>
      </c>
      <c r="D118" s="2" t="s">
        <v>145</v>
      </c>
      <c r="E118" s="2">
        <v>5634103</v>
      </c>
      <c r="F118" s="2">
        <v>976335575</v>
      </c>
      <c r="G118" s="3">
        <v>34047</v>
      </c>
      <c r="H118" s="2" t="s">
        <v>477</v>
      </c>
      <c r="I118" s="2" t="s">
        <v>478</v>
      </c>
      <c r="J118" s="2" t="s">
        <v>479</v>
      </c>
      <c r="K118" s="2" t="s">
        <v>39</v>
      </c>
      <c r="L118" s="2" t="s">
        <v>57</v>
      </c>
      <c r="M118" s="2">
        <v>5310701</v>
      </c>
      <c r="N118" s="2" t="s">
        <v>118</v>
      </c>
      <c r="O118" s="2" t="s">
        <v>225</v>
      </c>
      <c r="P118" s="2" t="s">
        <v>207</v>
      </c>
      <c r="Q118" s="4">
        <v>42064</v>
      </c>
      <c r="R118" s="2" t="s">
        <v>62</v>
      </c>
      <c r="S118" s="2">
        <v>8</v>
      </c>
      <c r="T118" s="2" t="s">
        <v>33</v>
      </c>
      <c r="U118" s="2" t="s">
        <v>34</v>
      </c>
      <c r="V118" s="32">
        <v>22417890</v>
      </c>
      <c r="W118" s="21">
        <v>11208945</v>
      </c>
      <c r="X118" s="11" t="s">
        <v>2647</v>
      </c>
      <c r="Y118" s="30">
        <f t="shared" si="2"/>
        <v>11208945</v>
      </c>
      <c r="Z118" s="41">
        <f t="shared" si="3"/>
        <v>0.5</v>
      </c>
    </row>
    <row r="119" spans="1:27" ht="26.25">
      <c r="A119" s="2">
        <v>117</v>
      </c>
      <c r="B119" s="2">
        <v>1579062</v>
      </c>
      <c r="C119" s="2">
        <v>32711965400011</v>
      </c>
      <c r="D119" s="2" t="s">
        <v>145</v>
      </c>
      <c r="E119" s="2">
        <v>4948522</v>
      </c>
      <c r="F119" s="2">
        <v>998209241</v>
      </c>
      <c r="G119" s="3">
        <v>35396</v>
      </c>
      <c r="H119" s="2" t="s">
        <v>480</v>
      </c>
      <c r="I119" s="2" t="s">
        <v>464</v>
      </c>
      <c r="J119" s="2" t="s">
        <v>481</v>
      </c>
      <c r="K119" s="2" t="s">
        <v>39</v>
      </c>
      <c r="L119" s="2" t="s">
        <v>27</v>
      </c>
      <c r="M119" s="2">
        <v>5320102</v>
      </c>
      <c r="N119" s="2" t="s">
        <v>138</v>
      </c>
      <c r="O119" s="2" t="s">
        <v>194</v>
      </c>
      <c r="P119" s="2" t="s">
        <v>140</v>
      </c>
      <c r="Q119" s="5">
        <v>44471</v>
      </c>
      <c r="R119" s="2" t="s">
        <v>62</v>
      </c>
      <c r="S119" s="2">
        <v>8</v>
      </c>
      <c r="T119" s="2" t="s">
        <v>33</v>
      </c>
      <c r="U119" s="2" t="s">
        <v>34</v>
      </c>
      <c r="V119" s="29" t="s">
        <v>2792</v>
      </c>
      <c r="W119" s="21">
        <f>9341000+1000000</f>
        <v>10341000</v>
      </c>
      <c r="X119" s="10" t="s">
        <v>2643</v>
      </c>
      <c r="Y119" s="30">
        <f t="shared" si="2"/>
        <v>6472417.5</v>
      </c>
      <c r="Z119" s="41">
        <f t="shared" si="3"/>
        <v>0.61504450240410669</v>
      </c>
      <c r="AA119" s="42" t="s">
        <v>2798</v>
      </c>
    </row>
    <row r="120" spans="1:27" ht="26.25">
      <c r="A120" s="2">
        <v>118</v>
      </c>
      <c r="B120" s="2">
        <v>2129654</v>
      </c>
      <c r="C120" s="2">
        <v>52103026270042</v>
      </c>
      <c r="D120" s="2" t="s">
        <v>22</v>
      </c>
      <c r="E120" s="2">
        <v>1912169</v>
      </c>
      <c r="F120" s="2">
        <v>991044421</v>
      </c>
      <c r="G120" s="3">
        <v>37336</v>
      </c>
      <c r="H120" s="2" t="s">
        <v>115</v>
      </c>
      <c r="I120" s="2" t="s">
        <v>482</v>
      </c>
      <c r="J120" s="2" t="s">
        <v>483</v>
      </c>
      <c r="K120" s="2" t="s">
        <v>26</v>
      </c>
      <c r="L120" s="2" t="s">
        <v>27</v>
      </c>
      <c r="M120" s="2">
        <v>5620701</v>
      </c>
      <c r="N120" s="2" t="s">
        <v>218</v>
      </c>
      <c r="O120" s="2" t="s">
        <v>60</v>
      </c>
      <c r="P120" s="2" t="s">
        <v>224</v>
      </c>
      <c r="Q120" s="2" t="s">
        <v>484</v>
      </c>
      <c r="R120" s="2" t="s">
        <v>53</v>
      </c>
      <c r="S120" s="2">
        <v>8</v>
      </c>
      <c r="T120" s="2" t="s">
        <v>33</v>
      </c>
      <c r="U120" s="2" t="s">
        <v>34</v>
      </c>
      <c r="V120" s="32">
        <v>51300880</v>
      </c>
      <c r="Y120" s="30">
        <f t="shared" si="2"/>
        <v>51300880</v>
      </c>
      <c r="Z120" s="41">
        <f t="shared" si="3"/>
        <v>0</v>
      </c>
    </row>
    <row r="121" spans="1:27" ht="26.25">
      <c r="A121" s="2">
        <v>119</v>
      </c>
      <c r="B121" s="2">
        <v>1239287</v>
      </c>
      <c r="C121" s="2">
        <v>31108975470036</v>
      </c>
      <c r="D121" s="2" t="s">
        <v>45</v>
      </c>
      <c r="E121" s="2">
        <v>534284</v>
      </c>
      <c r="F121" s="2">
        <v>993385897</v>
      </c>
      <c r="G121" s="3">
        <v>35653</v>
      </c>
      <c r="H121" s="2" t="s">
        <v>485</v>
      </c>
      <c r="I121" s="2" t="s">
        <v>172</v>
      </c>
      <c r="J121" s="2" t="s">
        <v>486</v>
      </c>
      <c r="K121" s="2" t="s">
        <v>39</v>
      </c>
      <c r="L121" s="2" t="s">
        <v>27</v>
      </c>
      <c r="M121" s="2">
        <v>5330202</v>
      </c>
      <c r="N121" s="2" t="s">
        <v>164</v>
      </c>
      <c r="O121" s="2" t="s">
        <v>122</v>
      </c>
      <c r="P121" s="2" t="s">
        <v>123</v>
      </c>
      <c r="Q121" s="2" t="s">
        <v>124</v>
      </c>
      <c r="R121" s="2" t="s">
        <v>44</v>
      </c>
      <c r="S121" s="2">
        <v>10</v>
      </c>
      <c r="T121" s="2" t="s">
        <v>33</v>
      </c>
      <c r="U121" s="2" t="s">
        <v>34</v>
      </c>
      <c r="V121" s="32">
        <v>82198930</v>
      </c>
      <c r="Y121" s="30">
        <f t="shared" si="2"/>
        <v>82198930</v>
      </c>
      <c r="Z121" s="41">
        <f t="shared" si="3"/>
        <v>0</v>
      </c>
    </row>
    <row r="122" spans="1:27" ht="39">
      <c r="A122" s="2">
        <v>120</v>
      </c>
      <c r="B122" s="2">
        <v>3733387</v>
      </c>
      <c r="C122" s="2">
        <v>52807036070039</v>
      </c>
      <c r="D122" s="2" t="s">
        <v>22</v>
      </c>
      <c r="E122" s="2">
        <v>2126290</v>
      </c>
      <c r="F122" s="2">
        <v>979107817</v>
      </c>
      <c r="G122" s="3">
        <v>37830</v>
      </c>
      <c r="H122" s="2" t="s">
        <v>487</v>
      </c>
      <c r="I122" s="2" t="s">
        <v>488</v>
      </c>
      <c r="J122" s="2" t="s">
        <v>489</v>
      </c>
      <c r="K122" s="2" t="s">
        <v>26</v>
      </c>
      <c r="L122" s="2" t="s">
        <v>27</v>
      </c>
      <c r="M122" s="2">
        <v>5311003</v>
      </c>
      <c r="N122" s="2" t="s">
        <v>144</v>
      </c>
      <c r="O122" s="2" t="s">
        <v>198</v>
      </c>
      <c r="P122" s="2" t="s">
        <v>490</v>
      </c>
      <c r="Q122" s="2" t="s">
        <v>391</v>
      </c>
      <c r="R122" s="2" t="s">
        <v>53</v>
      </c>
      <c r="S122" s="2">
        <v>8</v>
      </c>
      <c r="T122" s="2" t="s">
        <v>33</v>
      </c>
      <c r="U122" s="2" t="s">
        <v>34</v>
      </c>
      <c r="V122" s="32">
        <v>46170792</v>
      </c>
      <c r="W122" s="21">
        <f>23090000+23081000</f>
        <v>46171000</v>
      </c>
      <c r="X122" s="10" t="s">
        <v>2843</v>
      </c>
      <c r="Y122" s="30">
        <f t="shared" si="2"/>
        <v>-208</v>
      </c>
      <c r="Z122" s="41">
        <f t="shared" si="3"/>
        <v>1.0000045050126063</v>
      </c>
    </row>
    <row r="123" spans="1:27" ht="15.75">
      <c r="A123" s="2">
        <v>121</v>
      </c>
      <c r="B123" s="2">
        <v>1174572</v>
      </c>
      <c r="C123" s="2">
        <v>32605996930015</v>
      </c>
      <c r="D123" s="2" t="s">
        <v>145</v>
      </c>
      <c r="E123" s="2">
        <v>9988902</v>
      </c>
      <c r="F123" s="2">
        <v>999152343</v>
      </c>
      <c r="G123" s="3">
        <v>36306</v>
      </c>
      <c r="H123" s="2" t="s">
        <v>460</v>
      </c>
      <c r="I123" s="2" t="s">
        <v>491</v>
      </c>
      <c r="J123" s="2" t="s">
        <v>77</v>
      </c>
      <c r="K123" s="2" t="s">
        <v>39</v>
      </c>
      <c r="L123" s="2" t="s">
        <v>57</v>
      </c>
      <c r="M123" s="2">
        <v>5620400</v>
      </c>
      <c r="N123" s="2" t="s">
        <v>103</v>
      </c>
      <c r="O123" s="2" t="s">
        <v>207</v>
      </c>
      <c r="P123" s="2" t="s">
        <v>139</v>
      </c>
      <c r="Q123" s="5">
        <v>44317</v>
      </c>
      <c r="R123" s="2" t="s">
        <v>62</v>
      </c>
      <c r="S123" s="2">
        <v>8</v>
      </c>
      <c r="T123" s="2" t="s">
        <v>33</v>
      </c>
      <c r="U123" s="2" t="s">
        <v>34</v>
      </c>
      <c r="V123" s="32">
        <v>11208945</v>
      </c>
      <c r="W123" s="22">
        <f>5605000+2000000</f>
        <v>7605000</v>
      </c>
      <c r="X123" s="16" t="s">
        <v>2904</v>
      </c>
      <c r="Y123" s="30">
        <f t="shared" si="2"/>
        <v>3603945</v>
      </c>
      <c r="Z123" s="41">
        <f t="shared" si="3"/>
        <v>0.67847598502802897</v>
      </c>
    </row>
    <row r="124" spans="1:27">
      <c r="A124" s="2">
        <v>122</v>
      </c>
      <c r="B124" s="2">
        <v>3259398</v>
      </c>
      <c r="C124" s="2">
        <v>50306036880016</v>
      </c>
      <c r="D124" s="2" t="s">
        <v>22</v>
      </c>
      <c r="E124" s="2">
        <v>2025050</v>
      </c>
      <c r="F124" s="2">
        <v>901337222</v>
      </c>
      <c r="G124" s="3">
        <v>37775</v>
      </c>
      <c r="H124" s="2" t="s">
        <v>492</v>
      </c>
      <c r="I124" s="2" t="s">
        <v>451</v>
      </c>
      <c r="J124" s="2" t="s">
        <v>493</v>
      </c>
      <c r="K124" s="2" t="s">
        <v>26</v>
      </c>
      <c r="L124" s="2" t="s">
        <v>27</v>
      </c>
      <c r="M124" s="2">
        <v>5240109</v>
      </c>
      <c r="N124" s="2" t="s">
        <v>28</v>
      </c>
      <c r="O124" s="2" t="s">
        <v>123</v>
      </c>
      <c r="P124" s="2" t="s">
        <v>30</v>
      </c>
      <c r="Q124" s="2" t="s">
        <v>139</v>
      </c>
      <c r="R124" s="2" t="s">
        <v>32</v>
      </c>
      <c r="S124" s="2">
        <v>25</v>
      </c>
      <c r="T124" s="2" t="s">
        <v>33</v>
      </c>
      <c r="U124" s="2" t="s">
        <v>34</v>
      </c>
      <c r="V124" s="32">
        <v>245231500</v>
      </c>
      <c r="Y124" s="30">
        <f t="shared" si="2"/>
        <v>245231500</v>
      </c>
      <c r="Z124" s="41">
        <f t="shared" si="3"/>
        <v>0</v>
      </c>
    </row>
    <row r="125" spans="1:27" ht="26.25">
      <c r="A125" s="2">
        <v>123</v>
      </c>
      <c r="B125" s="2">
        <v>2034366</v>
      </c>
      <c r="C125" s="2">
        <v>31404891000066</v>
      </c>
      <c r="D125" s="2" t="s">
        <v>45</v>
      </c>
      <c r="E125" s="2">
        <v>7545040</v>
      </c>
      <c r="F125" s="2">
        <v>994130013</v>
      </c>
      <c r="G125" s="3">
        <v>32612</v>
      </c>
      <c r="H125" s="2" t="s">
        <v>494</v>
      </c>
      <c r="I125" s="2" t="s">
        <v>168</v>
      </c>
      <c r="J125" s="2" t="s">
        <v>495</v>
      </c>
      <c r="K125" s="2" t="s">
        <v>39</v>
      </c>
      <c r="L125" s="2" t="s">
        <v>27</v>
      </c>
      <c r="M125" s="2">
        <v>5340604</v>
      </c>
      <c r="N125" s="2" t="s">
        <v>354</v>
      </c>
      <c r="O125" s="2" t="s">
        <v>179</v>
      </c>
      <c r="P125" s="2" t="s">
        <v>42</v>
      </c>
      <c r="Q125" s="2" t="s">
        <v>363</v>
      </c>
      <c r="R125" s="2" t="s">
        <v>44</v>
      </c>
      <c r="S125" s="2">
        <v>8</v>
      </c>
      <c r="T125" s="2" t="s">
        <v>33</v>
      </c>
      <c r="U125" s="2" t="s">
        <v>34</v>
      </c>
      <c r="V125" s="29" t="s">
        <v>2722</v>
      </c>
      <c r="W125" s="21">
        <v>33000000</v>
      </c>
      <c r="X125" s="10" t="s">
        <v>2632</v>
      </c>
      <c r="Y125" s="30">
        <f t="shared" si="2"/>
        <v>26183229.600000001</v>
      </c>
      <c r="Z125" s="41">
        <f t="shared" si="3"/>
        <v>0.55759038874755829</v>
      </c>
    </row>
    <row r="126" spans="1:27" ht="51.75">
      <c r="A126" s="2">
        <v>124</v>
      </c>
      <c r="B126" s="2">
        <v>3235896</v>
      </c>
      <c r="C126" s="2">
        <v>52107036690025</v>
      </c>
      <c r="D126" s="2" t="s">
        <v>22</v>
      </c>
      <c r="E126" s="2">
        <v>2088648</v>
      </c>
      <c r="F126" s="2">
        <v>998798253</v>
      </c>
      <c r="G126" s="3">
        <v>37823</v>
      </c>
      <c r="H126" s="2" t="s">
        <v>496</v>
      </c>
      <c r="I126" s="2" t="s">
        <v>497</v>
      </c>
      <c r="J126" s="2" t="s">
        <v>498</v>
      </c>
      <c r="K126" s="2" t="s">
        <v>39</v>
      </c>
      <c r="L126" s="2" t="s">
        <v>27</v>
      </c>
      <c r="M126" s="2">
        <v>5340202</v>
      </c>
      <c r="N126" s="2" t="s">
        <v>499</v>
      </c>
      <c r="O126" s="2" t="s">
        <v>149</v>
      </c>
      <c r="P126" s="2" t="s">
        <v>490</v>
      </c>
      <c r="Q126" s="2" t="s">
        <v>500</v>
      </c>
      <c r="R126" s="2" t="s">
        <v>44</v>
      </c>
      <c r="S126" s="2">
        <v>8</v>
      </c>
      <c r="T126" s="2" t="s">
        <v>33</v>
      </c>
      <c r="U126" s="2" t="s">
        <v>34</v>
      </c>
      <c r="V126" s="29" t="s">
        <v>2722</v>
      </c>
      <c r="W126" s="20">
        <f>30000000+7000000+7000000+2500000</f>
        <v>46500000</v>
      </c>
      <c r="X126" s="2" t="s">
        <v>2870</v>
      </c>
      <c r="Y126" s="30">
        <f t="shared" si="2"/>
        <v>12683229.600000001</v>
      </c>
      <c r="Z126" s="41">
        <f t="shared" si="3"/>
        <v>0.78569554778065032</v>
      </c>
      <c r="AA126" s="42" t="s">
        <v>2798</v>
      </c>
    </row>
    <row r="127" spans="1:27" ht="15.75">
      <c r="A127" s="2">
        <v>125</v>
      </c>
      <c r="B127" s="2">
        <v>1794287</v>
      </c>
      <c r="C127" s="2">
        <v>31212931010078</v>
      </c>
      <c r="D127" s="2" t="s">
        <v>145</v>
      </c>
      <c r="E127" s="2">
        <v>2293790</v>
      </c>
      <c r="F127" s="2">
        <v>930717255</v>
      </c>
      <c r="G127" s="3">
        <v>34315</v>
      </c>
      <c r="H127" s="2" t="s">
        <v>501</v>
      </c>
      <c r="I127" s="2" t="s">
        <v>502</v>
      </c>
      <c r="J127" s="2" t="s">
        <v>503</v>
      </c>
      <c r="K127" s="2" t="s">
        <v>39</v>
      </c>
      <c r="L127" s="2" t="s">
        <v>27</v>
      </c>
      <c r="M127" s="2">
        <v>5310606</v>
      </c>
      <c r="N127" s="2" t="s">
        <v>72</v>
      </c>
      <c r="O127" s="2" t="s">
        <v>88</v>
      </c>
      <c r="P127" s="2" t="s">
        <v>73</v>
      </c>
      <c r="Q127" s="2" t="s">
        <v>277</v>
      </c>
      <c r="R127" s="2" t="s">
        <v>62</v>
      </c>
      <c r="S127" s="2">
        <v>8</v>
      </c>
      <c r="T127" s="2" t="s">
        <v>33</v>
      </c>
      <c r="U127" s="2" t="s">
        <v>34</v>
      </c>
      <c r="V127" s="29" t="s">
        <v>2748</v>
      </c>
      <c r="W127" s="21">
        <v>30000000</v>
      </c>
      <c r="X127" s="10" t="s">
        <v>2624</v>
      </c>
      <c r="Y127" s="30">
        <f t="shared" si="2"/>
        <v>23802936</v>
      </c>
      <c r="Z127" s="41">
        <f t="shared" si="3"/>
        <v>0.55759038874755829</v>
      </c>
      <c r="AA127" s="42" t="s">
        <v>2798</v>
      </c>
    </row>
    <row r="128" spans="1:27" ht="15.75">
      <c r="A128" s="2">
        <v>126</v>
      </c>
      <c r="B128" s="2">
        <v>2825108</v>
      </c>
      <c r="C128" s="2">
        <v>51704026860023</v>
      </c>
      <c r="D128" s="2" t="s">
        <v>45</v>
      </c>
      <c r="E128" s="2">
        <v>9386029</v>
      </c>
      <c r="F128" s="2">
        <v>975994717</v>
      </c>
      <c r="G128" s="3">
        <v>37363</v>
      </c>
      <c r="H128" s="2" t="s">
        <v>504</v>
      </c>
      <c r="I128" s="2" t="s">
        <v>505</v>
      </c>
      <c r="J128" s="2" t="s">
        <v>25</v>
      </c>
      <c r="K128" s="2" t="s">
        <v>39</v>
      </c>
      <c r="L128" s="2" t="s">
        <v>57</v>
      </c>
      <c r="M128" s="2">
        <v>5310202</v>
      </c>
      <c r="N128" s="2" t="s">
        <v>86</v>
      </c>
      <c r="O128" s="2" t="s">
        <v>104</v>
      </c>
      <c r="P128" s="2" t="s">
        <v>154</v>
      </c>
      <c r="Q128" s="5">
        <v>44317</v>
      </c>
      <c r="R128" s="2" t="s">
        <v>62</v>
      </c>
      <c r="S128" s="2">
        <v>8</v>
      </c>
      <c r="T128" s="2" t="s">
        <v>33</v>
      </c>
      <c r="U128" s="2" t="s">
        <v>34</v>
      </c>
      <c r="V128" s="32">
        <v>11208945</v>
      </c>
      <c r="W128" s="20">
        <f>5614000+5600000</f>
        <v>11214000</v>
      </c>
      <c r="X128" s="16" t="s">
        <v>2902</v>
      </c>
      <c r="Y128" s="30">
        <f t="shared" si="2"/>
        <v>-5055</v>
      </c>
      <c r="Z128" s="41">
        <f t="shared" si="3"/>
        <v>1.0004509791064191</v>
      </c>
    </row>
    <row r="129" spans="1:26" ht="26.25">
      <c r="A129" s="2">
        <v>127</v>
      </c>
      <c r="B129" s="2">
        <v>2338773</v>
      </c>
      <c r="C129" s="2">
        <v>51902016070052</v>
      </c>
      <c r="D129" s="2" t="s">
        <v>45</v>
      </c>
      <c r="E129" s="2">
        <v>6386471</v>
      </c>
      <c r="F129" s="2">
        <v>939880683</v>
      </c>
      <c r="G129" s="3">
        <v>36941</v>
      </c>
      <c r="H129" s="2" t="s">
        <v>485</v>
      </c>
      <c r="I129" s="2" t="s">
        <v>506</v>
      </c>
      <c r="J129" s="2" t="s">
        <v>507</v>
      </c>
      <c r="K129" s="2" t="s">
        <v>39</v>
      </c>
      <c r="L129" s="2" t="s">
        <v>27</v>
      </c>
      <c r="M129" s="2">
        <v>5310605</v>
      </c>
      <c r="N129" s="2" t="s">
        <v>97</v>
      </c>
      <c r="O129" s="2" t="s">
        <v>68</v>
      </c>
      <c r="P129" s="2" t="s">
        <v>79</v>
      </c>
      <c r="Q129" s="5">
        <v>44317</v>
      </c>
      <c r="R129" s="2" t="s">
        <v>62</v>
      </c>
      <c r="S129" s="2">
        <v>8</v>
      </c>
      <c r="T129" s="2" t="s">
        <v>508</v>
      </c>
      <c r="U129" s="2" t="s">
        <v>34</v>
      </c>
      <c r="V129" s="32">
        <v>11208945</v>
      </c>
      <c r="Y129" s="30">
        <f t="shared" si="2"/>
        <v>11208945</v>
      </c>
      <c r="Z129" s="41">
        <f t="shared" si="3"/>
        <v>0</v>
      </c>
    </row>
    <row r="130" spans="1:26" ht="26.25">
      <c r="A130" s="2">
        <v>128</v>
      </c>
      <c r="B130" s="2">
        <v>1261617</v>
      </c>
      <c r="C130" s="2">
        <v>30708996780012</v>
      </c>
      <c r="D130" s="2" t="s">
        <v>45</v>
      </c>
      <c r="E130" s="2">
        <v>792059</v>
      </c>
      <c r="F130" s="2">
        <v>998319570</v>
      </c>
      <c r="G130" s="3">
        <v>36379</v>
      </c>
      <c r="H130" s="2" t="s">
        <v>509</v>
      </c>
      <c r="I130" s="2" t="s">
        <v>510</v>
      </c>
      <c r="J130" s="2" t="s">
        <v>511</v>
      </c>
      <c r="K130" s="2" t="s">
        <v>39</v>
      </c>
      <c r="L130" s="2" t="s">
        <v>27</v>
      </c>
      <c r="M130" s="2">
        <v>5320102</v>
      </c>
      <c r="N130" s="2" t="s">
        <v>138</v>
      </c>
      <c r="O130" s="2" t="s">
        <v>149</v>
      </c>
      <c r="P130" s="2" t="s">
        <v>140</v>
      </c>
      <c r="Q130" s="4">
        <v>42064</v>
      </c>
      <c r="R130" s="2" t="s">
        <v>62</v>
      </c>
      <c r="S130" s="2">
        <v>8</v>
      </c>
      <c r="T130" s="2" t="s">
        <v>33</v>
      </c>
      <c r="U130" s="2" t="s">
        <v>34</v>
      </c>
      <c r="V130" s="32">
        <v>22417890</v>
      </c>
      <c r="W130" s="21">
        <f>11208945+8967156</f>
        <v>20176101</v>
      </c>
      <c r="X130" s="12" t="s">
        <v>2859</v>
      </c>
      <c r="Y130" s="30">
        <f t="shared" si="2"/>
        <v>2241789</v>
      </c>
      <c r="Z130" s="41">
        <f t="shared" si="3"/>
        <v>0.9</v>
      </c>
    </row>
    <row r="131" spans="1:26" ht="26.25">
      <c r="A131" s="2">
        <v>129</v>
      </c>
      <c r="B131" s="2">
        <v>1753613</v>
      </c>
      <c r="C131" s="2">
        <v>31304930420076</v>
      </c>
      <c r="D131" s="2" t="s">
        <v>145</v>
      </c>
      <c r="E131" s="2">
        <v>676163</v>
      </c>
      <c r="F131" s="2">
        <v>937011107</v>
      </c>
      <c r="G131" s="3">
        <v>34072</v>
      </c>
      <c r="H131" s="2" t="s">
        <v>512</v>
      </c>
      <c r="I131" s="2" t="s">
        <v>513</v>
      </c>
      <c r="J131" s="2" t="s">
        <v>514</v>
      </c>
      <c r="K131" s="2" t="s">
        <v>39</v>
      </c>
      <c r="L131" s="2" t="s">
        <v>57</v>
      </c>
      <c r="M131" s="2">
        <v>5310605</v>
      </c>
      <c r="N131" s="2" t="s">
        <v>97</v>
      </c>
      <c r="O131" s="2">
        <v>63</v>
      </c>
      <c r="P131" s="2" t="s">
        <v>154</v>
      </c>
      <c r="Q131" s="4">
        <v>45778</v>
      </c>
      <c r="R131" s="2" t="s">
        <v>62</v>
      </c>
      <c r="S131" s="2">
        <v>8</v>
      </c>
      <c r="T131" s="2" t="s">
        <v>33</v>
      </c>
      <c r="U131" s="2" t="s">
        <v>34</v>
      </c>
      <c r="V131" s="32">
        <v>53802936</v>
      </c>
      <c r="W131" s="21">
        <f>29890520+23913000</f>
        <v>53803520</v>
      </c>
      <c r="X131" s="11" t="s">
        <v>2847</v>
      </c>
      <c r="Y131" s="30">
        <f t="shared" si="2"/>
        <v>-584</v>
      </c>
      <c r="Z131" s="41">
        <f t="shared" si="3"/>
        <v>1.0000108544262343</v>
      </c>
    </row>
    <row r="132" spans="1:26" ht="26.25">
      <c r="A132" s="2">
        <v>130</v>
      </c>
      <c r="B132" s="2">
        <v>2388084</v>
      </c>
      <c r="C132" s="2">
        <v>50903016830014</v>
      </c>
      <c r="D132" s="2" t="s">
        <v>45</v>
      </c>
      <c r="E132" s="2">
        <v>6185047</v>
      </c>
      <c r="F132" s="2">
        <v>993960021</v>
      </c>
      <c r="G132" s="3">
        <v>36959</v>
      </c>
      <c r="H132" s="2" t="s">
        <v>460</v>
      </c>
      <c r="I132" s="2" t="s">
        <v>515</v>
      </c>
      <c r="J132" s="2" t="s">
        <v>148</v>
      </c>
      <c r="K132" s="2" t="s">
        <v>39</v>
      </c>
      <c r="L132" s="2" t="s">
        <v>27</v>
      </c>
      <c r="M132" s="2">
        <v>5310605</v>
      </c>
      <c r="N132" s="2" t="s">
        <v>97</v>
      </c>
      <c r="O132" s="2">
        <v>63</v>
      </c>
      <c r="P132" s="2" t="s">
        <v>79</v>
      </c>
      <c r="Q132" s="5">
        <v>44492</v>
      </c>
      <c r="R132" s="2" t="s">
        <v>62</v>
      </c>
      <c r="S132" s="2">
        <v>8</v>
      </c>
      <c r="T132" s="2" t="s">
        <v>33</v>
      </c>
      <c r="U132" s="2" t="s">
        <v>34</v>
      </c>
      <c r="V132" s="32">
        <v>59781040</v>
      </c>
      <c r="W132" s="20">
        <v>30000000</v>
      </c>
      <c r="X132" s="17" t="s">
        <v>2640</v>
      </c>
      <c r="Y132" s="30">
        <f t="shared" ref="Y132:Y195" si="4">V132-W132</f>
        <v>29781040</v>
      </c>
      <c r="Z132" s="41">
        <f t="shared" ref="Z132:Z195" si="5">W132/V132</f>
        <v>0.50183134987280253</v>
      </c>
    </row>
    <row r="133" spans="1:26" ht="26.25">
      <c r="A133" s="2">
        <v>131</v>
      </c>
      <c r="B133" s="2">
        <v>3347132</v>
      </c>
      <c r="C133" s="2">
        <v>30905986320144</v>
      </c>
      <c r="D133" s="2" t="s">
        <v>45</v>
      </c>
      <c r="E133" s="2">
        <v>5375032</v>
      </c>
      <c r="F133" s="2">
        <v>900719809</v>
      </c>
      <c r="G133" s="3">
        <v>35924</v>
      </c>
      <c r="H133" s="2" t="s">
        <v>516</v>
      </c>
      <c r="I133" s="2" t="s">
        <v>517</v>
      </c>
      <c r="J133" s="2" t="s">
        <v>244</v>
      </c>
      <c r="K133" s="2" t="s">
        <v>26</v>
      </c>
      <c r="L133" s="2" t="s">
        <v>27</v>
      </c>
      <c r="M133" s="2">
        <v>5310602</v>
      </c>
      <c r="N133" s="2" t="s">
        <v>518</v>
      </c>
      <c r="O133" s="2" t="s">
        <v>87</v>
      </c>
      <c r="P133" s="2" t="s">
        <v>88</v>
      </c>
      <c r="Q133" s="4">
        <v>42064</v>
      </c>
      <c r="R133" s="2" t="s">
        <v>53</v>
      </c>
      <c r="S133" s="2">
        <v>8</v>
      </c>
      <c r="T133" s="2" t="s">
        <v>33</v>
      </c>
      <c r="U133" s="2" t="s">
        <v>34</v>
      </c>
      <c r="V133" s="32">
        <v>17314047</v>
      </c>
      <c r="W133" s="24">
        <v>10600000</v>
      </c>
      <c r="X133" s="14" t="s">
        <v>2640</v>
      </c>
      <c r="Y133" s="30">
        <f t="shared" si="4"/>
        <v>6714047</v>
      </c>
      <c r="Z133" s="41">
        <f t="shared" si="5"/>
        <v>0.61221966187339105</v>
      </c>
    </row>
    <row r="134" spans="1:26" ht="15.75">
      <c r="A134" s="2">
        <v>132</v>
      </c>
      <c r="B134" s="2">
        <v>3321757</v>
      </c>
      <c r="C134" s="2">
        <v>30110961810015</v>
      </c>
      <c r="D134" s="2" t="s">
        <v>45</v>
      </c>
      <c r="E134" s="2">
        <v>3721252</v>
      </c>
      <c r="F134" s="2">
        <v>937099094</v>
      </c>
      <c r="G134" s="3">
        <v>35339</v>
      </c>
      <c r="H134" s="2" t="s">
        <v>519</v>
      </c>
      <c r="I134" s="2" t="s">
        <v>520</v>
      </c>
      <c r="J134" s="2" t="s">
        <v>521</v>
      </c>
      <c r="K134" s="2" t="s">
        <v>39</v>
      </c>
      <c r="L134" s="2" t="s">
        <v>27</v>
      </c>
      <c r="M134" s="2">
        <v>5314000</v>
      </c>
      <c r="N134" s="2" t="s">
        <v>522</v>
      </c>
      <c r="O134" s="2" t="s">
        <v>225</v>
      </c>
      <c r="P134" s="2" t="s">
        <v>523</v>
      </c>
      <c r="Q134" s="2" t="s">
        <v>524</v>
      </c>
      <c r="R134" s="2" t="s">
        <v>62</v>
      </c>
      <c r="S134" s="2">
        <v>8</v>
      </c>
      <c r="T134" s="2" t="s">
        <v>33</v>
      </c>
      <c r="U134" s="2" t="s">
        <v>34</v>
      </c>
      <c r="V134" s="29">
        <v>53802936</v>
      </c>
      <c r="W134" s="20">
        <v>30200000</v>
      </c>
      <c r="X134" s="17" t="s">
        <v>2663</v>
      </c>
      <c r="Y134" s="30">
        <f t="shared" si="4"/>
        <v>23602936</v>
      </c>
      <c r="Z134" s="41">
        <f t="shared" si="5"/>
        <v>0.56130765800587534</v>
      </c>
    </row>
    <row r="135" spans="1:26" ht="26.25">
      <c r="A135" s="2">
        <v>133</v>
      </c>
      <c r="B135" s="2">
        <v>3633892</v>
      </c>
      <c r="C135" s="2">
        <v>50106046590015</v>
      </c>
      <c r="D135" s="2" t="s">
        <v>22</v>
      </c>
      <c r="E135" s="2">
        <v>2967213</v>
      </c>
      <c r="F135" s="2">
        <v>909200762</v>
      </c>
      <c r="G135" s="3">
        <v>38139</v>
      </c>
      <c r="H135" s="2" t="s">
        <v>525</v>
      </c>
      <c r="I135" s="2" t="s">
        <v>526</v>
      </c>
      <c r="J135" s="2" t="s">
        <v>527</v>
      </c>
      <c r="K135" s="2" t="s">
        <v>39</v>
      </c>
      <c r="L135" s="2" t="s">
        <v>27</v>
      </c>
      <c r="M135" s="2">
        <v>5230903</v>
      </c>
      <c r="N135" s="2" t="s">
        <v>314</v>
      </c>
      <c r="O135" s="2" t="s">
        <v>225</v>
      </c>
      <c r="P135" s="2" t="s">
        <v>298</v>
      </c>
      <c r="Q135" s="2" t="s">
        <v>340</v>
      </c>
      <c r="R135" s="2" t="s">
        <v>82</v>
      </c>
      <c r="S135" s="2">
        <v>10</v>
      </c>
      <c r="T135" s="2" t="s">
        <v>33</v>
      </c>
      <c r="U135" s="2" t="s">
        <v>34</v>
      </c>
      <c r="V135" s="32">
        <v>104616820</v>
      </c>
      <c r="Y135" s="30">
        <f t="shared" si="4"/>
        <v>104616820</v>
      </c>
      <c r="Z135" s="41">
        <f t="shared" si="5"/>
        <v>0</v>
      </c>
    </row>
    <row r="136" spans="1:26" ht="26.25">
      <c r="A136" s="2">
        <v>134</v>
      </c>
      <c r="B136" s="2">
        <v>1938529</v>
      </c>
      <c r="C136" s="2">
        <v>61510006740017</v>
      </c>
      <c r="D136" s="2" t="s">
        <v>74</v>
      </c>
      <c r="E136" s="2">
        <v>292429</v>
      </c>
      <c r="F136" s="2">
        <v>996053030</v>
      </c>
      <c r="G136" s="3">
        <v>36814</v>
      </c>
      <c r="H136" s="2" t="s">
        <v>528</v>
      </c>
      <c r="I136" s="2" t="s">
        <v>529</v>
      </c>
      <c r="J136" s="2" t="s">
        <v>530</v>
      </c>
      <c r="K136" s="2" t="s">
        <v>39</v>
      </c>
      <c r="L136" s="2" t="s">
        <v>27</v>
      </c>
      <c r="M136" s="2">
        <v>5230903</v>
      </c>
      <c r="N136" s="2" t="s">
        <v>314</v>
      </c>
      <c r="O136" s="2" t="s">
        <v>73</v>
      </c>
      <c r="P136" s="2" t="s">
        <v>298</v>
      </c>
      <c r="Q136" s="2" t="s">
        <v>363</v>
      </c>
      <c r="R136" s="2" t="s">
        <v>82</v>
      </c>
      <c r="S136" s="2">
        <v>10</v>
      </c>
      <c r="T136" s="2" t="s">
        <v>33</v>
      </c>
      <c r="U136" s="2" t="s">
        <v>34</v>
      </c>
      <c r="V136" s="32">
        <v>104616820</v>
      </c>
      <c r="Y136" s="30">
        <f t="shared" si="4"/>
        <v>104616820</v>
      </c>
      <c r="Z136" s="41">
        <f t="shared" si="5"/>
        <v>0</v>
      </c>
    </row>
    <row r="137" spans="1:26" ht="26.25">
      <c r="A137" s="2">
        <v>135</v>
      </c>
      <c r="B137" s="2">
        <v>1536869</v>
      </c>
      <c r="C137" s="2">
        <v>53011016080050</v>
      </c>
      <c r="D137" s="2" t="s">
        <v>45</v>
      </c>
      <c r="E137" s="2">
        <v>8583470</v>
      </c>
      <c r="F137" s="2">
        <v>991233627</v>
      </c>
      <c r="G137" s="3">
        <v>37225</v>
      </c>
      <c r="H137" s="2" t="s">
        <v>531</v>
      </c>
      <c r="I137" s="2" t="s">
        <v>532</v>
      </c>
      <c r="J137" s="2" t="s">
        <v>533</v>
      </c>
      <c r="K137" s="2" t="s">
        <v>39</v>
      </c>
      <c r="L137" s="2" t="s">
        <v>27</v>
      </c>
      <c r="M137" s="2">
        <v>5340605</v>
      </c>
      <c r="N137" s="2" t="s">
        <v>40</v>
      </c>
      <c r="O137" s="2" t="s">
        <v>194</v>
      </c>
      <c r="P137" s="2" t="s">
        <v>42</v>
      </c>
      <c r="Q137" s="4">
        <v>45778</v>
      </c>
      <c r="R137" s="2" t="s">
        <v>44</v>
      </c>
      <c r="S137" s="2">
        <v>8</v>
      </c>
      <c r="T137" s="2" t="s">
        <v>33</v>
      </c>
      <c r="U137" s="2" t="s">
        <v>34</v>
      </c>
      <c r="V137" s="32">
        <v>65759144</v>
      </c>
      <c r="Y137" s="30">
        <f t="shared" si="4"/>
        <v>65759144</v>
      </c>
      <c r="Z137" s="41">
        <f t="shared" si="5"/>
        <v>0</v>
      </c>
    </row>
    <row r="138" spans="1:26">
      <c r="A138" s="2">
        <v>136</v>
      </c>
      <c r="B138" s="2">
        <v>2887038</v>
      </c>
      <c r="C138" s="2">
        <v>32802962700012</v>
      </c>
      <c r="D138" s="2" t="s">
        <v>145</v>
      </c>
      <c r="E138" s="2">
        <v>1422196</v>
      </c>
      <c r="F138" s="2">
        <v>907210950</v>
      </c>
      <c r="G138" s="3">
        <v>35123</v>
      </c>
      <c r="H138" s="2" t="s">
        <v>534</v>
      </c>
      <c r="I138" s="2" t="s">
        <v>535</v>
      </c>
      <c r="J138" s="2" t="s">
        <v>536</v>
      </c>
      <c r="K138" s="2" t="s">
        <v>26</v>
      </c>
      <c r="L138" s="2" t="s">
        <v>27</v>
      </c>
      <c r="M138" s="2">
        <v>5230407</v>
      </c>
      <c r="N138" s="2" t="s">
        <v>186</v>
      </c>
      <c r="O138" s="2">
        <v>84</v>
      </c>
      <c r="P138" s="2" t="s">
        <v>187</v>
      </c>
      <c r="Q138" s="4">
        <v>43922</v>
      </c>
      <c r="R138" s="2" t="s">
        <v>134</v>
      </c>
      <c r="S138" s="2">
        <v>10</v>
      </c>
      <c r="T138" s="2" t="s">
        <v>33</v>
      </c>
      <c r="U138" s="2" t="s">
        <v>34</v>
      </c>
      <c r="V138" s="32">
        <v>91299300</v>
      </c>
      <c r="Y138" s="30">
        <f t="shared" si="4"/>
        <v>91299300</v>
      </c>
      <c r="Z138" s="41">
        <f t="shared" si="5"/>
        <v>0</v>
      </c>
    </row>
    <row r="139" spans="1:26" ht="26.25">
      <c r="A139" s="2">
        <v>137</v>
      </c>
      <c r="B139" s="2">
        <v>1527224</v>
      </c>
      <c r="C139" s="2">
        <v>32403986140033</v>
      </c>
      <c r="D139" s="2" t="s">
        <v>45</v>
      </c>
      <c r="E139" s="2">
        <v>836202</v>
      </c>
      <c r="F139" s="2">
        <v>979159298</v>
      </c>
      <c r="G139" s="3">
        <v>35878</v>
      </c>
      <c r="H139" s="2" t="s">
        <v>278</v>
      </c>
      <c r="I139" s="2" t="s">
        <v>537</v>
      </c>
      <c r="J139" s="2" t="s">
        <v>538</v>
      </c>
      <c r="K139" s="2" t="s">
        <v>39</v>
      </c>
      <c r="L139" s="2" t="s">
        <v>27</v>
      </c>
      <c r="M139" s="2">
        <v>5310701</v>
      </c>
      <c r="N139" s="2" t="s">
        <v>118</v>
      </c>
      <c r="O139" s="2" t="s">
        <v>122</v>
      </c>
      <c r="P139" s="2" t="s">
        <v>123</v>
      </c>
      <c r="Q139" s="2" t="s">
        <v>124</v>
      </c>
      <c r="R139" s="2" t="s">
        <v>62</v>
      </c>
      <c r="S139" s="2">
        <v>8</v>
      </c>
      <c r="T139" s="2" t="s">
        <v>33</v>
      </c>
      <c r="U139" s="2" t="s">
        <v>34</v>
      </c>
      <c r="V139" s="32">
        <v>59781040</v>
      </c>
      <c r="Y139" s="30">
        <f t="shared" si="4"/>
        <v>59781040</v>
      </c>
      <c r="Z139" s="41">
        <f t="shared" si="5"/>
        <v>0</v>
      </c>
    </row>
    <row r="140" spans="1:26" ht="26.25">
      <c r="A140" s="2">
        <v>138</v>
      </c>
      <c r="B140" s="2">
        <v>1184967</v>
      </c>
      <c r="C140" s="2">
        <v>50405015750015</v>
      </c>
      <c r="D140" s="2" t="s">
        <v>45</v>
      </c>
      <c r="E140" s="2">
        <v>7709941</v>
      </c>
      <c r="F140" s="2">
        <v>987774445</v>
      </c>
      <c r="G140" s="3">
        <v>37015</v>
      </c>
      <c r="H140" s="2" t="s">
        <v>457</v>
      </c>
      <c r="I140" s="2" t="s">
        <v>539</v>
      </c>
      <c r="J140" s="2" t="s">
        <v>540</v>
      </c>
      <c r="K140" s="2" t="s">
        <v>39</v>
      </c>
      <c r="L140" s="2" t="s">
        <v>27</v>
      </c>
      <c r="M140" s="2">
        <v>5340605</v>
      </c>
      <c r="N140" s="2" t="s">
        <v>40</v>
      </c>
      <c r="O140" s="2" t="s">
        <v>122</v>
      </c>
      <c r="P140" s="2" t="s">
        <v>42</v>
      </c>
      <c r="Q140" s="2" t="s">
        <v>170</v>
      </c>
      <c r="R140" s="2" t="s">
        <v>44</v>
      </c>
      <c r="S140" s="2">
        <v>8</v>
      </c>
      <c r="T140" s="2" t="s">
        <v>33</v>
      </c>
      <c r="U140" s="2" t="s">
        <v>34</v>
      </c>
      <c r="V140" s="32" t="s">
        <v>2722</v>
      </c>
      <c r="W140" s="21">
        <v>29591615</v>
      </c>
      <c r="X140" s="10" t="s">
        <v>2630</v>
      </c>
      <c r="Y140" s="30">
        <f t="shared" si="4"/>
        <v>29591614.600000001</v>
      </c>
      <c r="Z140" s="41">
        <f t="shared" si="5"/>
        <v>0.5000000033793357</v>
      </c>
    </row>
    <row r="141" spans="1:26">
      <c r="A141" s="2">
        <v>139</v>
      </c>
      <c r="B141" s="2">
        <v>1104893</v>
      </c>
      <c r="C141" s="2">
        <v>51509018660047</v>
      </c>
      <c r="D141" s="2" t="s">
        <v>45</v>
      </c>
      <c r="E141" s="2">
        <v>7810650</v>
      </c>
      <c r="F141" s="2">
        <v>998773433</v>
      </c>
      <c r="G141" s="3">
        <v>37149</v>
      </c>
      <c r="H141" s="2" t="s">
        <v>430</v>
      </c>
      <c r="I141" s="2" t="s">
        <v>541</v>
      </c>
      <c r="J141" s="2" t="s">
        <v>542</v>
      </c>
      <c r="K141" s="2" t="s">
        <v>39</v>
      </c>
      <c r="L141" s="2" t="s">
        <v>57</v>
      </c>
      <c r="M141" s="2">
        <v>5620400</v>
      </c>
      <c r="N141" s="2" t="s">
        <v>103</v>
      </c>
      <c r="O141" s="2" t="s">
        <v>41</v>
      </c>
      <c r="P141" s="2" t="s">
        <v>139</v>
      </c>
      <c r="Q141" s="4">
        <v>45778</v>
      </c>
      <c r="R141" s="2" t="s">
        <v>62</v>
      </c>
      <c r="S141" s="2">
        <v>8</v>
      </c>
      <c r="T141" s="2" t="s">
        <v>33</v>
      </c>
      <c r="U141" s="2" t="s">
        <v>34</v>
      </c>
      <c r="V141" s="32">
        <v>59781040</v>
      </c>
      <c r="Y141" s="30">
        <f t="shared" si="4"/>
        <v>59781040</v>
      </c>
      <c r="Z141" s="41">
        <f t="shared" si="5"/>
        <v>0</v>
      </c>
    </row>
    <row r="142" spans="1:26" ht="26.25">
      <c r="A142" s="2">
        <v>140</v>
      </c>
      <c r="B142" s="2">
        <v>2135247</v>
      </c>
      <c r="C142" s="2">
        <v>53008025740057</v>
      </c>
      <c r="D142" s="2" t="s">
        <v>22</v>
      </c>
      <c r="E142" s="2">
        <v>1900923</v>
      </c>
      <c r="F142" s="2">
        <v>908727282</v>
      </c>
      <c r="G142" s="3">
        <v>37498</v>
      </c>
      <c r="H142" s="2" t="s">
        <v>358</v>
      </c>
      <c r="I142" s="2" t="s">
        <v>120</v>
      </c>
      <c r="J142" s="2" t="s">
        <v>543</v>
      </c>
      <c r="K142" s="2" t="s">
        <v>39</v>
      </c>
      <c r="L142" s="2" t="s">
        <v>57</v>
      </c>
      <c r="M142" s="2">
        <v>5310701</v>
      </c>
      <c r="N142" s="2" t="s">
        <v>118</v>
      </c>
      <c r="O142" s="2" t="s">
        <v>179</v>
      </c>
      <c r="P142" s="2" t="s">
        <v>207</v>
      </c>
      <c r="Q142" s="4">
        <v>20394</v>
      </c>
      <c r="R142" s="2" t="s">
        <v>62</v>
      </c>
      <c r="S142" s="2">
        <v>8</v>
      </c>
      <c r="T142" s="2" t="s">
        <v>33</v>
      </c>
      <c r="U142" s="2" t="s">
        <v>34</v>
      </c>
      <c r="V142" s="32">
        <v>59781040</v>
      </c>
      <c r="Y142" s="30">
        <f t="shared" si="4"/>
        <v>59781040</v>
      </c>
      <c r="Z142" s="41">
        <f t="shared" si="5"/>
        <v>0</v>
      </c>
    </row>
    <row r="143" spans="1:26" ht="15.75">
      <c r="A143" s="2">
        <v>141</v>
      </c>
      <c r="B143" s="2">
        <v>1038416</v>
      </c>
      <c r="C143" s="2">
        <v>52207026800080</v>
      </c>
      <c r="D143" s="2" t="s">
        <v>22</v>
      </c>
      <c r="E143" s="2">
        <v>1512752</v>
      </c>
      <c r="F143" s="2">
        <v>983002697</v>
      </c>
      <c r="G143" s="3">
        <v>37459</v>
      </c>
      <c r="H143" s="2" t="s">
        <v>430</v>
      </c>
      <c r="I143" s="2" t="s">
        <v>544</v>
      </c>
      <c r="J143" s="2" t="s">
        <v>545</v>
      </c>
      <c r="K143" s="2" t="s">
        <v>39</v>
      </c>
      <c r="L143" s="2" t="s">
        <v>27</v>
      </c>
      <c r="M143" s="2">
        <v>5620400</v>
      </c>
      <c r="N143" s="2" t="s">
        <v>103</v>
      </c>
      <c r="O143" s="2" t="s">
        <v>41</v>
      </c>
      <c r="P143" s="2" t="s">
        <v>123</v>
      </c>
      <c r="Q143" s="2" t="s">
        <v>133</v>
      </c>
      <c r="R143" s="2" t="s">
        <v>62</v>
      </c>
      <c r="S143" s="2">
        <v>8</v>
      </c>
      <c r="T143" s="2" t="s">
        <v>33</v>
      </c>
      <c r="U143" s="2" t="s">
        <v>34</v>
      </c>
      <c r="V143" s="32">
        <v>53802936</v>
      </c>
      <c r="W143" s="21">
        <v>29890520</v>
      </c>
      <c r="X143" s="10" t="s">
        <v>2626</v>
      </c>
      <c r="Y143" s="30">
        <f t="shared" si="4"/>
        <v>23912416</v>
      </c>
      <c r="Z143" s="41">
        <f t="shared" si="5"/>
        <v>0.55555555555555558</v>
      </c>
    </row>
    <row r="144" spans="1:26" ht="26.25">
      <c r="A144" s="2">
        <v>142</v>
      </c>
      <c r="B144" s="2">
        <v>2413323</v>
      </c>
      <c r="C144" s="2">
        <v>42808920251939</v>
      </c>
      <c r="D144" s="2" t="s">
        <v>145</v>
      </c>
      <c r="E144" s="2">
        <v>9004630</v>
      </c>
      <c r="F144" s="2">
        <v>946103252</v>
      </c>
      <c r="G144" s="3">
        <v>33844</v>
      </c>
      <c r="H144" s="2" t="s">
        <v>546</v>
      </c>
      <c r="I144" s="2" t="s">
        <v>547</v>
      </c>
      <c r="J144" s="2" t="s">
        <v>548</v>
      </c>
      <c r="K144" s="2" t="s">
        <v>39</v>
      </c>
      <c r="L144" s="2" t="s">
        <v>27</v>
      </c>
      <c r="M144" s="2">
        <v>5310701</v>
      </c>
      <c r="N144" s="2" t="s">
        <v>118</v>
      </c>
      <c r="O144" s="2" t="s">
        <v>87</v>
      </c>
      <c r="P144" s="2" t="s">
        <v>123</v>
      </c>
      <c r="Q144" s="2" t="s">
        <v>549</v>
      </c>
      <c r="R144" s="2" t="s">
        <v>62</v>
      </c>
      <c r="S144" s="2">
        <v>8</v>
      </c>
      <c r="T144" s="2" t="s">
        <v>33</v>
      </c>
      <c r="U144" s="2" t="s">
        <v>34</v>
      </c>
      <c r="V144" s="32">
        <v>53802936</v>
      </c>
      <c r="W144" s="20">
        <v>30000000</v>
      </c>
      <c r="X144" s="2" t="s">
        <v>2671</v>
      </c>
      <c r="Y144" s="30">
        <f t="shared" si="4"/>
        <v>23802936</v>
      </c>
      <c r="Z144" s="41">
        <f t="shared" si="5"/>
        <v>0.55759038874755829</v>
      </c>
    </row>
    <row r="145" spans="1:26">
      <c r="A145" s="2">
        <v>143</v>
      </c>
      <c r="B145" s="2">
        <v>1304710</v>
      </c>
      <c r="C145" s="2">
        <v>50607017350015</v>
      </c>
      <c r="D145" s="2" t="s">
        <v>35</v>
      </c>
      <c r="E145" s="2">
        <v>1078304</v>
      </c>
      <c r="F145" s="2">
        <v>996224055</v>
      </c>
      <c r="G145" s="3">
        <v>37078</v>
      </c>
      <c r="H145" s="2" t="s">
        <v>282</v>
      </c>
      <c r="I145" s="2" t="s">
        <v>550</v>
      </c>
      <c r="J145" s="2" t="s">
        <v>551</v>
      </c>
      <c r="K145" s="2" t="s">
        <v>39</v>
      </c>
      <c r="L145" s="2" t="s">
        <v>27</v>
      </c>
      <c r="M145" s="2">
        <v>5620400</v>
      </c>
      <c r="N145" s="2" t="s">
        <v>103</v>
      </c>
      <c r="O145" s="2" t="s">
        <v>296</v>
      </c>
      <c r="P145" s="2" t="s">
        <v>123</v>
      </c>
      <c r="Q145" s="2" t="s">
        <v>395</v>
      </c>
      <c r="R145" s="2" t="s">
        <v>62</v>
      </c>
      <c r="S145" s="2">
        <v>8</v>
      </c>
      <c r="T145" s="2" t="s">
        <v>33</v>
      </c>
      <c r="U145" s="2" t="s">
        <v>34</v>
      </c>
      <c r="V145" s="32">
        <v>59781040</v>
      </c>
      <c r="W145" s="20">
        <v>30000000</v>
      </c>
      <c r="X145" s="2" t="s">
        <v>2675</v>
      </c>
      <c r="Y145" s="30">
        <f t="shared" si="4"/>
        <v>29781040</v>
      </c>
      <c r="Z145" s="41">
        <f t="shared" si="5"/>
        <v>0.50183134987280253</v>
      </c>
    </row>
    <row r="146" spans="1:26" ht="26.25">
      <c r="A146" s="2">
        <v>144</v>
      </c>
      <c r="B146" s="2">
        <v>1990841</v>
      </c>
      <c r="C146" s="2">
        <v>32512995850012</v>
      </c>
      <c r="D146" s="2" t="s">
        <v>45</v>
      </c>
      <c r="E146" s="2">
        <v>3179596</v>
      </c>
      <c r="F146" s="2">
        <v>934322205</v>
      </c>
      <c r="G146" s="3">
        <v>36519</v>
      </c>
      <c r="H146" s="2" t="s">
        <v>107</v>
      </c>
      <c r="I146" s="2" t="s">
        <v>552</v>
      </c>
      <c r="J146" s="2" t="s">
        <v>553</v>
      </c>
      <c r="K146" s="2" t="s">
        <v>39</v>
      </c>
      <c r="L146" s="2" t="s">
        <v>57</v>
      </c>
      <c r="M146" s="2">
        <v>5620702</v>
      </c>
      <c r="N146" s="2" t="s">
        <v>159</v>
      </c>
      <c r="O146" s="2">
        <v>63</v>
      </c>
      <c r="P146" s="2" t="s">
        <v>139</v>
      </c>
      <c r="Q146" s="4">
        <v>12966</v>
      </c>
      <c r="R146" s="2" t="s">
        <v>62</v>
      </c>
      <c r="S146" s="2">
        <v>8</v>
      </c>
      <c r="T146" s="2" t="s">
        <v>33</v>
      </c>
      <c r="U146" s="2" t="s">
        <v>34</v>
      </c>
      <c r="V146" s="32">
        <v>59781040</v>
      </c>
      <c r="Y146" s="30">
        <f t="shared" si="4"/>
        <v>59781040</v>
      </c>
      <c r="Z146" s="41">
        <f t="shared" si="5"/>
        <v>0</v>
      </c>
    </row>
    <row r="147" spans="1:26" ht="26.25">
      <c r="A147" s="2">
        <v>145</v>
      </c>
      <c r="B147" s="2">
        <v>3705434</v>
      </c>
      <c r="C147" s="2">
        <v>51405036140081</v>
      </c>
      <c r="D147" s="2" t="s">
        <v>22</v>
      </c>
      <c r="E147" s="2">
        <v>3133304</v>
      </c>
      <c r="F147" s="2">
        <v>941819579</v>
      </c>
      <c r="G147" s="3">
        <v>37755</v>
      </c>
      <c r="H147" s="2" t="s">
        <v>89</v>
      </c>
      <c r="I147" s="2" t="s">
        <v>554</v>
      </c>
      <c r="J147" s="2" t="s">
        <v>555</v>
      </c>
      <c r="K147" s="2" t="s">
        <v>39</v>
      </c>
      <c r="L147" s="2" t="s">
        <v>27</v>
      </c>
      <c r="M147" s="2">
        <v>5340605</v>
      </c>
      <c r="N147" s="2" t="s">
        <v>40</v>
      </c>
      <c r="O147" s="2" t="s">
        <v>41</v>
      </c>
      <c r="P147" s="2" t="s">
        <v>42</v>
      </c>
      <c r="Q147" s="2" t="s">
        <v>43</v>
      </c>
      <c r="R147" s="2" t="s">
        <v>44</v>
      </c>
      <c r="S147" s="2">
        <v>8</v>
      </c>
      <c r="T147" s="2" t="s">
        <v>33</v>
      </c>
      <c r="U147" s="2" t="s">
        <v>34</v>
      </c>
      <c r="V147" s="32">
        <v>65759144</v>
      </c>
      <c r="Y147" s="30">
        <f t="shared" si="4"/>
        <v>65759144</v>
      </c>
      <c r="Z147" s="41">
        <f t="shared" si="5"/>
        <v>0</v>
      </c>
    </row>
    <row r="148" spans="1:26">
      <c r="A148" s="2">
        <v>146</v>
      </c>
      <c r="B148" s="2">
        <v>2002867</v>
      </c>
      <c r="C148" s="2">
        <v>32403996100070</v>
      </c>
      <c r="D148" s="2" t="s">
        <v>45</v>
      </c>
      <c r="E148" s="2">
        <v>5292936</v>
      </c>
      <c r="F148" s="2">
        <v>978980656</v>
      </c>
      <c r="G148" s="3">
        <v>36243</v>
      </c>
      <c r="H148" s="2" t="s">
        <v>125</v>
      </c>
      <c r="I148" s="2" t="s">
        <v>556</v>
      </c>
      <c r="J148" s="2" t="s">
        <v>557</v>
      </c>
      <c r="K148" s="2" t="s">
        <v>39</v>
      </c>
      <c r="L148" s="2" t="s">
        <v>27</v>
      </c>
      <c r="M148" s="2">
        <v>5620400</v>
      </c>
      <c r="N148" s="2" t="s">
        <v>103</v>
      </c>
      <c r="O148" s="2" t="s">
        <v>225</v>
      </c>
      <c r="P148" s="2" t="s">
        <v>123</v>
      </c>
      <c r="Q148" s="2" t="s">
        <v>440</v>
      </c>
      <c r="R148" s="2" t="s">
        <v>62</v>
      </c>
      <c r="S148" s="2">
        <v>8</v>
      </c>
      <c r="T148" s="2" t="s">
        <v>33</v>
      </c>
      <c r="U148" s="2" t="s">
        <v>34</v>
      </c>
      <c r="V148" s="32">
        <v>59781040</v>
      </c>
      <c r="W148" s="20">
        <v>29900000</v>
      </c>
      <c r="X148" s="2" t="s">
        <v>2673</v>
      </c>
      <c r="Y148" s="30">
        <f t="shared" si="4"/>
        <v>29881040</v>
      </c>
      <c r="Z148" s="41">
        <f t="shared" si="5"/>
        <v>0.50015857870655978</v>
      </c>
    </row>
    <row r="149" spans="1:26" ht="26.25">
      <c r="A149" s="2">
        <v>147</v>
      </c>
      <c r="B149" s="2">
        <v>2470381</v>
      </c>
      <c r="C149" s="2">
        <v>50702036710018</v>
      </c>
      <c r="D149" s="2" t="s">
        <v>22</v>
      </c>
      <c r="E149" s="2">
        <v>1626828</v>
      </c>
      <c r="F149" s="2">
        <v>993938207</v>
      </c>
      <c r="G149" s="3">
        <v>37659</v>
      </c>
      <c r="H149" s="2" t="s">
        <v>107</v>
      </c>
      <c r="I149" s="2" t="s">
        <v>558</v>
      </c>
      <c r="J149" s="2" t="s">
        <v>559</v>
      </c>
      <c r="K149" s="2" t="s">
        <v>26</v>
      </c>
      <c r="L149" s="2" t="s">
        <v>27</v>
      </c>
      <c r="M149" s="2">
        <v>5320102</v>
      </c>
      <c r="N149" s="2" t="s">
        <v>138</v>
      </c>
      <c r="O149" s="2" t="s">
        <v>41</v>
      </c>
      <c r="P149" s="2" t="s">
        <v>154</v>
      </c>
      <c r="Q149" s="4">
        <v>42064</v>
      </c>
      <c r="R149" s="2" t="s">
        <v>53</v>
      </c>
      <c r="S149" s="2">
        <v>8</v>
      </c>
      <c r="T149" s="2" t="s">
        <v>33</v>
      </c>
      <c r="U149" s="2" t="s">
        <v>34</v>
      </c>
      <c r="V149" s="29">
        <v>17314047</v>
      </c>
      <c r="W149" s="21">
        <v>9620000</v>
      </c>
      <c r="X149" s="10" t="s">
        <v>2648</v>
      </c>
      <c r="Y149" s="30">
        <f t="shared" si="4"/>
        <v>7694047</v>
      </c>
      <c r="Z149" s="41">
        <f t="shared" si="5"/>
        <v>0.55561822143603978</v>
      </c>
    </row>
    <row r="150" spans="1:26">
      <c r="A150" s="2">
        <v>148</v>
      </c>
      <c r="B150" s="2">
        <v>2627200</v>
      </c>
      <c r="C150" s="2">
        <v>31706911931195</v>
      </c>
      <c r="D150" s="2" t="s">
        <v>145</v>
      </c>
      <c r="E150" s="2">
        <v>3155967</v>
      </c>
      <c r="F150" s="2">
        <v>909943776</v>
      </c>
      <c r="G150" s="3">
        <v>33406</v>
      </c>
      <c r="H150" s="2" t="s">
        <v>560</v>
      </c>
      <c r="I150" s="2" t="s">
        <v>561</v>
      </c>
      <c r="J150" s="2" t="s">
        <v>562</v>
      </c>
      <c r="K150" s="2" t="s">
        <v>39</v>
      </c>
      <c r="L150" s="2" t="s">
        <v>57</v>
      </c>
      <c r="M150" s="2">
        <v>5310606</v>
      </c>
      <c r="N150" s="2" t="s">
        <v>72</v>
      </c>
      <c r="O150" s="2" t="s">
        <v>60</v>
      </c>
      <c r="P150" s="2" t="s">
        <v>225</v>
      </c>
      <c r="Q150" s="4">
        <v>16681</v>
      </c>
      <c r="R150" s="2" t="s">
        <v>62</v>
      </c>
      <c r="S150" s="2">
        <v>8</v>
      </c>
      <c r="T150" s="2" t="s">
        <v>33</v>
      </c>
      <c r="U150" s="2" t="s">
        <v>34</v>
      </c>
      <c r="V150" s="32">
        <v>59781040</v>
      </c>
      <c r="Y150" s="30">
        <f t="shared" si="4"/>
        <v>59781040</v>
      </c>
      <c r="Z150" s="41">
        <f t="shared" si="5"/>
        <v>0</v>
      </c>
    </row>
    <row r="151" spans="1:26" ht="26.25">
      <c r="A151" s="2">
        <v>149</v>
      </c>
      <c r="B151" s="2">
        <v>2829426</v>
      </c>
      <c r="C151" s="2">
        <v>33105800450065</v>
      </c>
      <c r="D151" s="2" t="s">
        <v>45</v>
      </c>
      <c r="E151" s="2">
        <v>5103927</v>
      </c>
      <c r="F151" s="2">
        <v>901870201</v>
      </c>
      <c r="G151" s="3">
        <v>29372</v>
      </c>
      <c r="H151" s="2" t="s">
        <v>563</v>
      </c>
      <c r="I151" s="2" t="s">
        <v>564</v>
      </c>
      <c r="J151" s="2" t="s">
        <v>565</v>
      </c>
      <c r="K151" s="2" t="s">
        <v>39</v>
      </c>
      <c r="L151" s="2" t="s">
        <v>57</v>
      </c>
      <c r="M151" s="2">
        <v>5620701</v>
      </c>
      <c r="N151" s="2" t="s">
        <v>218</v>
      </c>
      <c r="O151" s="2" t="s">
        <v>211</v>
      </c>
      <c r="P151" s="2" t="s">
        <v>194</v>
      </c>
      <c r="Q151" s="2" t="s">
        <v>111</v>
      </c>
      <c r="R151" s="2" t="s">
        <v>62</v>
      </c>
      <c r="S151" s="2">
        <v>8</v>
      </c>
      <c r="T151" s="2" t="s">
        <v>33</v>
      </c>
      <c r="U151" s="2" t="s">
        <v>34</v>
      </c>
      <c r="V151" s="32">
        <v>119562080</v>
      </c>
      <c r="Y151" s="30">
        <f t="shared" si="4"/>
        <v>119562080</v>
      </c>
      <c r="Z151" s="41">
        <f t="shared" si="5"/>
        <v>0</v>
      </c>
    </row>
    <row r="152" spans="1:26">
      <c r="A152" s="2">
        <v>150</v>
      </c>
      <c r="B152" s="2">
        <v>2078154</v>
      </c>
      <c r="C152" s="2">
        <v>31311997360029</v>
      </c>
      <c r="D152" s="2" t="s">
        <v>35</v>
      </c>
      <c r="E152" s="2">
        <v>825778</v>
      </c>
      <c r="F152" s="2">
        <v>932017275</v>
      </c>
      <c r="G152" s="3">
        <v>36477</v>
      </c>
      <c r="H152" s="2" t="s">
        <v>566</v>
      </c>
      <c r="I152" s="2" t="s">
        <v>567</v>
      </c>
      <c r="J152" s="2" t="s">
        <v>568</v>
      </c>
      <c r="K152" s="2" t="s">
        <v>39</v>
      </c>
      <c r="L152" s="2" t="s">
        <v>27</v>
      </c>
      <c r="M152" s="2">
        <v>5310606</v>
      </c>
      <c r="N152" s="2" t="s">
        <v>72</v>
      </c>
      <c r="O152" s="2" t="s">
        <v>140</v>
      </c>
      <c r="P152" s="2" t="s">
        <v>73</v>
      </c>
      <c r="Q152" s="4">
        <v>43922</v>
      </c>
      <c r="R152" s="2" t="s">
        <v>62</v>
      </c>
      <c r="S152" s="2">
        <v>8</v>
      </c>
      <c r="T152" s="2" t="s">
        <v>33</v>
      </c>
      <c r="U152" s="2" t="s">
        <v>34</v>
      </c>
      <c r="V152" s="32">
        <v>59781040</v>
      </c>
      <c r="Y152" s="30">
        <f t="shared" si="4"/>
        <v>59781040</v>
      </c>
      <c r="Z152" s="41">
        <f t="shared" si="5"/>
        <v>0</v>
      </c>
    </row>
    <row r="153" spans="1:26">
      <c r="A153" s="2">
        <v>151</v>
      </c>
      <c r="B153" s="2">
        <v>1061377</v>
      </c>
      <c r="C153" s="2">
        <v>30306995590108</v>
      </c>
      <c r="D153" s="2" t="s">
        <v>45</v>
      </c>
      <c r="E153" s="2">
        <v>6011703</v>
      </c>
      <c r="F153" s="2">
        <v>916360736</v>
      </c>
      <c r="G153" s="3">
        <v>36314</v>
      </c>
      <c r="H153" s="2" t="s">
        <v>569</v>
      </c>
      <c r="I153" s="2" t="s">
        <v>570</v>
      </c>
      <c r="J153" s="2" t="s">
        <v>571</v>
      </c>
      <c r="K153" s="2" t="s">
        <v>39</v>
      </c>
      <c r="L153" s="2" t="s">
        <v>27</v>
      </c>
      <c r="M153" s="2">
        <v>5620400</v>
      </c>
      <c r="N153" s="2" t="s">
        <v>103</v>
      </c>
      <c r="O153" s="2">
        <v>63</v>
      </c>
      <c r="P153" s="2" t="s">
        <v>123</v>
      </c>
      <c r="Q153" s="2" t="s">
        <v>253</v>
      </c>
      <c r="R153" s="2" t="s">
        <v>62</v>
      </c>
      <c r="S153" s="2">
        <v>8</v>
      </c>
      <c r="T153" s="2" t="s">
        <v>33</v>
      </c>
      <c r="U153" s="2" t="s">
        <v>34</v>
      </c>
      <c r="V153" s="29">
        <v>53802936</v>
      </c>
      <c r="W153" s="20">
        <v>26950000</v>
      </c>
      <c r="X153" s="2" t="s">
        <v>2682</v>
      </c>
      <c r="Y153" s="30">
        <f t="shared" si="4"/>
        <v>26852936</v>
      </c>
      <c r="Z153" s="41">
        <f t="shared" si="5"/>
        <v>0.50090203255822319</v>
      </c>
    </row>
    <row r="154" spans="1:26" ht="39">
      <c r="A154" s="2">
        <v>152</v>
      </c>
      <c r="B154" s="2">
        <v>1957800</v>
      </c>
      <c r="C154" s="2">
        <v>32008996240025</v>
      </c>
      <c r="D154" s="2" t="s">
        <v>45</v>
      </c>
      <c r="E154" s="2">
        <v>4060040</v>
      </c>
      <c r="F154" s="2">
        <v>995440711</v>
      </c>
      <c r="G154" s="3">
        <v>36392</v>
      </c>
      <c r="H154" s="2" t="s">
        <v>572</v>
      </c>
      <c r="I154" s="2" t="s">
        <v>573</v>
      </c>
      <c r="J154" s="2" t="s">
        <v>574</v>
      </c>
      <c r="K154" s="2" t="s">
        <v>39</v>
      </c>
      <c r="L154" s="2" t="s">
        <v>27</v>
      </c>
      <c r="M154" s="2">
        <v>5311003</v>
      </c>
      <c r="N154" s="2" t="s">
        <v>144</v>
      </c>
      <c r="O154" s="2" t="s">
        <v>41</v>
      </c>
      <c r="P154" s="2" t="s">
        <v>79</v>
      </c>
      <c r="Q154" s="2" t="s">
        <v>363</v>
      </c>
      <c r="R154" s="2" t="s">
        <v>62</v>
      </c>
      <c r="S154" s="2">
        <v>8</v>
      </c>
      <c r="T154" s="2" t="s">
        <v>33</v>
      </c>
      <c r="U154" s="2" t="s">
        <v>34</v>
      </c>
      <c r="V154" s="32">
        <v>59781040</v>
      </c>
      <c r="Y154" s="30">
        <f t="shared" si="4"/>
        <v>59781040</v>
      </c>
      <c r="Z154" s="41">
        <f t="shared" si="5"/>
        <v>0</v>
      </c>
    </row>
    <row r="155" spans="1:26" ht="26.25">
      <c r="A155" s="2">
        <v>153</v>
      </c>
      <c r="B155" s="2">
        <v>3377470</v>
      </c>
      <c r="C155" s="2">
        <v>60802046530022</v>
      </c>
      <c r="D155" s="2" t="s">
        <v>22</v>
      </c>
      <c r="E155" s="2">
        <v>2724409</v>
      </c>
      <c r="F155" s="2">
        <v>977190840</v>
      </c>
      <c r="G155" s="3">
        <v>38025</v>
      </c>
      <c r="H155" s="2" t="s">
        <v>575</v>
      </c>
      <c r="I155" s="2" t="s">
        <v>576</v>
      </c>
      <c r="J155" s="2" t="s">
        <v>577</v>
      </c>
      <c r="K155" s="2" t="s">
        <v>26</v>
      </c>
      <c r="L155" s="2" t="s">
        <v>57</v>
      </c>
      <c r="M155" s="2">
        <v>5340202</v>
      </c>
      <c r="N155" s="2" t="s">
        <v>499</v>
      </c>
      <c r="O155" s="2" t="s">
        <v>207</v>
      </c>
      <c r="P155" s="2" t="s">
        <v>224</v>
      </c>
      <c r="Q155" s="2" t="s">
        <v>578</v>
      </c>
      <c r="R155" s="2" t="s">
        <v>93</v>
      </c>
      <c r="S155" s="2">
        <v>8</v>
      </c>
      <c r="T155" s="2" t="s">
        <v>33</v>
      </c>
      <c r="U155" s="2" t="s">
        <v>34</v>
      </c>
      <c r="V155" s="32">
        <v>56735520</v>
      </c>
      <c r="W155" s="21">
        <v>28368000</v>
      </c>
      <c r="X155" s="12" t="s">
        <v>2628</v>
      </c>
      <c r="Y155" s="30">
        <f t="shared" si="4"/>
        <v>28367520</v>
      </c>
      <c r="Z155" s="41">
        <f t="shared" si="5"/>
        <v>0.50000423015423145</v>
      </c>
    </row>
    <row r="156" spans="1:26" ht="26.25">
      <c r="A156" s="2">
        <v>154</v>
      </c>
      <c r="B156" s="2">
        <v>3793849</v>
      </c>
      <c r="C156" s="2">
        <v>41507952610062</v>
      </c>
      <c r="D156" s="2" t="s">
        <v>145</v>
      </c>
      <c r="E156" s="2">
        <v>6206952</v>
      </c>
      <c r="F156" s="2">
        <v>907213597</v>
      </c>
      <c r="G156" s="3">
        <v>34895</v>
      </c>
      <c r="H156" s="2" t="s">
        <v>326</v>
      </c>
      <c r="I156" s="2" t="s">
        <v>579</v>
      </c>
      <c r="J156" s="2" t="s">
        <v>580</v>
      </c>
      <c r="K156" s="2" t="s">
        <v>39</v>
      </c>
      <c r="L156" s="2" t="s">
        <v>27</v>
      </c>
      <c r="M156" s="2">
        <v>5340604</v>
      </c>
      <c r="N156" s="2" t="s">
        <v>354</v>
      </c>
      <c r="O156" s="2" t="s">
        <v>154</v>
      </c>
      <c r="P156" s="2" t="s">
        <v>42</v>
      </c>
      <c r="Q156" s="4">
        <v>18537</v>
      </c>
      <c r="R156" s="2" t="s">
        <v>44</v>
      </c>
      <c r="S156" s="2">
        <v>8</v>
      </c>
      <c r="T156" s="2" t="s">
        <v>33</v>
      </c>
      <c r="U156" s="2" t="s">
        <v>34</v>
      </c>
      <c r="V156" s="32">
        <v>65759144</v>
      </c>
      <c r="Y156" s="30">
        <f t="shared" si="4"/>
        <v>65759144</v>
      </c>
      <c r="Z156" s="41">
        <f t="shared" si="5"/>
        <v>0</v>
      </c>
    </row>
    <row r="157" spans="1:26">
      <c r="A157" s="2">
        <v>155</v>
      </c>
      <c r="B157" s="2">
        <v>1241583</v>
      </c>
      <c r="C157" s="2">
        <v>52802005510019</v>
      </c>
      <c r="D157" s="2" t="s">
        <v>45</v>
      </c>
      <c r="E157" s="2">
        <v>6225066</v>
      </c>
      <c r="F157" s="2">
        <v>932993861</v>
      </c>
      <c r="G157" s="3">
        <v>36584</v>
      </c>
      <c r="H157" s="2" t="s">
        <v>581</v>
      </c>
      <c r="I157" s="2" t="s">
        <v>582</v>
      </c>
      <c r="J157" s="2" t="s">
        <v>583</v>
      </c>
      <c r="K157" s="2" t="s">
        <v>26</v>
      </c>
      <c r="L157" s="2" t="s">
        <v>27</v>
      </c>
      <c r="M157" s="2">
        <v>5240109</v>
      </c>
      <c r="N157" s="2" t="s">
        <v>28</v>
      </c>
      <c r="O157" s="2" t="s">
        <v>584</v>
      </c>
      <c r="P157" s="2" t="s">
        <v>30</v>
      </c>
      <c r="Q157" s="2" t="s">
        <v>296</v>
      </c>
      <c r="R157" s="2" t="s">
        <v>32</v>
      </c>
      <c r="S157" s="2">
        <v>25</v>
      </c>
      <c r="T157" s="2" t="s">
        <v>33</v>
      </c>
      <c r="U157" s="2" t="s">
        <v>34</v>
      </c>
      <c r="V157" s="32">
        <v>245231500</v>
      </c>
      <c r="Y157" s="30">
        <f t="shared" si="4"/>
        <v>245231500</v>
      </c>
      <c r="Z157" s="41">
        <f t="shared" si="5"/>
        <v>0</v>
      </c>
    </row>
    <row r="158" spans="1:26" ht="51.75">
      <c r="A158" s="2">
        <v>156</v>
      </c>
      <c r="B158" s="2">
        <v>1581688</v>
      </c>
      <c r="C158" s="2">
        <v>51102006830019</v>
      </c>
      <c r="D158" s="2" t="s">
        <v>45</v>
      </c>
      <c r="E158" s="2">
        <v>2986696</v>
      </c>
      <c r="F158" s="2">
        <v>949288899</v>
      </c>
      <c r="G158" s="3">
        <v>36567</v>
      </c>
      <c r="H158" s="2" t="s">
        <v>585</v>
      </c>
      <c r="I158" s="2" t="s">
        <v>120</v>
      </c>
      <c r="J158" s="2" t="s">
        <v>586</v>
      </c>
      <c r="K158" s="2" t="s">
        <v>39</v>
      </c>
      <c r="L158" s="2" t="s">
        <v>27</v>
      </c>
      <c r="M158" s="2">
        <v>5620101</v>
      </c>
      <c r="N158" s="2" t="s">
        <v>49</v>
      </c>
      <c r="O158" s="2" t="s">
        <v>88</v>
      </c>
      <c r="P158" s="2" t="s">
        <v>264</v>
      </c>
      <c r="Q158" s="2" t="s">
        <v>106</v>
      </c>
      <c r="R158" s="2" t="s">
        <v>62</v>
      </c>
      <c r="S158" s="2">
        <v>8</v>
      </c>
      <c r="T158" s="2" t="s">
        <v>33</v>
      </c>
      <c r="U158" s="2" t="s">
        <v>34</v>
      </c>
      <c r="V158" s="32">
        <v>53802936</v>
      </c>
      <c r="W158" s="20">
        <f>29891000+13365000+6834064.71+3712871.29</f>
        <v>53802936</v>
      </c>
      <c r="X158" s="2" t="s">
        <v>2863</v>
      </c>
      <c r="Y158" s="30">
        <f t="shared" si="4"/>
        <v>0</v>
      </c>
      <c r="Z158" s="41">
        <f t="shared" si="5"/>
        <v>1</v>
      </c>
    </row>
    <row r="159" spans="1:26" ht="26.25">
      <c r="A159" s="2">
        <v>157</v>
      </c>
      <c r="B159" s="2">
        <v>2648514</v>
      </c>
      <c r="C159" s="2">
        <v>51505026810012</v>
      </c>
      <c r="D159" s="2" t="s">
        <v>22</v>
      </c>
      <c r="E159" s="2">
        <v>10091</v>
      </c>
      <c r="F159" s="2">
        <v>977648721</v>
      </c>
      <c r="G159" s="3">
        <v>37391</v>
      </c>
      <c r="H159" s="2" t="s">
        <v>441</v>
      </c>
      <c r="I159" s="2" t="s">
        <v>587</v>
      </c>
      <c r="J159" s="2" t="s">
        <v>588</v>
      </c>
      <c r="K159" s="2" t="s">
        <v>39</v>
      </c>
      <c r="L159" s="2" t="s">
        <v>27</v>
      </c>
      <c r="M159" s="2">
        <v>5330202</v>
      </c>
      <c r="N159" s="2" t="s">
        <v>164</v>
      </c>
      <c r="O159" s="2" t="s">
        <v>225</v>
      </c>
      <c r="P159" s="2" t="s">
        <v>123</v>
      </c>
      <c r="Q159" s="2" t="s">
        <v>440</v>
      </c>
      <c r="R159" s="2" t="s">
        <v>44</v>
      </c>
      <c r="S159" s="2">
        <v>10</v>
      </c>
      <c r="T159" s="2" t="s">
        <v>33</v>
      </c>
      <c r="U159" s="2" t="s">
        <v>34</v>
      </c>
      <c r="V159" s="32">
        <v>82198930</v>
      </c>
      <c r="Y159" s="30">
        <f t="shared" si="4"/>
        <v>82198930</v>
      </c>
      <c r="Z159" s="41">
        <f t="shared" si="5"/>
        <v>0</v>
      </c>
    </row>
    <row r="160" spans="1:26" ht="26.25">
      <c r="A160" s="2">
        <v>158</v>
      </c>
      <c r="B160" s="2">
        <v>1892268</v>
      </c>
      <c r="C160" s="2">
        <v>32102940450048</v>
      </c>
      <c r="D160" s="2" t="s">
        <v>145</v>
      </c>
      <c r="E160" s="2">
        <v>7805497</v>
      </c>
      <c r="F160" s="2">
        <v>909850594</v>
      </c>
      <c r="G160" s="3">
        <v>34386</v>
      </c>
      <c r="H160" s="2" t="s">
        <v>358</v>
      </c>
      <c r="I160" s="2" t="s">
        <v>589</v>
      </c>
      <c r="J160" s="2" t="s">
        <v>173</v>
      </c>
      <c r="K160" s="2" t="s">
        <v>39</v>
      </c>
      <c r="L160" s="2" t="s">
        <v>27</v>
      </c>
      <c r="M160" s="2">
        <v>5310601</v>
      </c>
      <c r="N160" s="2" t="s">
        <v>153</v>
      </c>
      <c r="O160" s="2" t="s">
        <v>99</v>
      </c>
      <c r="P160" s="2" t="s">
        <v>79</v>
      </c>
      <c r="Q160" s="2" t="s">
        <v>310</v>
      </c>
      <c r="R160" s="2" t="s">
        <v>62</v>
      </c>
      <c r="S160" s="2">
        <v>8</v>
      </c>
      <c r="T160" s="2" t="s">
        <v>33</v>
      </c>
      <c r="U160" s="2" t="s">
        <v>34</v>
      </c>
      <c r="V160" s="32">
        <v>119562080</v>
      </c>
      <c r="Y160" s="30">
        <f t="shared" si="4"/>
        <v>119562080</v>
      </c>
      <c r="Z160" s="41">
        <f t="shared" si="5"/>
        <v>0</v>
      </c>
    </row>
    <row r="161" spans="1:27" ht="26.25">
      <c r="A161" s="2">
        <v>159</v>
      </c>
      <c r="B161" s="2">
        <v>1226980</v>
      </c>
      <c r="C161" s="2">
        <v>30107997190024</v>
      </c>
      <c r="D161" s="2" t="s">
        <v>45</v>
      </c>
      <c r="E161" s="2">
        <v>670023</v>
      </c>
      <c r="F161" s="2">
        <v>914301999</v>
      </c>
      <c r="G161" s="3">
        <v>36342</v>
      </c>
      <c r="H161" s="2" t="s">
        <v>590</v>
      </c>
      <c r="I161" s="2" t="s">
        <v>410</v>
      </c>
      <c r="J161" s="2" t="s">
        <v>562</v>
      </c>
      <c r="K161" s="2" t="s">
        <v>39</v>
      </c>
      <c r="L161" s="2" t="s">
        <v>27</v>
      </c>
      <c r="M161" s="2">
        <v>5340202</v>
      </c>
      <c r="N161" s="2" t="s">
        <v>499</v>
      </c>
      <c r="O161" s="2" t="s">
        <v>68</v>
      </c>
      <c r="P161" s="2" t="s">
        <v>490</v>
      </c>
      <c r="Q161" s="2" t="s">
        <v>591</v>
      </c>
      <c r="R161" s="2" t="s">
        <v>44</v>
      </c>
      <c r="S161" s="2">
        <v>8</v>
      </c>
      <c r="T161" s="2" t="s">
        <v>33</v>
      </c>
      <c r="U161" s="2" t="s">
        <v>34</v>
      </c>
      <c r="V161" s="32">
        <v>65759144</v>
      </c>
      <c r="Y161" s="30">
        <f t="shared" si="4"/>
        <v>65759144</v>
      </c>
      <c r="Z161" s="41">
        <f t="shared" si="5"/>
        <v>0</v>
      </c>
    </row>
    <row r="162" spans="1:27" ht="26.25">
      <c r="A162" s="2">
        <v>160</v>
      </c>
      <c r="B162" s="2">
        <v>2690066</v>
      </c>
      <c r="C162" s="2">
        <v>51406025440018</v>
      </c>
      <c r="D162" s="2" t="s">
        <v>22</v>
      </c>
      <c r="E162" s="2">
        <v>1281493</v>
      </c>
      <c r="F162" s="2">
        <v>932940071</v>
      </c>
      <c r="G162" s="3">
        <v>37421</v>
      </c>
      <c r="H162" s="2" t="s">
        <v>592</v>
      </c>
      <c r="I162" s="2" t="s">
        <v>593</v>
      </c>
      <c r="J162" s="2" t="s">
        <v>594</v>
      </c>
      <c r="K162" s="2" t="s">
        <v>39</v>
      </c>
      <c r="L162" s="2" t="s">
        <v>27</v>
      </c>
      <c r="M162" s="2">
        <v>5320102</v>
      </c>
      <c r="N162" s="2" t="s">
        <v>138</v>
      </c>
      <c r="O162" s="2" t="s">
        <v>60</v>
      </c>
      <c r="P162" s="2" t="s">
        <v>140</v>
      </c>
      <c r="Q162" s="2" t="s">
        <v>111</v>
      </c>
      <c r="R162" s="2" t="s">
        <v>62</v>
      </c>
      <c r="S162" s="2">
        <v>8</v>
      </c>
      <c r="T162" s="2" t="s">
        <v>33</v>
      </c>
      <c r="U162" s="2" t="s">
        <v>34</v>
      </c>
      <c r="V162" s="32">
        <v>59781040</v>
      </c>
      <c r="Y162" s="30">
        <f t="shared" si="4"/>
        <v>59781040</v>
      </c>
      <c r="Z162" s="41">
        <f t="shared" si="5"/>
        <v>0</v>
      </c>
    </row>
    <row r="163" spans="1:27" ht="15.75">
      <c r="A163" s="2">
        <v>161</v>
      </c>
      <c r="B163" s="2">
        <v>1079308</v>
      </c>
      <c r="C163" s="2">
        <v>31808940420070</v>
      </c>
      <c r="D163" s="2" t="s">
        <v>145</v>
      </c>
      <c r="E163" s="2">
        <v>972937</v>
      </c>
      <c r="F163" s="2">
        <v>949399394</v>
      </c>
      <c r="G163" s="3">
        <v>34564</v>
      </c>
      <c r="H163" s="2" t="s">
        <v>595</v>
      </c>
      <c r="I163" s="2" t="s">
        <v>596</v>
      </c>
      <c r="J163" s="2" t="s">
        <v>597</v>
      </c>
      <c r="K163" s="2" t="s">
        <v>39</v>
      </c>
      <c r="L163" s="2" t="s">
        <v>57</v>
      </c>
      <c r="M163" s="2">
        <v>5310202</v>
      </c>
      <c r="N163" s="2" t="s">
        <v>86</v>
      </c>
      <c r="O163" s="2" t="s">
        <v>104</v>
      </c>
      <c r="P163" s="2" t="s">
        <v>154</v>
      </c>
      <c r="Q163" s="5">
        <v>44317</v>
      </c>
      <c r="R163" s="2" t="s">
        <v>62</v>
      </c>
      <c r="S163" s="2">
        <v>8</v>
      </c>
      <c r="T163" s="2" t="s">
        <v>33</v>
      </c>
      <c r="U163" s="2" t="s">
        <v>34</v>
      </c>
      <c r="V163" s="29" t="s">
        <v>2813</v>
      </c>
      <c r="W163" s="21">
        <f>6000000+1600000</f>
        <v>7600000</v>
      </c>
      <c r="X163" s="11" t="s">
        <v>2934</v>
      </c>
      <c r="Y163" s="30">
        <f t="shared" si="4"/>
        <v>2488050.5</v>
      </c>
      <c r="Z163" s="41">
        <f t="shared" si="5"/>
        <v>0.7533665696855899</v>
      </c>
      <c r="AA163" s="42" t="s">
        <v>2798</v>
      </c>
    </row>
    <row r="164" spans="1:27" ht="26.25">
      <c r="A164" s="2">
        <v>162</v>
      </c>
      <c r="B164" s="2">
        <v>1080938</v>
      </c>
      <c r="C164" s="2">
        <v>30107996840023</v>
      </c>
      <c r="D164" s="2" t="s">
        <v>45</v>
      </c>
      <c r="E164" s="2">
        <v>3852642</v>
      </c>
      <c r="F164" s="2">
        <v>998562820</v>
      </c>
      <c r="G164" s="3">
        <v>36342</v>
      </c>
      <c r="H164" s="2" t="s">
        <v>36</v>
      </c>
      <c r="I164" s="2" t="s">
        <v>120</v>
      </c>
      <c r="J164" s="2" t="s">
        <v>598</v>
      </c>
      <c r="K164" s="2" t="s">
        <v>39</v>
      </c>
      <c r="L164" s="2" t="s">
        <v>27</v>
      </c>
      <c r="M164" s="2">
        <v>5340604</v>
      </c>
      <c r="N164" s="2" t="s">
        <v>354</v>
      </c>
      <c r="O164" s="2" t="s">
        <v>384</v>
      </c>
      <c r="P164" s="2" t="s">
        <v>42</v>
      </c>
      <c r="Q164" s="2" t="s">
        <v>253</v>
      </c>
      <c r="R164" s="2" t="s">
        <v>44</v>
      </c>
      <c r="S164" s="2">
        <v>8</v>
      </c>
      <c r="T164" s="2" t="s">
        <v>33</v>
      </c>
      <c r="U164" s="2" t="s">
        <v>34</v>
      </c>
      <c r="V164" s="32">
        <v>131518288</v>
      </c>
      <c r="Y164" s="30">
        <f t="shared" si="4"/>
        <v>131518288</v>
      </c>
      <c r="Z164" s="41">
        <f t="shared" si="5"/>
        <v>0</v>
      </c>
    </row>
    <row r="165" spans="1:27" ht="26.25">
      <c r="A165" s="2">
        <v>163</v>
      </c>
      <c r="B165" s="2">
        <v>3300855</v>
      </c>
      <c r="C165" s="2">
        <v>61407047360028</v>
      </c>
      <c r="D165" s="2" t="s">
        <v>74</v>
      </c>
      <c r="E165" s="2">
        <v>211489</v>
      </c>
      <c r="F165" s="2">
        <v>937121407</v>
      </c>
      <c r="G165" s="3">
        <v>38182</v>
      </c>
      <c r="H165" s="2" t="s">
        <v>599</v>
      </c>
      <c r="I165" s="2" t="s">
        <v>600</v>
      </c>
      <c r="J165" s="2" t="s">
        <v>601</v>
      </c>
      <c r="K165" s="2" t="s">
        <v>26</v>
      </c>
      <c r="L165" s="2" t="s">
        <v>27</v>
      </c>
      <c r="M165" s="2">
        <v>5350701</v>
      </c>
      <c r="N165" s="2" t="s">
        <v>338</v>
      </c>
      <c r="O165" s="2" t="s">
        <v>60</v>
      </c>
      <c r="P165" s="2" t="s">
        <v>339</v>
      </c>
      <c r="Q165" s="2" t="s">
        <v>602</v>
      </c>
      <c r="R165" s="2" t="s">
        <v>93</v>
      </c>
      <c r="S165" s="2">
        <v>8</v>
      </c>
      <c r="T165" s="2" t="s">
        <v>33</v>
      </c>
      <c r="U165" s="2" t="s">
        <v>34</v>
      </c>
      <c r="V165" s="32">
        <v>51061968</v>
      </c>
      <c r="W165" s="21">
        <v>28368000</v>
      </c>
      <c r="X165" s="11" t="s">
        <v>2625</v>
      </c>
      <c r="Y165" s="30">
        <f t="shared" si="4"/>
        <v>22693968</v>
      </c>
      <c r="Z165" s="41">
        <f t="shared" si="5"/>
        <v>0.5555602557269238</v>
      </c>
    </row>
    <row r="166" spans="1:27" ht="26.25">
      <c r="A166" s="2">
        <v>164</v>
      </c>
      <c r="B166" s="2">
        <v>3526084</v>
      </c>
      <c r="C166" s="2">
        <v>50712026770034</v>
      </c>
      <c r="D166" s="2" t="s">
        <v>22</v>
      </c>
      <c r="E166" s="2">
        <v>486344</v>
      </c>
      <c r="F166" s="2">
        <v>944082422</v>
      </c>
      <c r="G166" s="3">
        <v>37597</v>
      </c>
      <c r="H166" s="2" t="s">
        <v>485</v>
      </c>
      <c r="I166" s="2" t="s">
        <v>603</v>
      </c>
      <c r="J166" s="2" t="s">
        <v>604</v>
      </c>
      <c r="K166" s="2" t="s">
        <v>26</v>
      </c>
      <c r="L166" s="2" t="s">
        <v>27</v>
      </c>
      <c r="M166" s="2">
        <v>5620400</v>
      </c>
      <c r="N166" s="2" t="s">
        <v>103</v>
      </c>
      <c r="O166" s="2" t="s">
        <v>384</v>
      </c>
      <c r="P166" s="2" t="s">
        <v>105</v>
      </c>
      <c r="Q166" s="2" t="s">
        <v>605</v>
      </c>
      <c r="R166" s="2" t="s">
        <v>53</v>
      </c>
      <c r="S166" s="2">
        <v>8</v>
      </c>
      <c r="T166" s="2" t="s">
        <v>33</v>
      </c>
      <c r="U166" s="2" t="s">
        <v>34</v>
      </c>
      <c r="V166" s="32">
        <v>102601760</v>
      </c>
      <c r="W166" s="20">
        <f>51301000+25323385</f>
        <v>76624385</v>
      </c>
      <c r="X166" s="2" t="s">
        <v>2880</v>
      </c>
      <c r="Y166" s="30">
        <f t="shared" si="4"/>
        <v>25977375</v>
      </c>
      <c r="Z166" s="41">
        <f t="shared" si="5"/>
        <v>0.74681355368562874</v>
      </c>
    </row>
    <row r="167" spans="1:27" ht="26.25">
      <c r="A167" s="2">
        <v>165</v>
      </c>
      <c r="B167" s="2">
        <v>1975328</v>
      </c>
      <c r="C167" s="2">
        <v>30909997250052</v>
      </c>
      <c r="D167" s="2" t="s">
        <v>35</v>
      </c>
      <c r="E167" s="2">
        <v>1019963</v>
      </c>
      <c r="F167" s="2">
        <v>993185032</v>
      </c>
      <c r="G167" s="3">
        <v>36412</v>
      </c>
      <c r="H167" s="2" t="s">
        <v>606</v>
      </c>
      <c r="I167" s="2" t="s">
        <v>607</v>
      </c>
      <c r="J167" s="2" t="s">
        <v>608</v>
      </c>
      <c r="K167" s="2" t="s">
        <v>39</v>
      </c>
      <c r="L167" s="2" t="s">
        <v>27</v>
      </c>
      <c r="M167" s="2">
        <v>5340605</v>
      </c>
      <c r="N167" s="2" t="s">
        <v>40</v>
      </c>
      <c r="O167" s="2" t="s">
        <v>60</v>
      </c>
      <c r="P167" s="2" t="s">
        <v>42</v>
      </c>
      <c r="Q167" s="5">
        <v>44338</v>
      </c>
      <c r="R167" s="2" t="s">
        <v>44</v>
      </c>
      <c r="S167" s="2">
        <v>8</v>
      </c>
      <c r="T167" s="2" t="s">
        <v>33</v>
      </c>
      <c r="U167" s="2" t="s">
        <v>34</v>
      </c>
      <c r="V167" s="32">
        <v>65759144</v>
      </c>
      <c r="Y167" s="30">
        <f t="shared" si="4"/>
        <v>65759144</v>
      </c>
      <c r="Z167" s="41">
        <f t="shared" si="5"/>
        <v>0</v>
      </c>
    </row>
    <row r="168" spans="1:27" ht="26.25">
      <c r="A168" s="2">
        <v>166</v>
      </c>
      <c r="B168" s="2">
        <v>3348047</v>
      </c>
      <c r="C168" s="2">
        <v>51808036350014</v>
      </c>
      <c r="D168" s="2" t="s">
        <v>22</v>
      </c>
      <c r="E168" s="2">
        <v>2176380</v>
      </c>
      <c r="F168" s="2">
        <v>915830818</v>
      </c>
      <c r="G168" s="3">
        <v>37851</v>
      </c>
      <c r="H168" s="2" t="s">
        <v>460</v>
      </c>
      <c r="I168" s="2" t="s">
        <v>609</v>
      </c>
      <c r="J168" s="2" t="s">
        <v>610</v>
      </c>
      <c r="K168" s="2" t="s">
        <v>26</v>
      </c>
      <c r="L168" s="2" t="s">
        <v>27</v>
      </c>
      <c r="M168" s="2">
        <v>5310605</v>
      </c>
      <c r="N168" s="2" t="s">
        <v>97</v>
      </c>
      <c r="O168" s="2" t="s">
        <v>225</v>
      </c>
      <c r="P168" s="2" t="s">
        <v>98</v>
      </c>
      <c r="Q168" s="2" t="s">
        <v>166</v>
      </c>
      <c r="R168" s="2" t="s">
        <v>53</v>
      </c>
      <c r="S168" s="2">
        <v>8</v>
      </c>
      <c r="T168" s="2" t="s">
        <v>33</v>
      </c>
      <c r="U168" s="2" t="s">
        <v>34</v>
      </c>
      <c r="V168" s="32">
        <v>46170792</v>
      </c>
      <c r="W168" s="21">
        <f>28400000+6479199+7098991.95+6646973</f>
        <v>48625163.950000003</v>
      </c>
      <c r="X168" s="10" t="s">
        <v>2793</v>
      </c>
      <c r="Y168" s="30">
        <f t="shared" si="4"/>
        <v>-2454371.950000003</v>
      </c>
      <c r="Z168" s="41">
        <f t="shared" si="5"/>
        <v>1.05315854122667</v>
      </c>
    </row>
    <row r="169" spans="1:27">
      <c r="A169" s="2">
        <v>167</v>
      </c>
      <c r="B169" s="2">
        <v>2064687</v>
      </c>
      <c r="C169" s="2">
        <v>31203997360010</v>
      </c>
      <c r="D169" s="2" t="s">
        <v>35</v>
      </c>
      <c r="E169" s="2">
        <v>745649</v>
      </c>
      <c r="F169" s="2">
        <v>995713815</v>
      </c>
      <c r="G169" s="3">
        <v>36231</v>
      </c>
      <c r="H169" s="2" t="s">
        <v>611</v>
      </c>
      <c r="I169" s="2" t="s">
        <v>612</v>
      </c>
      <c r="J169" s="2" t="s">
        <v>613</v>
      </c>
      <c r="K169" s="2" t="s">
        <v>39</v>
      </c>
      <c r="L169" s="2" t="s">
        <v>27</v>
      </c>
      <c r="M169" s="2">
        <v>5230104</v>
      </c>
      <c r="N169" s="2" t="s">
        <v>78</v>
      </c>
      <c r="O169" s="2" t="s">
        <v>198</v>
      </c>
      <c r="P169" s="2" t="s">
        <v>80</v>
      </c>
      <c r="Q169" s="2" t="s">
        <v>469</v>
      </c>
      <c r="R169" s="2" t="s">
        <v>82</v>
      </c>
      <c r="S169" s="2">
        <v>10</v>
      </c>
      <c r="T169" s="2" t="s">
        <v>33</v>
      </c>
      <c r="U169" s="2" t="s">
        <v>34</v>
      </c>
      <c r="V169" s="32">
        <v>104616820</v>
      </c>
      <c r="Y169" s="30">
        <f t="shared" si="4"/>
        <v>104616820</v>
      </c>
      <c r="Z169" s="41">
        <f t="shared" si="5"/>
        <v>0</v>
      </c>
    </row>
    <row r="170" spans="1:27">
      <c r="A170" s="2">
        <v>168</v>
      </c>
      <c r="B170" s="2">
        <v>1644558</v>
      </c>
      <c r="C170" s="2">
        <v>31104952610101</v>
      </c>
      <c r="D170" s="2" t="s">
        <v>145</v>
      </c>
      <c r="E170" s="2">
        <v>6737111</v>
      </c>
      <c r="F170" s="2">
        <v>908631123</v>
      </c>
      <c r="G170" s="3">
        <v>34800</v>
      </c>
      <c r="H170" s="2" t="s">
        <v>614</v>
      </c>
      <c r="I170" s="2" t="s">
        <v>451</v>
      </c>
      <c r="J170" s="2" t="s">
        <v>615</v>
      </c>
      <c r="K170" s="2" t="s">
        <v>39</v>
      </c>
      <c r="L170" s="2" t="s">
        <v>27</v>
      </c>
      <c r="M170" s="2">
        <v>5310606</v>
      </c>
      <c r="N170" s="2" t="s">
        <v>72</v>
      </c>
      <c r="O170" s="2" t="s">
        <v>281</v>
      </c>
      <c r="P170" s="2" t="s">
        <v>73</v>
      </c>
      <c r="Q170" s="2" t="s">
        <v>61</v>
      </c>
      <c r="R170" s="2" t="s">
        <v>62</v>
      </c>
      <c r="S170" s="2">
        <v>8</v>
      </c>
      <c r="T170" s="2" t="s">
        <v>33</v>
      </c>
      <c r="U170" s="2" t="s">
        <v>34</v>
      </c>
      <c r="V170" s="32">
        <v>119562080</v>
      </c>
      <c r="Y170" s="30">
        <f t="shared" si="4"/>
        <v>119562080</v>
      </c>
      <c r="Z170" s="41">
        <f t="shared" si="5"/>
        <v>0</v>
      </c>
    </row>
    <row r="171" spans="1:27" ht="26.25">
      <c r="A171" s="2">
        <v>169</v>
      </c>
      <c r="B171" s="2">
        <v>3602388</v>
      </c>
      <c r="C171" s="2">
        <v>50604035830022</v>
      </c>
      <c r="D171" s="2" t="s">
        <v>22</v>
      </c>
      <c r="E171" s="2">
        <v>2297829</v>
      </c>
      <c r="F171" s="2">
        <v>944805797</v>
      </c>
      <c r="G171" s="3">
        <v>37717</v>
      </c>
      <c r="H171" s="2" t="s">
        <v>616</v>
      </c>
      <c r="I171" s="2" t="s">
        <v>617</v>
      </c>
      <c r="J171" s="2" t="s">
        <v>618</v>
      </c>
      <c r="K171" s="2" t="s">
        <v>26</v>
      </c>
      <c r="L171" s="2" t="s">
        <v>27</v>
      </c>
      <c r="M171" s="2">
        <v>5320102</v>
      </c>
      <c r="N171" s="2" t="s">
        <v>138</v>
      </c>
      <c r="O171" s="2" t="s">
        <v>104</v>
      </c>
      <c r="P171" s="2" t="s">
        <v>154</v>
      </c>
      <c r="Q171" s="5">
        <v>44317</v>
      </c>
      <c r="R171" s="2" t="s">
        <v>53</v>
      </c>
      <c r="S171" s="2">
        <v>8</v>
      </c>
      <c r="T171" s="2" t="s">
        <v>33</v>
      </c>
      <c r="U171" s="2" t="s">
        <v>34</v>
      </c>
      <c r="V171" s="29" t="s">
        <v>2890</v>
      </c>
      <c r="W171" s="21">
        <f>4810000+1850000</f>
        <v>6660000</v>
      </c>
      <c r="X171" s="11" t="s">
        <v>2888</v>
      </c>
      <c r="Y171" s="30">
        <f t="shared" si="4"/>
        <v>1997023.5</v>
      </c>
      <c r="Z171" s="41">
        <f t="shared" si="5"/>
        <v>0.76931753737297814</v>
      </c>
      <c r="AA171" s="42" t="s">
        <v>2798</v>
      </c>
    </row>
    <row r="172" spans="1:27" ht="39">
      <c r="A172" s="2">
        <v>170</v>
      </c>
      <c r="B172" s="2">
        <v>3599889</v>
      </c>
      <c r="C172" s="2">
        <v>52708035560029</v>
      </c>
      <c r="D172" s="2" t="s">
        <v>22</v>
      </c>
      <c r="E172" s="2">
        <v>2424891</v>
      </c>
      <c r="F172" s="2">
        <v>914749096</v>
      </c>
      <c r="G172" s="3">
        <v>37860</v>
      </c>
      <c r="H172" s="2" t="s">
        <v>619</v>
      </c>
      <c r="I172" s="2" t="s">
        <v>620</v>
      </c>
      <c r="J172" s="2" t="s">
        <v>621</v>
      </c>
      <c r="K172" s="2" t="s">
        <v>39</v>
      </c>
      <c r="L172" s="2" t="s">
        <v>27</v>
      </c>
      <c r="M172" s="2">
        <v>5320200</v>
      </c>
      <c r="N172" s="2" t="s">
        <v>66</v>
      </c>
      <c r="O172" s="2" t="s">
        <v>155</v>
      </c>
      <c r="P172" s="2" t="s">
        <v>68</v>
      </c>
      <c r="Q172" s="2" t="s">
        <v>43</v>
      </c>
      <c r="R172" s="2" t="s">
        <v>62</v>
      </c>
      <c r="S172" s="2">
        <v>8</v>
      </c>
      <c r="T172" s="2" t="s">
        <v>33</v>
      </c>
      <c r="U172" s="2" t="s">
        <v>34</v>
      </c>
      <c r="V172" s="29" t="s">
        <v>2748</v>
      </c>
      <c r="W172" s="20">
        <v>30000000</v>
      </c>
      <c r="X172" s="2" t="s">
        <v>2682</v>
      </c>
      <c r="Y172" s="30">
        <f t="shared" si="4"/>
        <v>23802936</v>
      </c>
      <c r="Z172" s="41">
        <f t="shared" si="5"/>
        <v>0.55759038874755829</v>
      </c>
      <c r="AA172" s="42" t="s">
        <v>2798</v>
      </c>
    </row>
    <row r="173" spans="1:27" ht="26.25">
      <c r="A173" s="2">
        <v>171</v>
      </c>
      <c r="B173" s="2">
        <v>1585452</v>
      </c>
      <c r="C173" s="2">
        <v>52906005660018</v>
      </c>
      <c r="D173" s="2" t="s">
        <v>45</v>
      </c>
      <c r="E173" s="2">
        <v>6777226</v>
      </c>
      <c r="F173" s="2">
        <v>939336969</v>
      </c>
      <c r="G173" s="3">
        <v>36706</v>
      </c>
      <c r="H173" s="2" t="s">
        <v>622</v>
      </c>
      <c r="I173" s="2" t="s">
        <v>623</v>
      </c>
      <c r="J173" s="2" t="s">
        <v>624</v>
      </c>
      <c r="K173" s="2" t="s">
        <v>39</v>
      </c>
      <c r="L173" s="2" t="s">
        <v>27</v>
      </c>
      <c r="M173" s="2">
        <v>5310701</v>
      </c>
      <c r="N173" s="2" t="s">
        <v>118</v>
      </c>
      <c r="O173" s="2" t="s">
        <v>225</v>
      </c>
      <c r="P173" s="2" t="s">
        <v>123</v>
      </c>
      <c r="Q173" s="2" t="s">
        <v>440</v>
      </c>
      <c r="R173" s="2" t="s">
        <v>62</v>
      </c>
      <c r="S173" s="2">
        <v>8</v>
      </c>
      <c r="T173" s="2" t="s">
        <v>33</v>
      </c>
      <c r="U173" s="2" t="s">
        <v>34</v>
      </c>
      <c r="V173" s="32">
        <v>59781040</v>
      </c>
      <c r="Y173" s="30">
        <f t="shared" si="4"/>
        <v>59781040</v>
      </c>
      <c r="Z173" s="41">
        <f t="shared" si="5"/>
        <v>0</v>
      </c>
    </row>
    <row r="174" spans="1:27" ht="26.25">
      <c r="A174" s="2">
        <v>172</v>
      </c>
      <c r="B174" s="2">
        <v>3641991</v>
      </c>
      <c r="C174" s="2">
        <v>51410035330023</v>
      </c>
      <c r="D174" s="2" t="s">
        <v>22</v>
      </c>
      <c r="E174" s="2">
        <v>2298312</v>
      </c>
      <c r="F174" s="2">
        <v>993893451</v>
      </c>
      <c r="G174" s="3">
        <v>37908</v>
      </c>
      <c r="H174" s="2" t="s">
        <v>625</v>
      </c>
      <c r="I174" s="2" t="s">
        <v>626</v>
      </c>
      <c r="J174" s="2" t="s">
        <v>627</v>
      </c>
      <c r="K174" s="2" t="s">
        <v>39</v>
      </c>
      <c r="L174" s="2" t="s">
        <v>27</v>
      </c>
      <c r="M174" s="2">
        <v>5340602</v>
      </c>
      <c r="N174" s="2" t="s">
        <v>628</v>
      </c>
      <c r="O174" s="2" t="s">
        <v>223</v>
      </c>
      <c r="P174" s="2" t="s">
        <v>629</v>
      </c>
      <c r="Q174" s="2" t="s">
        <v>124</v>
      </c>
      <c r="R174" s="2" t="s">
        <v>44</v>
      </c>
      <c r="S174" s="2">
        <v>8</v>
      </c>
      <c r="T174" s="2" t="s">
        <v>33</v>
      </c>
      <c r="U174" s="2" t="s">
        <v>34</v>
      </c>
      <c r="V174" s="32" t="s">
        <v>2727</v>
      </c>
      <c r="W174" s="21">
        <f>65500000+26509144</f>
        <v>92009144</v>
      </c>
      <c r="X174" s="10" t="s">
        <v>2950</v>
      </c>
      <c r="Y174" s="30">
        <f t="shared" si="4"/>
        <v>26357315.200000003</v>
      </c>
      <c r="Z174" s="41">
        <f t="shared" si="5"/>
        <v>0.77732446017106172</v>
      </c>
    </row>
    <row r="175" spans="1:27">
      <c r="A175" s="2">
        <v>173</v>
      </c>
      <c r="B175" s="2">
        <v>2909354</v>
      </c>
      <c r="C175" s="2">
        <v>30603922560134</v>
      </c>
      <c r="D175" s="2" t="s">
        <v>45</v>
      </c>
      <c r="E175" s="2">
        <v>6377628</v>
      </c>
      <c r="F175" s="2">
        <v>942928098</v>
      </c>
      <c r="G175" s="3">
        <v>33669</v>
      </c>
      <c r="H175" s="2" t="s">
        <v>630</v>
      </c>
      <c r="I175" s="2" t="s">
        <v>631</v>
      </c>
      <c r="J175" s="2" t="s">
        <v>632</v>
      </c>
      <c r="K175" s="2" t="s">
        <v>39</v>
      </c>
      <c r="L175" s="2" t="s">
        <v>27</v>
      </c>
      <c r="M175" s="2">
        <v>5620400</v>
      </c>
      <c r="N175" s="2" t="s">
        <v>103</v>
      </c>
      <c r="O175" s="2" t="s">
        <v>154</v>
      </c>
      <c r="P175" s="2" t="s">
        <v>123</v>
      </c>
      <c r="Q175" s="5">
        <v>44492</v>
      </c>
      <c r="R175" s="2" t="s">
        <v>62</v>
      </c>
      <c r="S175" s="2">
        <v>8</v>
      </c>
      <c r="T175" s="2" t="s">
        <v>33</v>
      </c>
      <c r="U175" s="2" t="s">
        <v>34</v>
      </c>
      <c r="V175" s="32">
        <v>59781040</v>
      </c>
      <c r="W175" s="20">
        <v>29891000</v>
      </c>
      <c r="X175" s="2" t="s">
        <v>2677</v>
      </c>
      <c r="Y175" s="30">
        <f t="shared" si="4"/>
        <v>29890040</v>
      </c>
      <c r="Z175" s="41">
        <f t="shared" si="5"/>
        <v>0.50000802930159793</v>
      </c>
    </row>
    <row r="176" spans="1:27">
      <c r="A176" s="2">
        <v>174</v>
      </c>
      <c r="B176" s="2">
        <v>3261471</v>
      </c>
      <c r="C176" s="2">
        <v>50810036240030</v>
      </c>
      <c r="D176" s="2" t="s">
        <v>22</v>
      </c>
      <c r="E176" s="2">
        <v>2576453</v>
      </c>
      <c r="F176" s="2">
        <v>942053289</v>
      </c>
      <c r="G176" s="3">
        <v>37902</v>
      </c>
      <c r="H176" s="2" t="s">
        <v>633</v>
      </c>
      <c r="I176" s="2" t="s">
        <v>634</v>
      </c>
      <c r="J176" s="2" t="s">
        <v>536</v>
      </c>
      <c r="K176" s="2" t="s">
        <v>26</v>
      </c>
      <c r="L176" s="2" t="s">
        <v>27</v>
      </c>
      <c r="M176" s="2">
        <v>5230406</v>
      </c>
      <c r="N176" s="2" t="s">
        <v>635</v>
      </c>
      <c r="O176" s="2" t="s">
        <v>199</v>
      </c>
      <c r="P176" s="2" t="s">
        <v>68</v>
      </c>
      <c r="Q176" s="5">
        <v>44471</v>
      </c>
      <c r="R176" s="2" t="s">
        <v>134</v>
      </c>
      <c r="S176" s="2">
        <v>10</v>
      </c>
      <c r="T176" s="2" t="s">
        <v>33</v>
      </c>
      <c r="U176" s="2" t="s">
        <v>34</v>
      </c>
      <c r="V176" s="32">
        <v>22824825</v>
      </c>
      <c r="W176" s="20">
        <v>11500000</v>
      </c>
      <c r="X176" s="2" t="s">
        <v>2654</v>
      </c>
      <c r="Y176" s="30">
        <f t="shared" si="4"/>
        <v>11324825</v>
      </c>
      <c r="Z176" s="41">
        <f t="shared" si="5"/>
        <v>0.50383737881889568</v>
      </c>
    </row>
    <row r="177" spans="1:27">
      <c r="A177" s="2">
        <v>175</v>
      </c>
      <c r="B177" s="2">
        <v>2573788</v>
      </c>
      <c r="C177" s="2">
        <v>51902036080015</v>
      </c>
      <c r="D177" s="2" t="s">
        <v>22</v>
      </c>
      <c r="E177" s="2">
        <v>1774680</v>
      </c>
      <c r="F177" s="2">
        <v>933566284</v>
      </c>
      <c r="G177" s="3">
        <v>37671</v>
      </c>
      <c r="H177" s="2" t="s">
        <v>636</v>
      </c>
      <c r="I177" s="2" t="s">
        <v>637</v>
      </c>
      <c r="J177" s="2" t="s">
        <v>638</v>
      </c>
      <c r="K177" s="2" t="s">
        <v>26</v>
      </c>
      <c r="L177" s="2" t="s">
        <v>27</v>
      </c>
      <c r="M177" s="2">
        <v>5620400</v>
      </c>
      <c r="N177" s="2" t="s">
        <v>103</v>
      </c>
      <c r="O177" s="2" t="s">
        <v>639</v>
      </c>
      <c r="P177" s="2" t="s">
        <v>105</v>
      </c>
      <c r="Q177" s="2" t="s">
        <v>640</v>
      </c>
      <c r="R177" s="2" t="s">
        <v>53</v>
      </c>
      <c r="S177" s="2">
        <v>8</v>
      </c>
      <c r="T177" s="2" t="s">
        <v>33</v>
      </c>
      <c r="U177" s="2" t="s">
        <v>34</v>
      </c>
      <c r="V177" s="32">
        <v>102601760</v>
      </c>
      <c r="Y177" s="30">
        <f t="shared" si="4"/>
        <v>102601760</v>
      </c>
      <c r="Z177" s="41">
        <f t="shared" si="5"/>
        <v>0</v>
      </c>
    </row>
    <row r="178" spans="1:27" ht="26.25">
      <c r="A178" s="2">
        <v>176</v>
      </c>
      <c r="B178" s="2">
        <v>1109060</v>
      </c>
      <c r="C178" s="2">
        <v>53007016050012</v>
      </c>
      <c r="D178" s="2" t="s">
        <v>45</v>
      </c>
      <c r="E178" s="2">
        <v>7391615</v>
      </c>
      <c r="F178" s="2">
        <v>993391930</v>
      </c>
      <c r="G178" s="3">
        <v>37102</v>
      </c>
      <c r="H178" s="2" t="s">
        <v>641</v>
      </c>
      <c r="I178" s="2" t="s">
        <v>642</v>
      </c>
      <c r="J178" s="2" t="s">
        <v>643</v>
      </c>
      <c r="K178" s="2" t="s">
        <v>39</v>
      </c>
      <c r="L178" s="2" t="s">
        <v>27</v>
      </c>
      <c r="M178" s="2">
        <v>5620701</v>
      </c>
      <c r="N178" s="2" t="s">
        <v>218</v>
      </c>
      <c r="O178" s="2" t="s">
        <v>296</v>
      </c>
      <c r="P178" s="2" t="s">
        <v>219</v>
      </c>
      <c r="Q178" s="2" t="s">
        <v>299</v>
      </c>
      <c r="R178" s="2" t="s">
        <v>62</v>
      </c>
      <c r="S178" s="2">
        <v>8</v>
      </c>
      <c r="T178" s="2" t="s">
        <v>33</v>
      </c>
      <c r="U178" s="2" t="s">
        <v>34</v>
      </c>
      <c r="V178" s="29">
        <v>53802936</v>
      </c>
      <c r="Y178" s="30">
        <f t="shared" si="4"/>
        <v>53802936</v>
      </c>
      <c r="Z178" s="41">
        <f t="shared" si="5"/>
        <v>0</v>
      </c>
    </row>
    <row r="179" spans="1:27" ht="26.25">
      <c r="A179" s="2">
        <v>177</v>
      </c>
      <c r="B179" s="2">
        <v>3531679</v>
      </c>
      <c r="C179" s="2">
        <v>16141666774120</v>
      </c>
      <c r="D179" s="2" t="s">
        <v>644</v>
      </c>
      <c r="E179" s="2">
        <v>186361</v>
      </c>
      <c r="F179" s="2">
        <v>936621697</v>
      </c>
      <c r="G179" s="3">
        <v>35597</v>
      </c>
      <c r="H179" s="2" t="s">
        <v>645</v>
      </c>
      <c r="I179" s="2" t="s">
        <v>646</v>
      </c>
      <c r="J179" s="2" t="s">
        <v>647</v>
      </c>
      <c r="K179" s="2" t="s">
        <v>39</v>
      </c>
      <c r="L179" s="2" t="s">
        <v>27</v>
      </c>
      <c r="M179" s="2">
        <v>5320102</v>
      </c>
      <c r="N179" s="2" t="s">
        <v>138</v>
      </c>
      <c r="O179" s="2" t="s">
        <v>122</v>
      </c>
      <c r="P179" s="2" t="s">
        <v>140</v>
      </c>
      <c r="Q179" s="2" t="s">
        <v>43</v>
      </c>
      <c r="R179" s="2" t="s">
        <v>62</v>
      </c>
      <c r="S179" s="2">
        <v>8</v>
      </c>
      <c r="T179" s="2" t="s">
        <v>33</v>
      </c>
      <c r="U179" s="2" t="s">
        <v>34</v>
      </c>
      <c r="V179" s="32">
        <v>59781040</v>
      </c>
      <c r="Y179" s="30">
        <f t="shared" si="4"/>
        <v>59781040</v>
      </c>
      <c r="Z179" s="41">
        <f t="shared" si="5"/>
        <v>0</v>
      </c>
    </row>
    <row r="180" spans="1:27">
      <c r="A180" s="2">
        <v>178</v>
      </c>
      <c r="B180" s="2">
        <v>2537221</v>
      </c>
      <c r="C180" s="2">
        <v>51106026060018</v>
      </c>
      <c r="D180" s="2" t="s">
        <v>22</v>
      </c>
      <c r="E180" s="2">
        <v>715419</v>
      </c>
      <c r="F180" s="2">
        <v>995972011</v>
      </c>
      <c r="G180" s="3">
        <v>37418</v>
      </c>
      <c r="H180" s="2" t="s">
        <v>648</v>
      </c>
      <c r="I180" s="2" t="s">
        <v>517</v>
      </c>
      <c r="J180" s="2" t="s">
        <v>649</v>
      </c>
      <c r="K180" s="2" t="s">
        <v>26</v>
      </c>
      <c r="L180" s="2" t="s">
        <v>27</v>
      </c>
      <c r="M180" s="2">
        <v>5230105</v>
      </c>
      <c r="N180" s="2" t="s">
        <v>407</v>
      </c>
      <c r="O180" s="2" t="s">
        <v>122</v>
      </c>
      <c r="P180" s="2" t="s">
        <v>408</v>
      </c>
      <c r="Q180" s="2" t="s">
        <v>549</v>
      </c>
      <c r="R180" s="2" t="s">
        <v>134</v>
      </c>
      <c r="S180" s="2">
        <v>10</v>
      </c>
      <c r="T180" s="2" t="s">
        <v>33</v>
      </c>
      <c r="U180" s="2" t="s">
        <v>34</v>
      </c>
      <c r="V180" s="32">
        <v>91299300</v>
      </c>
      <c r="Y180" s="30">
        <f t="shared" si="4"/>
        <v>91299300</v>
      </c>
      <c r="Z180" s="41">
        <f t="shared" si="5"/>
        <v>0</v>
      </c>
    </row>
    <row r="181" spans="1:27" ht="26.25">
      <c r="A181" s="2">
        <v>179</v>
      </c>
      <c r="B181" s="2">
        <v>2674220</v>
      </c>
      <c r="C181" s="2">
        <v>52403025850013</v>
      </c>
      <c r="D181" s="2" t="s">
        <v>45</v>
      </c>
      <c r="E181" s="2">
        <v>9353492</v>
      </c>
      <c r="F181" s="2">
        <v>933162414</v>
      </c>
      <c r="G181" s="3">
        <v>37339</v>
      </c>
      <c r="H181" s="2" t="s">
        <v>650</v>
      </c>
      <c r="I181" s="2" t="s">
        <v>651</v>
      </c>
      <c r="J181" s="2" t="s">
        <v>652</v>
      </c>
      <c r="K181" s="2" t="s">
        <v>39</v>
      </c>
      <c r="L181" s="2" t="s">
        <v>57</v>
      </c>
      <c r="M181" s="2">
        <v>5310601</v>
      </c>
      <c r="N181" s="2" t="s">
        <v>153</v>
      </c>
      <c r="O181" s="2" t="s">
        <v>207</v>
      </c>
      <c r="P181" s="2" t="s">
        <v>155</v>
      </c>
      <c r="Q181" s="5">
        <v>44471</v>
      </c>
      <c r="R181" s="2" t="s">
        <v>62</v>
      </c>
      <c r="S181" s="2">
        <v>8</v>
      </c>
      <c r="T181" s="2" t="s">
        <v>33</v>
      </c>
      <c r="U181" s="2" t="s">
        <v>34</v>
      </c>
      <c r="V181" s="29" t="s">
        <v>2792</v>
      </c>
      <c r="W181" s="21">
        <f>10000000+2000000+4815000</f>
        <v>16815000</v>
      </c>
      <c r="X181" s="11" t="s">
        <v>2978</v>
      </c>
      <c r="Y181" s="30">
        <f t="shared" si="4"/>
        <v>-1582.5</v>
      </c>
      <c r="Z181" s="41">
        <f t="shared" si="5"/>
        <v>1.0000941212576206</v>
      </c>
      <c r="AA181" s="42" t="s">
        <v>2798</v>
      </c>
    </row>
    <row r="182" spans="1:27" ht="26.25">
      <c r="A182" s="2">
        <v>180</v>
      </c>
      <c r="B182" s="2">
        <v>1210031</v>
      </c>
      <c r="C182" s="2">
        <v>50909015590049</v>
      </c>
      <c r="D182" s="2" t="s">
        <v>45</v>
      </c>
      <c r="E182" s="2">
        <v>8656769</v>
      </c>
      <c r="F182" s="2">
        <v>973850987</v>
      </c>
      <c r="G182" s="3">
        <v>37143</v>
      </c>
      <c r="H182" s="2" t="s">
        <v>653</v>
      </c>
      <c r="I182" s="2" t="s">
        <v>654</v>
      </c>
      <c r="J182" s="2" t="s">
        <v>483</v>
      </c>
      <c r="K182" s="2" t="s">
        <v>39</v>
      </c>
      <c r="L182" s="2" t="s">
        <v>27</v>
      </c>
      <c r="M182" s="2">
        <v>5340604</v>
      </c>
      <c r="N182" s="2" t="s">
        <v>354</v>
      </c>
      <c r="O182" s="2" t="s">
        <v>154</v>
      </c>
      <c r="P182" s="2" t="s">
        <v>42</v>
      </c>
      <c r="Q182" s="4">
        <v>18537</v>
      </c>
      <c r="R182" s="2" t="s">
        <v>44</v>
      </c>
      <c r="S182" s="2">
        <v>8</v>
      </c>
      <c r="T182" s="2" t="s">
        <v>33</v>
      </c>
      <c r="U182" s="2" t="s">
        <v>34</v>
      </c>
      <c r="V182" s="32">
        <v>65759144</v>
      </c>
      <c r="Y182" s="30">
        <f t="shared" si="4"/>
        <v>65759144</v>
      </c>
      <c r="Z182" s="41">
        <f t="shared" si="5"/>
        <v>0</v>
      </c>
    </row>
    <row r="183" spans="1:27">
      <c r="A183" s="2">
        <v>181</v>
      </c>
      <c r="B183" s="2">
        <v>3707457</v>
      </c>
      <c r="C183" s="2">
        <v>50509036910019</v>
      </c>
      <c r="D183" s="2" t="s">
        <v>22</v>
      </c>
      <c r="E183" s="2">
        <v>2799304</v>
      </c>
      <c r="F183" s="2">
        <v>903090722</v>
      </c>
      <c r="G183" s="3">
        <v>37869</v>
      </c>
      <c r="H183" s="2" t="s">
        <v>616</v>
      </c>
      <c r="I183" s="2" t="s">
        <v>655</v>
      </c>
      <c r="J183" s="2" t="s">
        <v>656</v>
      </c>
      <c r="K183" s="2" t="s">
        <v>26</v>
      </c>
      <c r="L183" s="2" t="s">
        <v>27</v>
      </c>
      <c r="M183" s="2">
        <v>5240109</v>
      </c>
      <c r="N183" s="2" t="s">
        <v>28</v>
      </c>
      <c r="O183" s="2" t="s">
        <v>657</v>
      </c>
      <c r="P183" s="2" t="s">
        <v>30</v>
      </c>
      <c r="Q183" s="4">
        <v>11110</v>
      </c>
      <c r="R183" s="2" t="s">
        <v>32</v>
      </c>
      <c r="S183" s="2">
        <v>25</v>
      </c>
      <c r="T183" s="2" t="s">
        <v>33</v>
      </c>
      <c r="U183" s="2" t="s">
        <v>34</v>
      </c>
      <c r="V183" s="32">
        <v>245231500</v>
      </c>
      <c r="Y183" s="30">
        <f t="shared" si="4"/>
        <v>245231500</v>
      </c>
      <c r="Z183" s="41">
        <f t="shared" si="5"/>
        <v>0</v>
      </c>
    </row>
    <row r="184" spans="1:27" ht="26.25">
      <c r="A184" s="2">
        <v>182</v>
      </c>
      <c r="B184" s="2">
        <v>1407158</v>
      </c>
      <c r="C184" s="2">
        <v>51909006770022</v>
      </c>
      <c r="D184" s="2" t="s">
        <v>45</v>
      </c>
      <c r="E184" s="2">
        <v>6387238</v>
      </c>
      <c r="F184" s="2">
        <v>975440138</v>
      </c>
      <c r="G184" s="3">
        <v>36788</v>
      </c>
      <c r="H184" s="2" t="s">
        <v>658</v>
      </c>
      <c r="I184" s="2" t="s">
        <v>659</v>
      </c>
      <c r="J184" s="2" t="s">
        <v>660</v>
      </c>
      <c r="K184" s="2" t="s">
        <v>39</v>
      </c>
      <c r="L184" s="2" t="s">
        <v>27</v>
      </c>
      <c r="M184" s="2">
        <v>5620701</v>
      </c>
      <c r="N184" s="2" t="s">
        <v>218</v>
      </c>
      <c r="O184" s="2">
        <v>63</v>
      </c>
      <c r="P184" s="2" t="s">
        <v>219</v>
      </c>
      <c r="Q184" s="2" t="s">
        <v>340</v>
      </c>
      <c r="R184" s="2" t="s">
        <v>62</v>
      </c>
      <c r="S184" s="2">
        <v>8</v>
      </c>
      <c r="T184" s="2" t="s">
        <v>33</v>
      </c>
      <c r="U184" s="2" t="s">
        <v>34</v>
      </c>
      <c r="V184" s="32">
        <v>59781040</v>
      </c>
      <c r="Y184" s="30">
        <f t="shared" si="4"/>
        <v>59781040</v>
      </c>
      <c r="Z184" s="41">
        <f t="shared" si="5"/>
        <v>0</v>
      </c>
    </row>
    <row r="185" spans="1:27" ht="26.25">
      <c r="A185" s="2">
        <v>183</v>
      </c>
      <c r="B185" s="2">
        <v>2592975</v>
      </c>
      <c r="C185" s="2">
        <v>30802901611298</v>
      </c>
      <c r="D185" s="2" t="s">
        <v>145</v>
      </c>
      <c r="E185" s="2">
        <v>1942344</v>
      </c>
      <c r="F185" s="2">
        <v>991139008</v>
      </c>
      <c r="G185" s="3">
        <v>32912</v>
      </c>
      <c r="H185" s="2" t="s">
        <v>636</v>
      </c>
      <c r="I185" s="2" t="s">
        <v>661</v>
      </c>
      <c r="J185" s="2" t="s">
        <v>662</v>
      </c>
      <c r="K185" s="2" t="s">
        <v>39</v>
      </c>
      <c r="L185" s="2" t="s">
        <v>27</v>
      </c>
      <c r="M185" s="2">
        <v>5620701</v>
      </c>
      <c r="N185" s="2" t="s">
        <v>218</v>
      </c>
      <c r="O185" s="2" t="s">
        <v>179</v>
      </c>
      <c r="P185" s="2" t="s">
        <v>219</v>
      </c>
      <c r="Q185" s="2" t="s">
        <v>602</v>
      </c>
      <c r="R185" s="2" t="s">
        <v>62</v>
      </c>
      <c r="S185" s="2">
        <v>8</v>
      </c>
      <c r="T185" s="2" t="s">
        <v>33</v>
      </c>
      <c r="U185" s="2" t="s">
        <v>34</v>
      </c>
      <c r="V185" s="32">
        <v>59781040</v>
      </c>
      <c r="Y185" s="30">
        <f t="shared" si="4"/>
        <v>59781040</v>
      </c>
      <c r="Z185" s="41">
        <f t="shared" si="5"/>
        <v>0</v>
      </c>
    </row>
    <row r="186" spans="1:27" ht="15.75">
      <c r="A186" s="2">
        <v>184</v>
      </c>
      <c r="B186" s="2">
        <v>1552925</v>
      </c>
      <c r="C186" s="2">
        <v>31807951280046</v>
      </c>
      <c r="D186" s="2" t="s">
        <v>145</v>
      </c>
      <c r="E186" s="2">
        <v>5328113</v>
      </c>
      <c r="F186" s="2">
        <v>950132620</v>
      </c>
      <c r="G186" s="3">
        <v>34898</v>
      </c>
      <c r="H186" s="2" t="s">
        <v>663</v>
      </c>
      <c r="I186" s="2" t="s">
        <v>664</v>
      </c>
      <c r="J186" s="2" t="s">
        <v>665</v>
      </c>
      <c r="K186" s="2" t="s">
        <v>39</v>
      </c>
      <c r="L186" s="2" t="s">
        <v>57</v>
      </c>
      <c r="M186" s="2">
        <v>5310202</v>
      </c>
      <c r="N186" s="2" t="s">
        <v>86</v>
      </c>
      <c r="O186" s="2" t="s">
        <v>41</v>
      </c>
      <c r="P186" s="2" t="s">
        <v>154</v>
      </c>
      <c r="Q186" s="4">
        <v>42064</v>
      </c>
      <c r="R186" s="2" t="s">
        <v>62</v>
      </c>
      <c r="S186" s="2">
        <v>8</v>
      </c>
      <c r="T186" s="2" t="s">
        <v>33</v>
      </c>
      <c r="U186" s="2" t="s">
        <v>34</v>
      </c>
      <c r="V186" s="32">
        <v>22417890</v>
      </c>
      <c r="W186" s="21">
        <f>4500000+900000+3762010+2000000</f>
        <v>11162010</v>
      </c>
      <c r="X186" s="11" t="s">
        <v>2749</v>
      </c>
      <c r="Y186" s="30">
        <f t="shared" si="4"/>
        <v>11255880</v>
      </c>
      <c r="Z186" s="41">
        <f t="shared" si="5"/>
        <v>0.49790635960833068</v>
      </c>
    </row>
    <row r="187" spans="1:27" ht="26.25">
      <c r="A187" s="2">
        <v>185</v>
      </c>
      <c r="B187" s="2">
        <v>1395836</v>
      </c>
      <c r="C187" s="2">
        <v>52909015760015</v>
      </c>
      <c r="D187" s="2" t="s">
        <v>45</v>
      </c>
      <c r="E187" s="2">
        <v>7830613</v>
      </c>
      <c r="F187" s="2">
        <v>907886006</v>
      </c>
      <c r="G187" s="3">
        <v>37163</v>
      </c>
      <c r="H187" s="2" t="s">
        <v>666</v>
      </c>
      <c r="I187" s="2" t="s">
        <v>667</v>
      </c>
      <c r="J187" s="2" t="s">
        <v>305</v>
      </c>
      <c r="K187" s="2" t="s">
        <v>39</v>
      </c>
      <c r="L187" s="2" t="s">
        <v>27</v>
      </c>
      <c r="M187" s="2">
        <v>5310605</v>
      </c>
      <c r="N187" s="2" t="s">
        <v>97</v>
      </c>
      <c r="O187" s="2" t="s">
        <v>281</v>
      </c>
      <c r="P187" s="2" t="s">
        <v>79</v>
      </c>
      <c r="Q187" s="2" t="s">
        <v>549</v>
      </c>
      <c r="R187" s="2" t="s">
        <v>62</v>
      </c>
      <c r="S187" s="2">
        <v>8</v>
      </c>
      <c r="T187" s="2" t="s">
        <v>33</v>
      </c>
      <c r="U187" s="2" t="s">
        <v>34</v>
      </c>
      <c r="V187" s="32">
        <v>119562080</v>
      </c>
      <c r="W187" s="21">
        <v>59781040</v>
      </c>
      <c r="X187" s="10" t="s">
        <v>2625</v>
      </c>
      <c r="Y187" s="30">
        <f t="shared" si="4"/>
        <v>59781040</v>
      </c>
      <c r="Z187" s="41">
        <f t="shared" si="5"/>
        <v>0.5</v>
      </c>
    </row>
    <row r="188" spans="1:27" ht="26.25">
      <c r="A188" s="2">
        <v>186</v>
      </c>
      <c r="B188" s="2">
        <v>1957258</v>
      </c>
      <c r="C188" s="2">
        <v>31507995830044</v>
      </c>
      <c r="D188" s="2" t="s">
        <v>45</v>
      </c>
      <c r="E188" s="2">
        <v>1818032</v>
      </c>
      <c r="F188" s="2">
        <v>942591599</v>
      </c>
      <c r="G188" s="3">
        <v>36356</v>
      </c>
      <c r="H188" s="2" t="s">
        <v>388</v>
      </c>
      <c r="I188" s="2" t="s">
        <v>668</v>
      </c>
      <c r="J188" s="2" t="s">
        <v>669</v>
      </c>
      <c r="K188" s="2" t="s">
        <v>39</v>
      </c>
      <c r="L188" s="2" t="s">
        <v>57</v>
      </c>
      <c r="M188" s="2">
        <v>5310601</v>
      </c>
      <c r="N188" s="2" t="s">
        <v>153</v>
      </c>
      <c r="O188" s="2" t="s">
        <v>179</v>
      </c>
      <c r="P188" s="2" t="s">
        <v>155</v>
      </c>
      <c r="Q188" s="2" t="s">
        <v>43</v>
      </c>
      <c r="R188" s="2" t="s">
        <v>62</v>
      </c>
      <c r="S188" s="2">
        <v>8</v>
      </c>
      <c r="T188" s="2" t="s">
        <v>33</v>
      </c>
      <c r="U188" s="2" t="s">
        <v>34</v>
      </c>
      <c r="V188" s="32">
        <v>59781040</v>
      </c>
      <c r="Y188" s="30">
        <f t="shared" si="4"/>
        <v>59781040</v>
      </c>
      <c r="Z188" s="41">
        <f t="shared" si="5"/>
        <v>0</v>
      </c>
    </row>
    <row r="189" spans="1:27" ht="26.25">
      <c r="A189" s="2">
        <v>187</v>
      </c>
      <c r="B189" s="2">
        <v>1466009</v>
      </c>
      <c r="C189" s="2">
        <v>32912932930036</v>
      </c>
      <c r="D189" s="2" t="s">
        <v>145</v>
      </c>
      <c r="E189" s="2">
        <v>2453468</v>
      </c>
      <c r="F189" s="2">
        <v>994795114</v>
      </c>
      <c r="G189" s="3">
        <v>34332</v>
      </c>
      <c r="H189" s="2" t="s">
        <v>670</v>
      </c>
      <c r="I189" s="2" t="s">
        <v>671</v>
      </c>
      <c r="J189" s="2" t="s">
        <v>25</v>
      </c>
      <c r="K189" s="2" t="s">
        <v>39</v>
      </c>
      <c r="L189" s="2" t="s">
        <v>27</v>
      </c>
      <c r="M189" s="2">
        <v>5640202</v>
      </c>
      <c r="N189" s="2" t="s">
        <v>240</v>
      </c>
      <c r="O189" s="2">
        <v>42</v>
      </c>
      <c r="P189" s="2" t="s">
        <v>241</v>
      </c>
      <c r="Q189" s="2" t="s">
        <v>602</v>
      </c>
      <c r="R189" s="2" t="s">
        <v>62</v>
      </c>
      <c r="S189" s="2">
        <v>8</v>
      </c>
      <c r="T189" s="2" t="s">
        <v>33</v>
      </c>
      <c r="U189" s="2" t="s">
        <v>34</v>
      </c>
      <c r="V189" s="32">
        <v>119562080</v>
      </c>
      <c r="Y189" s="30">
        <f t="shared" si="4"/>
        <v>119562080</v>
      </c>
      <c r="Z189" s="41">
        <f t="shared" si="5"/>
        <v>0</v>
      </c>
    </row>
    <row r="190" spans="1:27" ht="15.75">
      <c r="A190" s="2">
        <v>188</v>
      </c>
      <c r="B190" s="2">
        <v>1672288</v>
      </c>
      <c r="C190" s="2">
        <v>41009910261777</v>
      </c>
      <c r="D190" s="2" t="s">
        <v>22</v>
      </c>
      <c r="E190" s="2">
        <v>2645751</v>
      </c>
      <c r="F190" s="2">
        <v>935908878</v>
      </c>
      <c r="G190" s="3">
        <v>33491</v>
      </c>
      <c r="H190" s="2" t="s">
        <v>672</v>
      </c>
      <c r="I190" s="2" t="s">
        <v>673</v>
      </c>
      <c r="J190" s="2" t="s">
        <v>674</v>
      </c>
      <c r="K190" s="2" t="s">
        <v>39</v>
      </c>
      <c r="L190" s="2" t="s">
        <v>57</v>
      </c>
      <c r="M190" s="2">
        <v>5620400</v>
      </c>
      <c r="N190" s="2" t="s">
        <v>103</v>
      </c>
      <c r="O190" s="2" t="s">
        <v>154</v>
      </c>
      <c r="P190" s="2" t="s">
        <v>139</v>
      </c>
      <c r="Q190" s="5">
        <v>44471</v>
      </c>
      <c r="R190" s="2" t="s">
        <v>62</v>
      </c>
      <c r="S190" s="2">
        <v>8</v>
      </c>
      <c r="T190" s="2" t="s">
        <v>33</v>
      </c>
      <c r="U190" s="2" t="s">
        <v>34</v>
      </c>
      <c r="V190" s="32">
        <v>18681575</v>
      </c>
      <c r="W190" s="21">
        <v>9341000</v>
      </c>
      <c r="X190" s="12" t="s">
        <v>2649</v>
      </c>
      <c r="Y190" s="30">
        <f t="shared" si="4"/>
        <v>9340575</v>
      </c>
      <c r="Z190" s="41">
        <f t="shared" si="5"/>
        <v>0.50001137484393043</v>
      </c>
    </row>
    <row r="191" spans="1:27" ht="26.25">
      <c r="A191" s="2">
        <v>189</v>
      </c>
      <c r="B191" s="2">
        <v>1351076</v>
      </c>
      <c r="C191" s="2">
        <v>31911985850013</v>
      </c>
      <c r="D191" s="2" t="s">
        <v>145</v>
      </c>
      <c r="E191" s="2">
        <v>9236318</v>
      </c>
      <c r="F191" s="2">
        <v>936611698</v>
      </c>
      <c r="G191" s="3">
        <v>36118</v>
      </c>
      <c r="H191" s="2" t="s">
        <v>675</v>
      </c>
      <c r="I191" s="2" t="s">
        <v>676</v>
      </c>
      <c r="J191" s="2" t="s">
        <v>465</v>
      </c>
      <c r="K191" s="2" t="s">
        <v>39</v>
      </c>
      <c r="L191" s="2" t="s">
        <v>57</v>
      </c>
      <c r="M191" s="2">
        <v>5310701</v>
      </c>
      <c r="N191" s="2" t="s">
        <v>118</v>
      </c>
      <c r="O191" s="2" t="s">
        <v>104</v>
      </c>
      <c r="P191" s="2" t="s">
        <v>207</v>
      </c>
      <c r="Q191" s="5">
        <v>44471</v>
      </c>
      <c r="R191" s="2" t="s">
        <v>62</v>
      </c>
      <c r="S191" s="2">
        <v>8</v>
      </c>
      <c r="T191" s="2" t="s">
        <v>33</v>
      </c>
      <c r="U191" s="2" t="s">
        <v>34</v>
      </c>
      <c r="V191" s="29">
        <v>16813417.5</v>
      </c>
      <c r="W191" s="21">
        <f>9341000+7473000</f>
        <v>16814000</v>
      </c>
      <c r="X191" s="12" t="s">
        <v>2922</v>
      </c>
      <c r="Y191" s="30">
        <f t="shared" si="4"/>
        <v>-582.5</v>
      </c>
      <c r="Z191" s="41">
        <f t="shared" si="5"/>
        <v>1.0000346449494875</v>
      </c>
    </row>
    <row r="192" spans="1:27">
      <c r="A192" s="2">
        <v>190</v>
      </c>
      <c r="B192" s="2">
        <v>2435787</v>
      </c>
      <c r="C192" s="2">
        <v>31509976900018</v>
      </c>
      <c r="D192" s="2" t="s">
        <v>45</v>
      </c>
      <c r="E192" s="2">
        <v>4390645</v>
      </c>
      <c r="F192" s="2">
        <v>911171727</v>
      </c>
      <c r="G192" s="3">
        <v>35688</v>
      </c>
      <c r="H192" s="2" t="s">
        <v>677</v>
      </c>
      <c r="I192" s="2" t="s">
        <v>678</v>
      </c>
      <c r="J192" s="2" t="s">
        <v>259</v>
      </c>
      <c r="K192" s="2" t="s">
        <v>39</v>
      </c>
      <c r="L192" s="2" t="s">
        <v>57</v>
      </c>
      <c r="M192" s="2">
        <v>5310400</v>
      </c>
      <c r="N192" s="2" t="s">
        <v>232</v>
      </c>
      <c r="O192" s="2" t="s">
        <v>207</v>
      </c>
      <c r="P192" s="2" t="s">
        <v>139</v>
      </c>
      <c r="Q192" s="5">
        <v>44317</v>
      </c>
      <c r="R192" s="2" t="s">
        <v>62</v>
      </c>
      <c r="S192" s="2">
        <v>8</v>
      </c>
      <c r="T192" s="2" t="s">
        <v>33</v>
      </c>
      <c r="U192" s="2" t="s">
        <v>34</v>
      </c>
      <c r="V192" s="32">
        <v>11208945</v>
      </c>
      <c r="Y192" s="30">
        <f t="shared" si="4"/>
        <v>11208945</v>
      </c>
      <c r="Z192" s="41">
        <f t="shared" si="5"/>
        <v>0</v>
      </c>
    </row>
    <row r="193" spans="1:27" ht="26.25">
      <c r="A193" s="2">
        <v>191</v>
      </c>
      <c r="B193" s="2">
        <v>2845450</v>
      </c>
      <c r="C193" s="2">
        <v>31904890520036</v>
      </c>
      <c r="D193" s="2" t="s">
        <v>145</v>
      </c>
      <c r="E193" s="2">
        <v>467696</v>
      </c>
      <c r="F193" s="2">
        <v>998756371</v>
      </c>
      <c r="G193" s="3">
        <v>32617</v>
      </c>
      <c r="H193" s="2" t="s">
        <v>679</v>
      </c>
      <c r="I193" s="2" t="s">
        <v>678</v>
      </c>
      <c r="J193" s="2" t="s">
        <v>680</v>
      </c>
      <c r="K193" s="2" t="s">
        <v>39</v>
      </c>
      <c r="L193" s="2" t="s">
        <v>27</v>
      </c>
      <c r="M193" s="2">
        <v>5310601</v>
      </c>
      <c r="N193" s="2" t="s">
        <v>153</v>
      </c>
      <c r="O193" s="2" t="s">
        <v>87</v>
      </c>
      <c r="P193" s="2" t="s">
        <v>79</v>
      </c>
      <c r="Q193" s="2" t="s">
        <v>440</v>
      </c>
      <c r="R193" s="2" t="s">
        <v>62</v>
      </c>
      <c r="S193" s="2">
        <v>8</v>
      </c>
      <c r="T193" s="2" t="s">
        <v>33</v>
      </c>
      <c r="U193" s="2" t="s">
        <v>34</v>
      </c>
      <c r="V193" s="32">
        <v>53802936</v>
      </c>
      <c r="W193" s="21">
        <f>27000000+15000000</f>
        <v>42000000</v>
      </c>
      <c r="X193" s="11" t="s">
        <v>2847</v>
      </c>
      <c r="Y193" s="30">
        <f t="shared" si="4"/>
        <v>11802936</v>
      </c>
      <c r="Z193" s="41">
        <f t="shared" si="5"/>
        <v>0.78062654424658162</v>
      </c>
    </row>
    <row r="194" spans="1:27" ht="26.25">
      <c r="A194" s="2">
        <v>192</v>
      </c>
      <c r="B194" s="2">
        <v>3429193</v>
      </c>
      <c r="C194" s="2">
        <v>50211036610047</v>
      </c>
      <c r="D194" s="2" t="s">
        <v>22</v>
      </c>
      <c r="E194" s="2">
        <v>2685693</v>
      </c>
      <c r="F194" s="2">
        <v>977223972</v>
      </c>
      <c r="G194" s="3">
        <v>37927</v>
      </c>
      <c r="H194" s="2" t="s">
        <v>681</v>
      </c>
      <c r="I194" s="2" t="s">
        <v>682</v>
      </c>
      <c r="J194" s="2" t="s">
        <v>586</v>
      </c>
      <c r="K194" s="2" t="s">
        <v>26</v>
      </c>
      <c r="L194" s="2" t="s">
        <v>27</v>
      </c>
      <c r="M194" s="2">
        <v>5310602</v>
      </c>
      <c r="N194" s="2" t="s">
        <v>518</v>
      </c>
      <c r="O194" s="2" t="s">
        <v>296</v>
      </c>
      <c r="P194" s="2" t="s">
        <v>88</v>
      </c>
      <c r="Q194" s="4">
        <v>43922</v>
      </c>
      <c r="R194" s="2" t="s">
        <v>53</v>
      </c>
      <c r="S194" s="2">
        <v>8</v>
      </c>
      <c r="T194" s="2" t="s">
        <v>33</v>
      </c>
      <c r="U194" s="2" t="s">
        <v>34</v>
      </c>
      <c r="V194" s="32">
        <v>51300880</v>
      </c>
      <c r="Y194" s="30">
        <f t="shared" si="4"/>
        <v>51300880</v>
      </c>
      <c r="Z194" s="41">
        <f t="shared" si="5"/>
        <v>0</v>
      </c>
    </row>
    <row r="195" spans="1:27" ht="15.75">
      <c r="A195" s="2">
        <v>193</v>
      </c>
      <c r="B195" s="2">
        <v>2444823</v>
      </c>
      <c r="C195" s="2">
        <v>30606977020022</v>
      </c>
      <c r="D195" s="2" t="s">
        <v>145</v>
      </c>
      <c r="E195" s="2">
        <v>3616979</v>
      </c>
      <c r="F195" s="2">
        <v>912012212</v>
      </c>
      <c r="G195" s="3">
        <v>35587</v>
      </c>
      <c r="H195" s="2" t="s">
        <v>683</v>
      </c>
      <c r="I195" s="2" t="s">
        <v>539</v>
      </c>
      <c r="J195" s="2" t="s">
        <v>684</v>
      </c>
      <c r="K195" s="2" t="s">
        <v>39</v>
      </c>
      <c r="L195" s="2" t="s">
        <v>57</v>
      </c>
      <c r="M195" s="2">
        <v>5310606</v>
      </c>
      <c r="N195" s="2" t="s">
        <v>72</v>
      </c>
      <c r="O195" s="2" t="s">
        <v>41</v>
      </c>
      <c r="P195" s="2" t="s">
        <v>225</v>
      </c>
      <c r="Q195" s="5">
        <v>44317</v>
      </c>
      <c r="R195" s="2" t="s">
        <v>62</v>
      </c>
      <c r="S195" s="2">
        <v>8</v>
      </c>
      <c r="T195" s="2" t="s">
        <v>33</v>
      </c>
      <c r="U195" s="2" t="s">
        <v>34</v>
      </c>
      <c r="V195" s="32">
        <v>11208945</v>
      </c>
      <c r="W195" s="23">
        <v>11208945</v>
      </c>
      <c r="X195" s="13" t="s">
        <v>2644</v>
      </c>
      <c r="Y195" s="30">
        <f t="shared" si="4"/>
        <v>0</v>
      </c>
      <c r="Z195" s="41">
        <f t="shared" si="5"/>
        <v>1</v>
      </c>
    </row>
    <row r="196" spans="1:27" ht="26.25">
      <c r="A196" s="2">
        <v>194</v>
      </c>
      <c r="B196" s="2">
        <v>2203261</v>
      </c>
      <c r="C196" s="2">
        <v>52304026700012</v>
      </c>
      <c r="D196" s="2" t="s">
        <v>45</v>
      </c>
      <c r="E196" s="2">
        <v>9414741</v>
      </c>
      <c r="F196" s="2">
        <v>936070781</v>
      </c>
      <c r="G196" s="3">
        <v>37369</v>
      </c>
      <c r="H196" s="2" t="s">
        <v>685</v>
      </c>
      <c r="I196" s="2" t="s">
        <v>686</v>
      </c>
      <c r="J196" s="2" t="s">
        <v>687</v>
      </c>
      <c r="K196" s="2" t="s">
        <v>26</v>
      </c>
      <c r="L196" s="2" t="s">
        <v>27</v>
      </c>
      <c r="M196" s="2">
        <v>5630103</v>
      </c>
      <c r="N196" s="2" t="s">
        <v>343</v>
      </c>
      <c r="O196" s="2" t="s">
        <v>123</v>
      </c>
      <c r="P196" s="2" t="s">
        <v>345</v>
      </c>
      <c r="Q196" s="4">
        <v>43922</v>
      </c>
      <c r="R196" s="2" t="s">
        <v>53</v>
      </c>
      <c r="S196" s="2">
        <v>8</v>
      </c>
      <c r="T196" s="2" t="s">
        <v>33</v>
      </c>
      <c r="U196" s="2" t="s">
        <v>34</v>
      </c>
      <c r="V196" s="32">
        <v>51300880</v>
      </c>
      <c r="Y196" s="30">
        <f t="shared" ref="Y196:Y259" si="6">V196-W196</f>
        <v>51300880</v>
      </c>
      <c r="Z196" s="41">
        <f t="shared" ref="Z196:Z259" si="7">W196/V196</f>
        <v>0</v>
      </c>
    </row>
    <row r="197" spans="1:27" ht="39">
      <c r="A197" s="2">
        <v>195</v>
      </c>
      <c r="B197" s="2">
        <v>3529093</v>
      </c>
      <c r="C197" s="2">
        <v>32108932640071</v>
      </c>
      <c r="D197" s="2" t="s">
        <v>145</v>
      </c>
      <c r="E197" s="2">
        <v>7383635</v>
      </c>
      <c r="F197" s="2">
        <v>997747670</v>
      </c>
      <c r="G197" s="3">
        <v>34202</v>
      </c>
      <c r="H197" s="2" t="s">
        <v>688</v>
      </c>
      <c r="I197" s="2" t="s">
        <v>689</v>
      </c>
      <c r="J197" s="2" t="s">
        <v>690</v>
      </c>
      <c r="K197" s="2" t="s">
        <v>39</v>
      </c>
      <c r="L197" s="2" t="s">
        <v>57</v>
      </c>
      <c r="M197" s="2">
        <v>5311003</v>
      </c>
      <c r="N197" s="2" t="s">
        <v>144</v>
      </c>
      <c r="O197" s="2" t="s">
        <v>139</v>
      </c>
      <c r="P197" s="2" t="s">
        <v>155</v>
      </c>
      <c r="Q197" s="5">
        <v>44317</v>
      </c>
      <c r="R197" s="2" t="s">
        <v>62</v>
      </c>
      <c r="S197" s="2">
        <v>8</v>
      </c>
      <c r="T197" s="2" t="s">
        <v>33</v>
      </c>
      <c r="U197" s="2" t="s">
        <v>34</v>
      </c>
      <c r="V197" s="32">
        <v>11208945</v>
      </c>
      <c r="W197" s="20">
        <f>5604500+5604472</f>
        <v>11208972</v>
      </c>
      <c r="X197" s="2" t="s">
        <v>2911</v>
      </c>
      <c r="Y197" s="30">
        <f t="shared" si="6"/>
        <v>-27</v>
      </c>
      <c r="Z197" s="41">
        <f t="shared" si="7"/>
        <v>1.0000024087904793</v>
      </c>
    </row>
    <row r="198" spans="1:27">
      <c r="A198" s="2">
        <v>196</v>
      </c>
      <c r="B198" s="2">
        <v>1582740</v>
      </c>
      <c r="C198" s="2">
        <v>33105976050021</v>
      </c>
      <c r="D198" s="2" t="s">
        <v>145</v>
      </c>
      <c r="E198" s="2">
        <v>3072144</v>
      </c>
      <c r="F198" s="2">
        <v>973909290</v>
      </c>
      <c r="G198" s="3">
        <v>35581</v>
      </c>
      <c r="H198" s="2" t="s">
        <v>691</v>
      </c>
      <c r="I198" s="2" t="s">
        <v>692</v>
      </c>
      <c r="J198" s="2" t="s">
        <v>624</v>
      </c>
      <c r="K198" s="2" t="s">
        <v>39</v>
      </c>
      <c r="L198" s="2" t="s">
        <v>57</v>
      </c>
      <c r="M198" s="2">
        <v>5620400</v>
      </c>
      <c r="N198" s="2" t="s">
        <v>103</v>
      </c>
      <c r="O198" s="2" t="s">
        <v>223</v>
      </c>
      <c r="P198" s="2" t="s">
        <v>139</v>
      </c>
      <c r="Q198" s="2" t="s">
        <v>111</v>
      </c>
      <c r="R198" s="2" t="s">
        <v>62</v>
      </c>
      <c r="S198" s="2">
        <v>8</v>
      </c>
      <c r="T198" s="2" t="s">
        <v>33</v>
      </c>
      <c r="U198" s="2" t="s">
        <v>34</v>
      </c>
      <c r="V198" s="32">
        <v>119562080</v>
      </c>
      <c r="Y198" s="30">
        <f t="shared" si="6"/>
        <v>119562080</v>
      </c>
      <c r="Z198" s="41">
        <f t="shared" si="7"/>
        <v>0</v>
      </c>
    </row>
    <row r="199" spans="1:27" ht="51.75">
      <c r="A199" s="2">
        <v>197</v>
      </c>
      <c r="B199" s="2">
        <v>2241061</v>
      </c>
      <c r="C199" s="2">
        <v>51608016330021</v>
      </c>
      <c r="D199" s="2" t="s">
        <v>45</v>
      </c>
      <c r="E199" s="2">
        <v>7551859</v>
      </c>
      <c r="F199" s="2">
        <v>997821650</v>
      </c>
      <c r="G199" s="3">
        <v>37119</v>
      </c>
      <c r="H199" s="2" t="s">
        <v>509</v>
      </c>
      <c r="I199" s="2" t="s">
        <v>693</v>
      </c>
      <c r="J199" s="2" t="s">
        <v>694</v>
      </c>
      <c r="K199" s="2" t="s">
        <v>26</v>
      </c>
      <c r="L199" s="2" t="s">
        <v>27</v>
      </c>
      <c r="M199" s="2">
        <v>5640202</v>
      </c>
      <c r="N199" s="2" t="s">
        <v>240</v>
      </c>
      <c r="O199" s="2">
        <v>63</v>
      </c>
      <c r="P199" s="2" t="s">
        <v>132</v>
      </c>
      <c r="Q199" s="2" t="s">
        <v>61</v>
      </c>
      <c r="R199" s="2" t="s">
        <v>53</v>
      </c>
      <c r="S199" s="2">
        <v>8</v>
      </c>
      <c r="T199" s="2" t="s">
        <v>33</v>
      </c>
      <c r="U199" s="2" t="s">
        <v>34</v>
      </c>
      <c r="V199" s="32">
        <v>46170792</v>
      </c>
      <c r="W199" s="20">
        <f>23171000+2600000+2800000+600000</f>
        <v>29171000</v>
      </c>
      <c r="X199" s="2" t="s">
        <v>2872</v>
      </c>
      <c r="Y199" s="30">
        <f t="shared" si="6"/>
        <v>16999792</v>
      </c>
      <c r="Z199" s="41">
        <f t="shared" si="7"/>
        <v>0.63180635931044893</v>
      </c>
    </row>
    <row r="200" spans="1:27" ht="26.25">
      <c r="A200" s="2">
        <v>198</v>
      </c>
      <c r="B200" s="2">
        <v>1629410</v>
      </c>
      <c r="C200" s="2">
        <v>31204901551205</v>
      </c>
      <c r="D200" s="2" t="s">
        <v>145</v>
      </c>
      <c r="E200" s="2">
        <v>9162103</v>
      </c>
      <c r="F200" s="2">
        <v>902653553</v>
      </c>
      <c r="G200" s="3">
        <v>32975</v>
      </c>
      <c r="H200" s="2" t="s">
        <v>695</v>
      </c>
      <c r="I200" s="2" t="s">
        <v>696</v>
      </c>
      <c r="J200" s="2" t="s">
        <v>697</v>
      </c>
      <c r="K200" s="2" t="s">
        <v>39</v>
      </c>
      <c r="L200" s="2" t="s">
        <v>27</v>
      </c>
      <c r="M200" s="2">
        <v>5320102</v>
      </c>
      <c r="N200" s="2" t="s">
        <v>138</v>
      </c>
      <c r="O200" s="2" t="s">
        <v>154</v>
      </c>
      <c r="P200" s="2" t="s">
        <v>140</v>
      </c>
      <c r="Q200" s="4">
        <v>12966</v>
      </c>
      <c r="R200" s="2" t="s">
        <v>62</v>
      </c>
      <c r="S200" s="2">
        <v>8</v>
      </c>
      <c r="T200" s="2" t="s">
        <v>33</v>
      </c>
      <c r="U200" s="2" t="s">
        <v>34</v>
      </c>
      <c r="V200" s="32">
        <v>59781040</v>
      </c>
      <c r="Y200" s="30">
        <f t="shared" si="6"/>
        <v>59781040</v>
      </c>
      <c r="Z200" s="41">
        <f t="shared" si="7"/>
        <v>0</v>
      </c>
    </row>
    <row r="201" spans="1:27" ht="15.75">
      <c r="A201" s="2">
        <v>199</v>
      </c>
      <c r="B201" s="2">
        <v>1795516</v>
      </c>
      <c r="C201" s="2">
        <v>31006996030104</v>
      </c>
      <c r="D201" s="2" t="s">
        <v>45</v>
      </c>
      <c r="E201" s="2">
        <v>8137094</v>
      </c>
      <c r="F201" s="2">
        <v>949569910</v>
      </c>
      <c r="G201" s="3">
        <v>36321</v>
      </c>
      <c r="H201" s="2" t="s">
        <v>698</v>
      </c>
      <c r="I201" s="2" t="s">
        <v>699</v>
      </c>
      <c r="J201" s="2" t="s">
        <v>700</v>
      </c>
      <c r="K201" s="2" t="s">
        <v>26</v>
      </c>
      <c r="L201" s="2" t="s">
        <v>27</v>
      </c>
      <c r="M201" s="2">
        <v>5620400</v>
      </c>
      <c r="N201" s="2" t="s">
        <v>103</v>
      </c>
      <c r="O201" s="2" t="s">
        <v>73</v>
      </c>
      <c r="P201" s="2" t="s">
        <v>105</v>
      </c>
      <c r="Q201" s="2" t="s">
        <v>288</v>
      </c>
      <c r="R201" s="2" t="s">
        <v>53</v>
      </c>
      <c r="S201" s="2">
        <v>8</v>
      </c>
      <c r="T201" s="2" t="s">
        <v>33</v>
      </c>
      <c r="U201" s="2" t="s">
        <v>34</v>
      </c>
      <c r="V201" s="32">
        <v>51300880</v>
      </c>
      <c r="W201" s="21">
        <v>25694000</v>
      </c>
      <c r="X201" s="10" t="s">
        <v>2625</v>
      </c>
      <c r="Y201" s="30">
        <f t="shared" si="6"/>
        <v>25606880</v>
      </c>
      <c r="Z201" s="41">
        <f t="shared" si="7"/>
        <v>0.50084910824141804</v>
      </c>
    </row>
    <row r="202" spans="1:27" ht="26.25">
      <c r="A202" s="2">
        <v>200</v>
      </c>
      <c r="B202" s="2">
        <v>1001117</v>
      </c>
      <c r="C202" s="2">
        <v>31703996070030</v>
      </c>
      <c r="D202" s="2" t="s">
        <v>45</v>
      </c>
      <c r="E202" s="2">
        <v>4658216</v>
      </c>
      <c r="F202" s="2">
        <v>994451889</v>
      </c>
      <c r="G202" s="3">
        <v>36236</v>
      </c>
      <c r="H202" s="2" t="s">
        <v>701</v>
      </c>
      <c r="I202" s="2" t="s">
        <v>702</v>
      </c>
      <c r="J202" s="2" t="s">
        <v>703</v>
      </c>
      <c r="K202" s="2" t="s">
        <v>39</v>
      </c>
      <c r="L202" s="2" t="s">
        <v>27</v>
      </c>
      <c r="M202" s="2">
        <v>5230903</v>
      </c>
      <c r="N202" s="2" t="s">
        <v>314</v>
      </c>
      <c r="O202" s="2" t="s">
        <v>60</v>
      </c>
      <c r="P202" s="2" t="s">
        <v>298</v>
      </c>
      <c r="Q202" s="2" t="s">
        <v>374</v>
      </c>
      <c r="R202" s="2" t="s">
        <v>82</v>
      </c>
      <c r="S202" s="2">
        <v>10</v>
      </c>
      <c r="T202" s="2" t="s">
        <v>33</v>
      </c>
      <c r="U202" s="2" t="s">
        <v>34</v>
      </c>
      <c r="V202" s="32">
        <v>104616820</v>
      </c>
      <c r="Y202" s="30">
        <f t="shared" si="6"/>
        <v>104616820</v>
      </c>
      <c r="Z202" s="41">
        <f t="shared" si="7"/>
        <v>0</v>
      </c>
    </row>
    <row r="203" spans="1:27" ht="26.25">
      <c r="A203" s="2">
        <v>201</v>
      </c>
      <c r="B203" s="2">
        <v>1465051</v>
      </c>
      <c r="C203" s="2">
        <v>30609996080048</v>
      </c>
      <c r="D203" s="2" t="s">
        <v>45</v>
      </c>
      <c r="E203" s="2">
        <v>4860558</v>
      </c>
      <c r="F203" s="2">
        <v>942873747</v>
      </c>
      <c r="G203" s="3">
        <v>36409</v>
      </c>
      <c r="H203" s="2" t="s">
        <v>704</v>
      </c>
      <c r="I203" s="2" t="s">
        <v>705</v>
      </c>
      <c r="J203" s="2" t="s">
        <v>706</v>
      </c>
      <c r="K203" s="2" t="s">
        <v>39</v>
      </c>
      <c r="L203" s="2" t="s">
        <v>27</v>
      </c>
      <c r="M203" s="2">
        <v>5320102</v>
      </c>
      <c r="N203" s="2" t="s">
        <v>138</v>
      </c>
      <c r="O203" s="2" t="s">
        <v>149</v>
      </c>
      <c r="P203" s="2" t="s">
        <v>140</v>
      </c>
      <c r="Q203" s="4">
        <v>42064</v>
      </c>
      <c r="R203" s="2" t="s">
        <v>62</v>
      </c>
      <c r="S203" s="2">
        <v>8</v>
      </c>
      <c r="T203" s="2" t="s">
        <v>33</v>
      </c>
      <c r="U203" s="2" t="s">
        <v>34</v>
      </c>
      <c r="V203" s="29">
        <v>20176101</v>
      </c>
      <c r="W203" s="20">
        <v>11250000</v>
      </c>
      <c r="X203" s="2" t="s">
        <v>2678</v>
      </c>
      <c r="Y203" s="30">
        <f t="shared" si="6"/>
        <v>8926101</v>
      </c>
      <c r="Z203" s="41">
        <f t="shared" si="7"/>
        <v>0.55759038874755829</v>
      </c>
      <c r="AA203" s="42" t="s">
        <v>2798</v>
      </c>
    </row>
    <row r="204" spans="1:27">
      <c r="A204" s="2">
        <v>202</v>
      </c>
      <c r="B204" s="2">
        <v>3670875</v>
      </c>
      <c r="C204" s="2">
        <v>52607036030039</v>
      </c>
      <c r="D204" s="2" t="s">
        <v>74</v>
      </c>
      <c r="E204" s="2">
        <v>237658</v>
      </c>
      <c r="F204" s="2">
        <v>990533484</v>
      </c>
      <c r="G204" s="3">
        <v>37828</v>
      </c>
      <c r="H204" s="2" t="s">
        <v>691</v>
      </c>
      <c r="I204" s="2" t="s">
        <v>707</v>
      </c>
      <c r="J204" s="2" t="s">
        <v>708</v>
      </c>
      <c r="K204" s="2" t="s">
        <v>26</v>
      </c>
      <c r="L204" s="2" t="s">
        <v>27</v>
      </c>
      <c r="M204" s="2">
        <v>5620101</v>
      </c>
      <c r="N204" s="2" t="s">
        <v>49</v>
      </c>
      <c r="O204" s="2" t="s">
        <v>194</v>
      </c>
      <c r="P204" s="2" t="s">
        <v>51</v>
      </c>
      <c r="Q204" s="2" t="s">
        <v>709</v>
      </c>
      <c r="R204" s="2" t="s">
        <v>53</v>
      </c>
      <c r="S204" s="2">
        <v>8</v>
      </c>
      <c r="T204" s="2" t="s">
        <v>33</v>
      </c>
      <c r="U204" s="2" t="s">
        <v>34</v>
      </c>
      <c r="V204" s="32">
        <v>56735520</v>
      </c>
      <c r="Y204" s="30">
        <f t="shared" si="6"/>
        <v>56735520</v>
      </c>
      <c r="Z204" s="41">
        <f t="shared" si="7"/>
        <v>0</v>
      </c>
    </row>
    <row r="205" spans="1:27" ht="39">
      <c r="A205" s="2">
        <v>203</v>
      </c>
      <c r="B205" s="2">
        <v>3553441</v>
      </c>
      <c r="C205" s="2">
        <v>52404035380019</v>
      </c>
      <c r="D205" s="2" t="s">
        <v>22</v>
      </c>
      <c r="E205" s="2">
        <v>1964443</v>
      </c>
      <c r="F205" s="2">
        <v>990934154</v>
      </c>
      <c r="G205" s="3">
        <v>37735</v>
      </c>
      <c r="H205" s="2" t="s">
        <v>710</v>
      </c>
      <c r="I205" s="2" t="s">
        <v>711</v>
      </c>
      <c r="J205" s="2" t="s">
        <v>712</v>
      </c>
      <c r="K205" s="2" t="s">
        <v>39</v>
      </c>
      <c r="L205" s="2" t="s">
        <v>27</v>
      </c>
      <c r="M205" s="2">
        <v>5340401</v>
      </c>
      <c r="N205" s="2" t="s">
        <v>349</v>
      </c>
      <c r="O205" s="2" t="s">
        <v>281</v>
      </c>
      <c r="P205" s="2" t="s">
        <v>350</v>
      </c>
      <c r="Q205" s="5">
        <v>44338</v>
      </c>
      <c r="R205" s="2" t="s">
        <v>44</v>
      </c>
      <c r="S205" s="2">
        <v>8</v>
      </c>
      <c r="T205" s="2" t="s">
        <v>33</v>
      </c>
      <c r="U205" s="2" t="s">
        <v>34</v>
      </c>
      <c r="V205" s="32">
        <v>131518288</v>
      </c>
      <c r="Y205" s="30">
        <f t="shared" si="6"/>
        <v>131518288</v>
      </c>
      <c r="Z205" s="41">
        <f t="shared" si="7"/>
        <v>0</v>
      </c>
    </row>
    <row r="206" spans="1:27" ht="39">
      <c r="A206" s="2">
        <v>204</v>
      </c>
      <c r="B206" s="2">
        <v>2477769</v>
      </c>
      <c r="C206" s="2">
        <v>32802822400027</v>
      </c>
      <c r="D206" s="2" t="s">
        <v>145</v>
      </c>
      <c r="E206" s="2">
        <v>4071859</v>
      </c>
      <c r="F206" s="2">
        <v>936124499</v>
      </c>
      <c r="G206" s="3">
        <v>30010</v>
      </c>
      <c r="H206" s="2" t="s">
        <v>713</v>
      </c>
      <c r="I206" s="2" t="s">
        <v>714</v>
      </c>
      <c r="J206" s="2" t="s">
        <v>715</v>
      </c>
      <c r="K206" s="2" t="s">
        <v>39</v>
      </c>
      <c r="L206" s="2" t="s">
        <v>27</v>
      </c>
      <c r="M206" s="2">
        <v>5640202</v>
      </c>
      <c r="N206" s="2" t="s">
        <v>240</v>
      </c>
      <c r="O206" s="2" t="s">
        <v>104</v>
      </c>
      <c r="P206" s="2" t="s">
        <v>241</v>
      </c>
      <c r="Q206" s="2" t="s">
        <v>591</v>
      </c>
      <c r="R206" s="2" t="s">
        <v>62</v>
      </c>
      <c r="S206" s="2">
        <v>8</v>
      </c>
      <c r="T206" s="2" t="s">
        <v>33</v>
      </c>
      <c r="U206" s="2" t="s">
        <v>34</v>
      </c>
      <c r="V206" s="32">
        <v>59781040</v>
      </c>
      <c r="W206" s="20">
        <f>30000000+9000000+5000000</f>
        <v>44000000</v>
      </c>
      <c r="X206" s="2" t="s">
        <v>2941</v>
      </c>
      <c r="Y206" s="30">
        <f t="shared" si="6"/>
        <v>15781040</v>
      </c>
      <c r="Z206" s="41">
        <f t="shared" si="7"/>
        <v>0.73601931314677693</v>
      </c>
    </row>
    <row r="207" spans="1:27">
      <c r="A207" s="2">
        <v>205</v>
      </c>
      <c r="B207" s="2">
        <v>1607904</v>
      </c>
      <c r="C207" s="2">
        <v>32006780480077</v>
      </c>
      <c r="D207" s="2" t="s">
        <v>145</v>
      </c>
      <c r="E207" s="2">
        <v>387441</v>
      </c>
      <c r="F207" s="2">
        <v>977005972</v>
      </c>
      <c r="G207" s="3">
        <v>28661</v>
      </c>
      <c r="H207" s="2" t="s">
        <v>135</v>
      </c>
      <c r="I207" s="2" t="s">
        <v>400</v>
      </c>
      <c r="J207" s="2" t="s">
        <v>716</v>
      </c>
      <c r="K207" s="2" t="s">
        <v>39</v>
      </c>
      <c r="L207" s="2" t="s">
        <v>27</v>
      </c>
      <c r="M207" s="2">
        <v>5620400</v>
      </c>
      <c r="N207" s="2" t="s">
        <v>103</v>
      </c>
      <c r="O207" s="2" t="s">
        <v>384</v>
      </c>
      <c r="P207" s="2" t="s">
        <v>123</v>
      </c>
      <c r="Q207" s="2" t="s">
        <v>391</v>
      </c>
      <c r="R207" s="2" t="s">
        <v>62</v>
      </c>
      <c r="S207" s="2">
        <v>8</v>
      </c>
      <c r="T207" s="2" t="s">
        <v>33</v>
      </c>
      <c r="U207" s="2" t="s">
        <v>34</v>
      </c>
      <c r="V207" s="32">
        <v>119562080</v>
      </c>
      <c r="Y207" s="30">
        <f t="shared" si="6"/>
        <v>119562080</v>
      </c>
      <c r="Z207" s="41">
        <f t="shared" si="7"/>
        <v>0</v>
      </c>
    </row>
    <row r="208" spans="1:27" ht="26.25">
      <c r="A208" s="2">
        <v>206</v>
      </c>
      <c r="B208" s="2">
        <v>2945735</v>
      </c>
      <c r="C208" s="2">
        <v>31712951800148</v>
      </c>
      <c r="D208" s="2" t="s">
        <v>22</v>
      </c>
      <c r="E208" s="2">
        <v>16438</v>
      </c>
      <c r="F208" s="2">
        <v>976335202</v>
      </c>
      <c r="G208" s="3">
        <v>35050</v>
      </c>
      <c r="H208" s="2" t="s">
        <v>717</v>
      </c>
      <c r="I208" s="2" t="s">
        <v>718</v>
      </c>
      <c r="J208" s="2" t="s">
        <v>719</v>
      </c>
      <c r="K208" s="2" t="s">
        <v>39</v>
      </c>
      <c r="L208" s="2" t="s">
        <v>27</v>
      </c>
      <c r="M208" s="2">
        <v>5340603</v>
      </c>
      <c r="N208" s="2" t="s">
        <v>174</v>
      </c>
      <c r="O208" s="2" t="s">
        <v>179</v>
      </c>
      <c r="P208" s="2" t="s">
        <v>175</v>
      </c>
      <c r="Q208" s="2" t="s">
        <v>170</v>
      </c>
      <c r="R208" s="2" t="s">
        <v>44</v>
      </c>
      <c r="S208" s="2">
        <v>8</v>
      </c>
      <c r="T208" s="2" t="s">
        <v>33</v>
      </c>
      <c r="U208" s="2" t="s">
        <v>34</v>
      </c>
      <c r="V208" s="32" t="s">
        <v>2722</v>
      </c>
      <c r="W208" s="20">
        <f>30000000+15000000</f>
        <v>45000000</v>
      </c>
      <c r="X208" s="2" t="s">
        <v>2905</v>
      </c>
      <c r="Y208" s="30">
        <f t="shared" si="6"/>
        <v>14183229.600000001</v>
      </c>
      <c r="Z208" s="41">
        <f t="shared" si="7"/>
        <v>0.76035053011030673</v>
      </c>
    </row>
    <row r="209" spans="1:27" ht="15.75">
      <c r="A209" s="2">
        <v>207</v>
      </c>
      <c r="B209" s="2">
        <v>3671306</v>
      </c>
      <c r="C209" s="2">
        <v>53008035820013</v>
      </c>
      <c r="D209" s="2" t="s">
        <v>22</v>
      </c>
      <c r="E209" s="2">
        <v>489269</v>
      </c>
      <c r="F209" s="2">
        <v>944820004</v>
      </c>
      <c r="G209" s="3">
        <v>37863</v>
      </c>
      <c r="H209" s="2" t="s">
        <v>720</v>
      </c>
      <c r="I209" s="2" t="s">
        <v>721</v>
      </c>
      <c r="J209" s="2" t="s">
        <v>624</v>
      </c>
      <c r="K209" s="2" t="s">
        <v>39</v>
      </c>
      <c r="L209" s="2" t="s">
        <v>27</v>
      </c>
      <c r="M209" s="2">
        <v>5620101</v>
      </c>
      <c r="N209" s="2" t="s">
        <v>49</v>
      </c>
      <c r="O209" s="2" t="s">
        <v>50</v>
      </c>
      <c r="P209" s="2" t="s">
        <v>264</v>
      </c>
      <c r="Q209" s="2" t="s">
        <v>179</v>
      </c>
      <c r="R209" s="2" t="s">
        <v>62</v>
      </c>
      <c r="S209" s="2">
        <v>8</v>
      </c>
      <c r="T209" s="2" t="s">
        <v>33</v>
      </c>
      <c r="U209" s="2" t="s">
        <v>34</v>
      </c>
      <c r="V209" s="32">
        <v>119562080</v>
      </c>
      <c r="W209" s="21">
        <f>60000000+30000000</f>
        <v>90000000</v>
      </c>
      <c r="X209" s="10" t="s">
        <v>2938</v>
      </c>
      <c r="Y209" s="30">
        <f t="shared" si="6"/>
        <v>29562080</v>
      </c>
      <c r="Z209" s="41">
        <f t="shared" si="7"/>
        <v>0.75274702480920375</v>
      </c>
    </row>
    <row r="210" spans="1:27">
      <c r="A210" s="2">
        <v>208</v>
      </c>
      <c r="B210" s="2">
        <v>3529556</v>
      </c>
      <c r="C210" s="2">
        <v>32501985670048</v>
      </c>
      <c r="D210" s="2" t="s">
        <v>45</v>
      </c>
      <c r="E210" s="2">
        <v>2700988</v>
      </c>
      <c r="F210" s="2">
        <v>919491099</v>
      </c>
      <c r="G210" s="3">
        <v>35820</v>
      </c>
      <c r="H210" s="2" t="s">
        <v>417</v>
      </c>
      <c r="I210" s="2" t="s">
        <v>722</v>
      </c>
      <c r="J210" s="2" t="s">
        <v>723</v>
      </c>
      <c r="K210" s="2" t="s">
        <v>39</v>
      </c>
      <c r="L210" s="2" t="s">
        <v>27</v>
      </c>
      <c r="M210" s="2">
        <v>5620400</v>
      </c>
      <c r="N210" s="2" t="s">
        <v>103</v>
      </c>
      <c r="O210" s="2" t="s">
        <v>149</v>
      </c>
      <c r="P210" s="2" t="s">
        <v>123</v>
      </c>
      <c r="Q210" s="2" t="s">
        <v>111</v>
      </c>
      <c r="R210" s="2" t="s">
        <v>62</v>
      </c>
      <c r="S210" s="2">
        <v>8</v>
      </c>
      <c r="T210" s="2" t="s">
        <v>33</v>
      </c>
      <c r="U210" s="2" t="s">
        <v>34</v>
      </c>
      <c r="V210" s="29">
        <v>53802936</v>
      </c>
      <c r="W210" s="20">
        <v>29900000</v>
      </c>
      <c r="X210" s="2" t="s">
        <v>2682</v>
      </c>
      <c r="Y210" s="30">
        <f t="shared" si="6"/>
        <v>23902936</v>
      </c>
      <c r="Z210" s="41">
        <f t="shared" si="7"/>
        <v>0.55573175411839981</v>
      </c>
    </row>
    <row r="211" spans="1:27" ht="26.25">
      <c r="A211" s="2">
        <v>209</v>
      </c>
      <c r="B211" s="2">
        <v>2527448</v>
      </c>
      <c r="C211" s="2">
        <v>50504006790031</v>
      </c>
      <c r="D211" s="2" t="s">
        <v>45</v>
      </c>
      <c r="E211" s="2">
        <v>6085803</v>
      </c>
      <c r="F211" s="2">
        <v>936668006</v>
      </c>
      <c r="G211" s="3">
        <v>36621</v>
      </c>
      <c r="H211" s="2" t="s">
        <v>670</v>
      </c>
      <c r="I211" s="2" t="s">
        <v>724</v>
      </c>
      <c r="J211" s="2" t="s">
        <v>725</v>
      </c>
      <c r="K211" s="2" t="s">
        <v>39</v>
      </c>
      <c r="L211" s="2" t="s">
        <v>27</v>
      </c>
      <c r="M211" s="2">
        <v>5340606</v>
      </c>
      <c r="N211" s="2" t="s">
        <v>191</v>
      </c>
      <c r="O211" s="2" t="s">
        <v>175</v>
      </c>
      <c r="P211" s="2" t="s">
        <v>42</v>
      </c>
      <c r="Q211" s="4">
        <v>43922</v>
      </c>
      <c r="R211" s="2" t="s">
        <v>44</v>
      </c>
      <c r="S211" s="2">
        <v>8</v>
      </c>
      <c r="T211" s="2" t="s">
        <v>33</v>
      </c>
      <c r="U211" s="2" t="s">
        <v>34</v>
      </c>
      <c r="V211" s="32">
        <v>65759144</v>
      </c>
      <c r="Y211" s="30">
        <f t="shared" si="6"/>
        <v>65759144</v>
      </c>
      <c r="Z211" s="41">
        <f t="shared" si="7"/>
        <v>0</v>
      </c>
    </row>
    <row r="212" spans="1:27">
      <c r="A212" s="2">
        <v>210</v>
      </c>
      <c r="B212" s="2">
        <v>3341177</v>
      </c>
      <c r="C212" s="2">
        <v>53010038660011</v>
      </c>
      <c r="D212" s="2" t="s">
        <v>22</v>
      </c>
      <c r="E212" s="2">
        <v>2444824</v>
      </c>
      <c r="F212" s="2">
        <v>973448071</v>
      </c>
      <c r="G212" s="3">
        <v>37924</v>
      </c>
      <c r="H212" s="2" t="s">
        <v>726</v>
      </c>
      <c r="I212" s="2" t="s">
        <v>517</v>
      </c>
      <c r="J212" s="2" t="s">
        <v>727</v>
      </c>
      <c r="K212" s="2" t="s">
        <v>26</v>
      </c>
      <c r="L212" s="2" t="s">
        <v>27</v>
      </c>
      <c r="M212" s="2">
        <v>5230406</v>
      </c>
      <c r="N212" s="2" t="s">
        <v>635</v>
      </c>
      <c r="O212" s="2" t="s">
        <v>241</v>
      </c>
      <c r="P212" s="2" t="s">
        <v>68</v>
      </c>
      <c r="Q212" s="4">
        <v>42064</v>
      </c>
      <c r="R212" s="2" t="s">
        <v>134</v>
      </c>
      <c r="S212" s="2">
        <v>10</v>
      </c>
      <c r="T212" s="2" t="s">
        <v>33</v>
      </c>
      <c r="U212" s="2" t="s">
        <v>34</v>
      </c>
      <c r="V212" s="32">
        <v>27389790</v>
      </c>
      <c r="W212" s="20">
        <v>27389790</v>
      </c>
      <c r="X212" s="2" t="s">
        <v>2647</v>
      </c>
      <c r="Y212" s="30">
        <f t="shared" si="6"/>
        <v>0</v>
      </c>
      <c r="Z212" s="41">
        <f t="shared" si="7"/>
        <v>1</v>
      </c>
    </row>
    <row r="213" spans="1:27" ht="26.25">
      <c r="A213" s="2">
        <v>211</v>
      </c>
      <c r="B213" s="2">
        <v>1871125</v>
      </c>
      <c r="C213" s="2">
        <v>42508930760057</v>
      </c>
      <c r="D213" s="2" t="s">
        <v>145</v>
      </c>
      <c r="E213" s="2">
        <v>8256231</v>
      </c>
      <c r="F213" s="2">
        <v>998688068</v>
      </c>
      <c r="G213" s="3">
        <v>34206</v>
      </c>
      <c r="H213" s="2" t="s">
        <v>728</v>
      </c>
      <c r="I213" s="2" t="s">
        <v>729</v>
      </c>
      <c r="J213" s="2" t="s">
        <v>730</v>
      </c>
      <c r="K213" s="2" t="s">
        <v>39</v>
      </c>
      <c r="L213" s="2" t="s">
        <v>27</v>
      </c>
      <c r="M213" s="2">
        <v>5230902</v>
      </c>
      <c r="N213" s="2" t="s">
        <v>251</v>
      </c>
      <c r="O213" s="2" t="s">
        <v>584</v>
      </c>
      <c r="P213" s="2" t="s">
        <v>252</v>
      </c>
      <c r="Q213" s="5">
        <v>44317</v>
      </c>
      <c r="R213" s="2" t="s">
        <v>82</v>
      </c>
      <c r="S213" s="2">
        <v>10</v>
      </c>
      <c r="T213" s="2" t="s">
        <v>33</v>
      </c>
      <c r="U213" s="2" t="s">
        <v>34</v>
      </c>
      <c r="V213" s="32" t="s">
        <v>2728</v>
      </c>
      <c r="W213" s="21">
        <v>10523364</v>
      </c>
      <c r="X213" s="11" t="s">
        <v>2647</v>
      </c>
      <c r="Y213" s="30">
        <f t="shared" si="6"/>
        <v>3599906.6999999993</v>
      </c>
      <c r="Z213" s="41">
        <f t="shared" si="7"/>
        <v>0.7451081426910553</v>
      </c>
    </row>
    <row r="214" spans="1:27" ht="26.25">
      <c r="A214" s="2">
        <v>212</v>
      </c>
      <c r="B214" s="2">
        <v>1511036</v>
      </c>
      <c r="C214" s="2">
        <v>31609955660011</v>
      </c>
      <c r="D214" s="2" t="s">
        <v>45</v>
      </c>
      <c r="E214" s="2">
        <v>2825716</v>
      </c>
      <c r="F214" s="2">
        <v>942915405</v>
      </c>
      <c r="G214" s="3">
        <v>34958</v>
      </c>
      <c r="H214" s="2" t="s">
        <v>731</v>
      </c>
      <c r="I214" s="2" t="s">
        <v>732</v>
      </c>
      <c r="J214" s="2" t="s">
        <v>733</v>
      </c>
      <c r="K214" s="2" t="s">
        <v>39</v>
      </c>
      <c r="L214" s="2" t="s">
        <v>57</v>
      </c>
      <c r="M214" s="2">
        <v>5620101</v>
      </c>
      <c r="N214" s="2" t="s">
        <v>49</v>
      </c>
      <c r="O214" s="2" t="s">
        <v>139</v>
      </c>
      <c r="P214" s="2" t="s">
        <v>194</v>
      </c>
      <c r="Q214" s="4">
        <v>42064</v>
      </c>
      <c r="R214" s="2" t="s">
        <v>62</v>
      </c>
      <c r="S214" s="2">
        <v>8</v>
      </c>
      <c r="T214" s="2" t="s">
        <v>33</v>
      </c>
      <c r="U214" s="2" t="s">
        <v>34</v>
      </c>
      <c r="V214" s="32">
        <v>22417890</v>
      </c>
      <c r="W214" s="20">
        <f>11209890+5604000</f>
        <v>16813890</v>
      </c>
      <c r="X214" s="2" t="s">
        <v>2892</v>
      </c>
      <c r="Y214" s="30">
        <f t="shared" si="6"/>
        <v>5604000</v>
      </c>
      <c r="Z214" s="41">
        <f t="shared" si="7"/>
        <v>0.75002107691669462</v>
      </c>
    </row>
    <row r="215" spans="1:27">
      <c r="A215" s="2">
        <v>213</v>
      </c>
      <c r="B215" s="2">
        <v>3658073</v>
      </c>
      <c r="C215" s="2">
        <v>61406038660031</v>
      </c>
      <c r="D215" s="2" t="s">
        <v>22</v>
      </c>
      <c r="E215" s="2">
        <v>1990722</v>
      </c>
      <c r="F215" s="2">
        <v>991386644</v>
      </c>
      <c r="G215" s="3">
        <v>37786</v>
      </c>
      <c r="H215" s="2" t="s">
        <v>734</v>
      </c>
      <c r="I215" s="2" t="s">
        <v>735</v>
      </c>
      <c r="J215" s="2" t="s">
        <v>736</v>
      </c>
      <c r="K215" s="2" t="s">
        <v>26</v>
      </c>
      <c r="L215" s="2" t="s">
        <v>57</v>
      </c>
      <c r="M215" s="2">
        <v>5620400</v>
      </c>
      <c r="N215" s="2" t="s">
        <v>103</v>
      </c>
      <c r="O215" s="2" t="s">
        <v>87</v>
      </c>
      <c r="P215" s="2">
        <v>63</v>
      </c>
      <c r="Q215" s="5">
        <v>44471</v>
      </c>
      <c r="R215" s="2" t="s">
        <v>53</v>
      </c>
      <c r="S215" s="2">
        <v>8</v>
      </c>
      <c r="T215" s="2" t="s">
        <v>33</v>
      </c>
      <c r="U215" s="2" t="s">
        <v>34</v>
      </c>
      <c r="V215" s="32">
        <v>16031525</v>
      </c>
      <c r="W215" s="20">
        <v>8016000</v>
      </c>
      <c r="X215" s="27" t="s">
        <v>2716</v>
      </c>
      <c r="Y215" s="30">
        <f t="shared" si="6"/>
        <v>8015525</v>
      </c>
      <c r="Z215" s="41">
        <f t="shared" si="7"/>
        <v>0.50001481456068586</v>
      </c>
    </row>
    <row r="216" spans="1:27" ht="26.25">
      <c r="A216" s="2">
        <v>214</v>
      </c>
      <c r="B216" s="2">
        <v>2209137</v>
      </c>
      <c r="C216" s="2">
        <v>53012005920036</v>
      </c>
      <c r="D216" s="2" t="s">
        <v>45</v>
      </c>
      <c r="E216" s="2">
        <v>6007301</v>
      </c>
      <c r="F216" s="2">
        <v>977341417</v>
      </c>
      <c r="G216" s="3">
        <v>36890</v>
      </c>
      <c r="H216" s="2" t="s">
        <v>685</v>
      </c>
      <c r="I216" s="2" t="s">
        <v>737</v>
      </c>
      <c r="J216" s="2" t="s">
        <v>738</v>
      </c>
      <c r="K216" s="2" t="s">
        <v>39</v>
      </c>
      <c r="L216" s="2" t="s">
        <v>57</v>
      </c>
      <c r="M216" s="2">
        <v>5620702</v>
      </c>
      <c r="N216" s="2" t="s">
        <v>159</v>
      </c>
      <c r="O216" s="2" t="s">
        <v>104</v>
      </c>
      <c r="P216" s="2" t="s">
        <v>139</v>
      </c>
      <c r="Q216" s="4">
        <v>42064</v>
      </c>
      <c r="R216" s="2" t="s">
        <v>62</v>
      </c>
      <c r="S216" s="2">
        <v>8</v>
      </c>
      <c r="T216" s="2" t="s">
        <v>33</v>
      </c>
      <c r="U216" s="2" t="s">
        <v>34</v>
      </c>
      <c r="V216" s="29" t="s">
        <v>2801</v>
      </c>
      <c r="W216" s="21">
        <v>11217890</v>
      </c>
      <c r="X216" s="11" t="s">
        <v>2627</v>
      </c>
      <c r="Y216" s="30">
        <f t="shared" si="6"/>
        <v>8958211</v>
      </c>
      <c r="Z216" s="41">
        <f t="shared" si="7"/>
        <v>0.55599890186909751</v>
      </c>
      <c r="AA216" s="42" t="s">
        <v>2798</v>
      </c>
    </row>
    <row r="217" spans="1:27" ht="15.75">
      <c r="A217" s="2">
        <v>215</v>
      </c>
      <c r="B217" s="2">
        <v>3121847</v>
      </c>
      <c r="C217" s="2">
        <v>41707893500097</v>
      </c>
      <c r="D217" s="2" t="s">
        <v>35</v>
      </c>
      <c r="E217" s="2">
        <v>261995</v>
      </c>
      <c r="F217" s="2">
        <v>932372200</v>
      </c>
      <c r="G217" s="3">
        <v>32706</v>
      </c>
      <c r="H217" s="2" t="s">
        <v>739</v>
      </c>
      <c r="I217" s="2" t="s">
        <v>740</v>
      </c>
      <c r="J217" s="2" t="s">
        <v>741</v>
      </c>
      <c r="K217" s="2" t="s">
        <v>39</v>
      </c>
      <c r="L217" s="2" t="s">
        <v>57</v>
      </c>
      <c r="M217" s="2">
        <v>5310606</v>
      </c>
      <c r="N217" s="2" t="s">
        <v>72</v>
      </c>
      <c r="O217" s="2" t="s">
        <v>41</v>
      </c>
      <c r="P217" s="2" t="s">
        <v>225</v>
      </c>
      <c r="Q217" s="5">
        <v>44317</v>
      </c>
      <c r="R217" s="2" t="s">
        <v>62</v>
      </c>
      <c r="S217" s="2">
        <v>8</v>
      </c>
      <c r="T217" s="2" t="s">
        <v>33</v>
      </c>
      <c r="U217" s="2" t="s">
        <v>34</v>
      </c>
      <c r="V217" s="32">
        <v>11208945</v>
      </c>
      <c r="W217" s="21">
        <v>5700000</v>
      </c>
      <c r="X217" s="11" t="s">
        <v>2640</v>
      </c>
      <c r="Y217" s="30">
        <f t="shared" si="6"/>
        <v>5508945</v>
      </c>
      <c r="Z217" s="41">
        <f t="shared" si="7"/>
        <v>0.50852243453777313</v>
      </c>
    </row>
    <row r="218" spans="1:27" ht="15.75">
      <c r="A218" s="2">
        <v>216</v>
      </c>
      <c r="B218" s="2">
        <v>3255027</v>
      </c>
      <c r="C218" s="2">
        <v>31608977350032</v>
      </c>
      <c r="D218" s="2" t="s">
        <v>35</v>
      </c>
      <c r="E218" s="2">
        <v>754359</v>
      </c>
      <c r="F218" s="2">
        <v>998622266</v>
      </c>
      <c r="G218" s="3">
        <v>35658</v>
      </c>
      <c r="H218" s="2" t="s">
        <v>742</v>
      </c>
      <c r="I218" s="2" t="s">
        <v>517</v>
      </c>
      <c r="J218" s="2" t="s">
        <v>743</v>
      </c>
      <c r="K218" s="2" t="s">
        <v>39</v>
      </c>
      <c r="L218" s="2" t="s">
        <v>27</v>
      </c>
      <c r="M218" s="2">
        <v>5230104</v>
      </c>
      <c r="N218" s="2" t="s">
        <v>78</v>
      </c>
      <c r="O218" s="2" t="s">
        <v>194</v>
      </c>
      <c r="P218" s="2" t="s">
        <v>80</v>
      </c>
      <c r="Q218" s="2" t="s">
        <v>549</v>
      </c>
      <c r="R218" s="2" t="s">
        <v>82</v>
      </c>
      <c r="S218" s="2">
        <v>10</v>
      </c>
      <c r="T218" s="2" t="s">
        <v>33</v>
      </c>
      <c r="U218" s="2" t="s">
        <v>34</v>
      </c>
      <c r="V218" s="32">
        <v>104616820</v>
      </c>
      <c r="W218" s="22">
        <v>52310000</v>
      </c>
      <c r="X218" s="17" t="s">
        <v>2672</v>
      </c>
      <c r="Y218" s="30">
        <f t="shared" si="6"/>
        <v>52306820</v>
      </c>
      <c r="Z218" s="41">
        <f t="shared" si="7"/>
        <v>0.50001519832088182</v>
      </c>
    </row>
    <row r="219" spans="1:27" ht="15.75">
      <c r="A219" s="2">
        <v>217</v>
      </c>
      <c r="B219" s="2">
        <v>1579687</v>
      </c>
      <c r="C219" s="2">
        <v>52005006390031</v>
      </c>
      <c r="D219" s="2" t="s">
        <v>45</v>
      </c>
      <c r="E219" s="2">
        <v>6656187</v>
      </c>
      <c r="F219" s="2">
        <v>949138576</v>
      </c>
      <c r="G219" s="3">
        <v>36666</v>
      </c>
      <c r="H219" s="2" t="s">
        <v>563</v>
      </c>
      <c r="I219" s="2" t="s">
        <v>744</v>
      </c>
      <c r="J219" s="2" t="s">
        <v>745</v>
      </c>
      <c r="K219" s="2" t="s">
        <v>39</v>
      </c>
      <c r="L219" s="2" t="s">
        <v>57</v>
      </c>
      <c r="M219" s="2">
        <v>5620101</v>
      </c>
      <c r="N219" s="2" t="s">
        <v>49</v>
      </c>
      <c r="O219" s="2" t="s">
        <v>41</v>
      </c>
      <c r="P219" s="2" t="s">
        <v>194</v>
      </c>
      <c r="Q219" s="4">
        <v>14824</v>
      </c>
      <c r="R219" s="2" t="s">
        <v>62</v>
      </c>
      <c r="S219" s="2">
        <v>8</v>
      </c>
      <c r="T219" s="2" t="s">
        <v>33</v>
      </c>
      <c r="U219" s="2" t="s">
        <v>34</v>
      </c>
      <c r="V219" s="32">
        <v>59781040</v>
      </c>
      <c r="W219" s="21">
        <v>30000000</v>
      </c>
      <c r="X219" s="10" t="s">
        <v>2635</v>
      </c>
      <c r="Y219" s="30">
        <f t="shared" si="6"/>
        <v>29781040</v>
      </c>
      <c r="Z219" s="41">
        <f t="shared" si="7"/>
        <v>0.50183134987280253</v>
      </c>
    </row>
    <row r="220" spans="1:27" ht="26.25">
      <c r="A220" s="2">
        <v>218</v>
      </c>
      <c r="B220" s="2">
        <v>3455603</v>
      </c>
      <c r="C220" s="2">
        <v>52310035340046</v>
      </c>
      <c r="D220" s="2" t="s">
        <v>22</v>
      </c>
      <c r="E220" s="2">
        <v>2366555</v>
      </c>
      <c r="F220" s="2">
        <v>912440781</v>
      </c>
      <c r="G220" s="3">
        <v>37917</v>
      </c>
      <c r="H220" s="2" t="s">
        <v>636</v>
      </c>
      <c r="I220" s="2" t="s">
        <v>746</v>
      </c>
      <c r="J220" s="2" t="s">
        <v>77</v>
      </c>
      <c r="K220" s="2" t="s">
        <v>39</v>
      </c>
      <c r="L220" s="2" t="s">
        <v>27</v>
      </c>
      <c r="M220" s="2">
        <v>5310601</v>
      </c>
      <c r="N220" s="2" t="s">
        <v>153</v>
      </c>
      <c r="O220" s="2" t="s">
        <v>88</v>
      </c>
      <c r="P220" s="2" t="s">
        <v>79</v>
      </c>
      <c r="Q220" s="5">
        <v>44338</v>
      </c>
      <c r="R220" s="2" t="s">
        <v>62</v>
      </c>
      <c r="S220" s="2">
        <v>8</v>
      </c>
      <c r="T220" s="2" t="s">
        <v>33</v>
      </c>
      <c r="U220" s="2" t="s">
        <v>34</v>
      </c>
      <c r="V220" s="32">
        <v>53802936</v>
      </c>
      <c r="W220" s="21">
        <f>29891000+23000000</f>
        <v>52891000</v>
      </c>
      <c r="X220" s="10" t="s">
        <v>2636</v>
      </c>
      <c r="Y220" s="30">
        <f t="shared" si="6"/>
        <v>911936</v>
      </c>
      <c r="Z220" s="41">
        <f t="shared" si="7"/>
        <v>0.98305044170823686</v>
      </c>
    </row>
    <row r="221" spans="1:27" ht="26.25">
      <c r="A221" s="2">
        <v>219</v>
      </c>
      <c r="B221" s="2">
        <v>3295073</v>
      </c>
      <c r="C221" s="2">
        <v>51912037310019</v>
      </c>
      <c r="D221" s="2" t="s">
        <v>35</v>
      </c>
      <c r="E221" s="2">
        <v>1300590</v>
      </c>
      <c r="F221" s="2">
        <v>972417343</v>
      </c>
      <c r="G221" s="3">
        <v>37974</v>
      </c>
      <c r="H221" s="2" t="s">
        <v>747</v>
      </c>
      <c r="I221" s="2" t="s">
        <v>748</v>
      </c>
      <c r="J221" s="2" t="s">
        <v>749</v>
      </c>
      <c r="K221" s="2" t="s">
        <v>26</v>
      </c>
      <c r="L221" s="2" t="s">
        <v>27</v>
      </c>
      <c r="M221" s="2">
        <v>5310605</v>
      </c>
      <c r="N221" s="2" t="s">
        <v>97</v>
      </c>
      <c r="O221" s="2" t="s">
        <v>155</v>
      </c>
      <c r="P221" s="2" t="s">
        <v>98</v>
      </c>
      <c r="Q221" s="2" t="s">
        <v>750</v>
      </c>
      <c r="R221" s="2" t="s">
        <v>53</v>
      </c>
      <c r="S221" s="2">
        <v>8</v>
      </c>
      <c r="T221" s="2" t="s">
        <v>33</v>
      </c>
      <c r="U221" s="2" t="s">
        <v>34</v>
      </c>
      <c r="V221" s="32">
        <v>51300880</v>
      </c>
      <c r="W221" s="22">
        <v>51300900</v>
      </c>
      <c r="X221" s="16" t="s">
        <v>2687</v>
      </c>
      <c r="Y221" s="30">
        <f t="shared" si="6"/>
        <v>-20</v>
      </c>
      <c r="Z221" s="41">
        <f t="shared" si="7"/>
        <v>1.0000003898568601</v>
      </c>
    </row>
    <row r="222" spans="1:27" ht="47.25">
      <c r="A222" s="2">
        <v>220</v>
      </c>
      <c r="B222" s="2">
        <v>2707211</v>
      </c>
      <c r="C222" s="2">
        <v>30605943950019</v>
      </c>
      <c r="D222" s="2" t="s">
        <v>145</v>
      </c>
      <c r="E222" s="2">
        <v>2002593</v>
      </c>
      <c r="F222" s="2">
        <v>902707036</v>
      </c>
      <c r="G222" s="3">
        <v>34460</v>
      </c>
      <c r="H222" s="2" t="s">
        <v>751</v>
      </c>
      <c r="I222" s="2" t="s">
        <v>752</v>
      </c>
      <c r="J222" s="2" t="s">
        <v>753</v>
      </c>
      <c r="K222" s="2" t="s">
        <v>39</v>
      </c>
      <c r="L222" s="2" t="s">
        <v>27</v>
      </c>
      <c r="M222" s="2">
        <v>5620701</v>
      </c>
      <c r="N222" s="2" t="s">
        <v>218</v>
      </c>
      <c r="O222" s="2" t="s">
        <v>155</v>
      </c>
      <c r="P222" s="2" t="s">
        <v>219</v>
      </c>
      <c r="Q222" s="2" t="s">
        <v>133</v>
      </c>
      <c r="R222" s="2" t="s">
        <v>62</v>
      </c>
      <c r="S222" s="2">
        <v>8</v>
      </c>
      <c r="T222" s="2" t="s">
        <v>33</v>
      </c>
      <c r="U222" s="2" t="s">
        <v>34</v>
      </c>
      <c r="V222" s="29">
        <v>53802936</v>
      </c>
      <c r="W222" s="22">
        <f>26902000+3800000+4000000</f>
        <v>34702000</v>
      </c>
      <c r="X222" s="51" t="s">
        <v>2957</v>
      </c>
      <c r="Y222" s="30">
        <f t="shared" si="6"/>
        <v>19100936</v>
      </c>
      <c r="Z222" s="41">
        <f t="shared" si="7"/>
        <v>0.64498338901059227</v>
      </c>
    </row>
    <row r="223" spans="1:27" ht="26.25">
      <c r="A223" s="2">
        <v>221</v>
      </c>
      <c r="B223" s="2">
        <v>2194322</v>
      </c>
      <c r="C223" s="2">
        <v>61108018660016</v>
      </c>
      <c r="D223" s="2" t="s">
        <v>22</v>
      </c>
      <c r="E223" s="2">
        <v>2087352</v>
      </c>
      <c r="F223" s="2">
        <v>998307855</v>
      </c>
      <c r="G223" s="3">
        <v>37114</v>
      </c>
      <c r="H223" s="2" t="s">
        <v>754</v>
      </c>
      <c r="I223" s="2" t="s">
        <v>755</v>
      </c>
      <c r="J223" s="2" t="s">
        <v>756</v>
      </c>
      <c r="K223" s="2" t="s">
        <v>39</v>
      </c>
      <c r="L223" s="2" t="s">
        <v>27</v>
      </c>
      <c r="M223" s="2">
        <v>5230902</v>
      </c>
      <c r="N223" s="2" t="s">
        <v>251</v>
      </c>
      <c r="O223" s="2" t="s">
        <v>59</v>
      </c>
      <c r="P223" s="2" t="s">
        <v>252</v>
      </c>
      <c r="Q223" s="2" t="s">
        <v>139</v>
      </c>
      <c r="R223" s="2" t="s">
        <v>82</v>
      </c>
      <c r="S223" s="2">
        <v>10</v>
      </c>
      <c r="T223" s="2" t="s">
        <v>33</v>
      </c>
      <c r="U223" s="2" t="s">
        <v>34</v>
      </c>
      <c r="V223" s="32">
        <v>209233640</v>
      </c>
      <c r="Y223" s="30">
        <f t="shared" si="6"/>
        <v>209233640</v>
      </c>
      <c r="Z223" s="41">
        <f t="shared" si="7"/>
        <v>0</v>
      </c>
    </row>
    <row r="224" spans="1:27" ht="26.25">
      <c r="A224" s="2">
        <v>222</v>
      </c>
      <c r="B224" s="2">
        <v>2923219</v>
      </c>
      <c r="C224" s="2">
        <v>41605902880025</v>
      </c>
      <c r="D224" s="2" t="s">
        <v>145</v>
      </c>
      <c r="E224" s="2">
        <v>6722732</v>
      </c>
      <c r="F224" s="2">
        <v>901688778</v>
      </c>
      <c r="G224" s="3">
        <v>33009</v>
      </c>
      <c r="H224" s="2" t="s">
        <v>757</v>
      </c>
      <c r="I224" s="2" t="s">
        <v>758</v>
      </c>
      <c r="J224" s="2" t="s">
        <v>759</v>
      </c>
      <c r="K224" s="2" t="s">
        <v>39</v>
      </c>
      <c r="L224" s="2" t="s">
        <v>27</v>
      </c>
      <c r="M224" s="2">
        <v>5230902</v>
      </c>
      <c r="N224" s="2" t="s">
        <v>251</v>
      </c>
      <c r="O224" s="2" t="s">
        <v>194</v>
      </c>
      <c r="P224" s="2" t="s">
        <v>252</v>
      </c>
      <c r="Q224" s="2" t="s">
        <v>124</v>
      </c>
      <c r="R224" s="2" t="s">
        <v>82</v>
      </c>
      <c r="S224" s="2">
        <v>10</v>
      </c>
      <c r="T224" s="2" t="s">
        <v>33</v>
      </c>
      <c r="U224" s="2" t="s">
        <v>34</v>
      </c>
      <c r="V224" s="32">
        <v>104616820</v>
      </c>
      <c r="Y224" s="30">
        <f t="shared" si="6"/>
        <v>104616820</v>
      </c>
      <c r="Z224" s="41">
        <f t="shared" si="7"/>
        <v>0</v>
      </c>
    </row>
    <row r="225" spans="1:26" ht="26.25">
      <c r="A225" s="2">
        <v>223</v>
      </c>
      <c r="B225" s="2">
        <v>3114049</v>
      </c>
      <c r="C225" s="2">
        <v>32804950560060</v>
      </c>
      <c r="D225" s="2" t="s">
        <v>145</v>
      </c>
      <c r="E225" s="2">
        <v>3623814</v>
      </c>
      <c r="F225" s="2">
        <v>998500580</v>
      </c>
      <c r="G225" s="3">
        <v>34817</v>
      </c>
      <c r="H225" s="2" t="s">
        <v>760</v>
      </c>
      <c r="I225" s="2" t="s">
        <v>761</v>
      </c>
      <c r="J225" s="2" t="s">
        <v>624</v>
      </c>
      <c r="K225" s="2" t="s">
        <v>39</v>
      </c>
      <c r="L225" s="2" t="s">
        <v>27</v>
      </c>
      <c r="M225" s="2">
        <v>5640202</v>
      </c>
      <c r="N225" s="2" t="s">
        <v>240</v>
      </c>
      <c r="O225" s="2" t="s">
        <v>41</v>
      </c>
      <c r="P225" s="2" t="s">
        <v>241</v>
      </c>
      <c r="Q225" s="2" t="s">
        <v>170</v>
      </c>
      <c r="R225" s="2" t="s">
        <v>62</v>
      </c>
      <c r="S225" s="2">
        <v>8</v>
      </c>
      <c r="T225" s="2" t="s">
        <v>33</v>
      </c>
      <c r="U225" s="2" t="s">
        <v>34</v>
      </c>
      <c r="V225" s="32">
        <v>59781040</v>
      </c>
      <c r="Y225" s="30">
        <f t="shared" si="6"/>
        <v>59781040</v>
      </c>
      <c r="Z225" s="41">
        <f t="shared" si="7"/>
        <v>0</v>
      </c>
    </row>
    <row r="226" spans="1:26" ht="26.25">
      <c r="A226" s="2">
        <v>224</v>
      </c>
      <c r="B226" s="2">
        <v>1396503</v>
      </c>
      <c r="C226" s="2">
        <v>51811006100029</v>
      </c>
      <c r="D226" s="2" t="s">
        <v>45</v>
      </c>
      <c r="E226" s="2">
        <v>7094477</v>
      </c>
      <c r="F226" s="2">
        <v>942550507</v>
      </c>
      <c r="G226" s="3">
        <v>36848</v>
      </c>
      <c r="H226" s="2" t="s">
        <v>457</v>
      </c>
      <c r="I226" s="2" t="s">
        <v>762</v>
      </c>
      <c r="J226" s="2" t="s">
        <v>763</v>
      </c>
      <c r="K226" s="2" t="s">
        <v>39</v>
      </c>
      <c r="L226" s="2" t="s">
        <v>57</v>
      </c>
      <c r="M226" s="2">
        <v>5310601</v>
      </c>
      <c r="N226" s="2" t="s">
        <v>153</v>
      </c>
      <c r="O226" s="2" t="s">
        <v>139</v>
      </c>
      <c r="P226" s="2" t="s">
        <v>155</v>
      </c>
      <c r="Q226" s="5">
        <v>44317</v>
      </c>
      <c r="R226" s="2" t="s">
        <v>62</v>
      </c>
      <c r="S226" s="2">
        <v>8</v>
      </c>
      <c r="T226" s="2" t="s">
        <v>33</v>
      </c>
      <c r="U226" s="2" t="s">
        <v>34</v>
      </c>
      <c r="V226" s="32" t="s">
        <v>2896</v>
      </c>
      <c r="W226" s="21">
        <f>7472630+7473000</f>
        <v>14945630</v>
      </c>
      <c r="X226" s="11" t="s">
        <v>2895</v>
      </c>
      <c r="Y226" s="30">
        <f t="shared" si="6"/>
        <v>-370</v>
      </c>
      <c r="Z226" s="41">
        <f t="shared" si="7"/>
        <v>1.0000247570132603</v>
      </c>
    </row>
    <row r="227" spans="1:26">
      <c r="A227" s="2">
        <v>225</v>
      </c>
      <c r="B227" s="2">
        <v>3246109</v>
      </c>
      <c r="C227" s="2">
        <v>30611996960039</v>
      </c>
      <c r="D227" s="2" t="s">
        <v>45</v>
      </c>
      <c r="E227" s="2">
        <v>7385474</v>
      </c>
      <c r="F227" s="2">
        <v>972659888</v>
      </c>
      <c r="G227" s="3">
        <v>36470</v>
      </c>
      <c r="H227" s="2" t="s">
        <v>764</v>
      </c>
      <c r="I227" s="2" t="s">
        <v>765</v>
      </c>
      <c r="J227" s="2" t="s">
        <v>766</v>
      </c>
      <c r="K227" s="2" t="s">
        <v>26</v>
      </c>
      <c r="L227" s="2" t="s">
        <v>27</v>
      </c>
      <c r="M227" s="2">
        <v>5620400</v>
      </c>
      <c r="N227" s="2" t="s">
        <v>103</v>
      </c>
      <c r="O227" s="2" t="s">
        <v>439</v>
      </c>
      <c r="P227" s="2" t="s">
        <v>105</v>
      </c>
      <c r="Q227" s="2" t="s">
        <v>296</v>
      </c>
      <c r="R227" s="2" t="s">
        <v>53</v>
      </c>
      <c r="S227" s="2">
        <v>8</v>
      </c>
      <c r="T227" s="2" t="s">
        <v>33</v>
      </c>
      <c r="U227" s="2" t="s">
        <v>34</v>
      </c>
      <c r="V227" s="32">
        <v>102601760</v>
      </c>
      <c r="Y227" s="30">
        <f t="shared" si="6"/>
        <v>102601760</v>
      </c>
      <c r="Z227" s="41">
        <f t="shared" si="7"/>
        <v>0</v>
      </c>
    </row>
    <row r="228" spans="1:26">
      <c r="A228" s="2">
        <v>226</v>
      </c>
      <c r="B228" s="2">
        <v>3403037</v>
      </c>
      <c r="C228" s="2">
        <v>52704036920026</v>
      </c>
      <c r="D228" s="2" t="s">
        <v>22</v>
      </c>
      <c r="E228" s="2">
        <v>2548950</v>
      </c>
      <c r="F228" s="2">
        <v>944449472</v>
      </c>
      <c r="G228" s="3">
        <v>37738</v>
      </c>
      <c r="H228" s="2" t="s">
        <v>531</v>
      </c>
      <c r="I228" s="2" t="s">
        <v>767</v>
      </c>
      <c r="J228" s="2" t="s">
        <v>768</v>
      </c>
      <c r="K228" s="2" t="s">
        <v>26</v>
      </c>
      <c r="L228" s="2" t="s">
        <v>27</v>
      </c>
      <c r="M228" s="2">
        <v>5240109</v>
      </c>
      <c r="N228" s="2" t="s">
        <v>28</v>
      </c>
      <c r="O228" s="2" t="s">
        <v>80</v>
      </c>
      <c r="P228" s="2" t="s">
        <v>30</v>
      </c>
      <c r="Q228" s="2" t="s">
        <v>179</v>
      </c>
      <c r="R228" s="2" t="s">
        <v>32</v>
      </c>
      <c r="S228" s="2">
        <v>25</v>
      </c>
      <c r="T228" s="2" t="s">
        <v>33</v>
      </c>
      <c r="U228" s="2" t="s">
        <v>34</v>
      </c>
      <c r="V228" s="32">
        <v>245231500</v>
      </c>
      <c r="Y228" s="30">
        <f t="shared" si="6"/>
        <v>245231500</v>
      </c>
      <c r="Z228" s="41">
        <f t="shared" si="7"/>
        <v>0</v>
      </c>
    </row>
    <row r="229" spans="1:26" ht="26.25">
      <c r="A229" s="2">
        <v>227</v>
      </c>
      <c r="B229" s="2">
        <v>3629901</v>
      </c>
      <c r="C229" s="2">
        <v>50812035370011</v>
      </c>
      <c r="D229" s="2" t="s">
        <v>22</v>
      </c>
      <c r="E229" s="2">
        <v>2595055</v>
      </c>
      <c r="F229" s="2">
        <v>948931809</v>
      </c>
      <c r="G229" s="3">
        <v>37963</v>
      </c>
      <c r="H229" s="2" t="s">
        <v>769</v>
      </c>
      <c r="I229" s="2" t="s">
        <v>437</v>
      </c>
      <c r="J229" s="2" t="s">
        <v>770</v>
      </c>
      <c r="K229" s="2" t="s">
        <v>26</v>
      </c>
      <c r="L229" s="2" t="s">
        <v>27</v>
      </c>
      <c r="M229" s="2">
        <v>5314000</v>
      </c>
      <c r="N229" s="2" t="s">
        <v>522</v>
      </c>
      <c r="O229" s="2" t="s">
        <v>391</v>
      </c>
      <c r="P229" s="2" t="s">
        <v>771</v>
      </c>
      <c r="Q229" s="2" t="s">
        <v>629</v>
      </c>
      <c r="R229" s="2" t="s">
        <v>53</v>
      </c>
      <c r="S229" s="2">
        <v>8</v>
      </c>
      <c r="T229" s="2" t="s">
        <v>33</v>
      </c>
      <c r="U229" s="2" t="s">
        <v>34</v>
      </c>
      <c r="V229" s="29">
        <v>92341584</v>
      </c>
      <c r="W229" s="20">
        <f>10000000+25000000+15000000</f>
        <v>50000000</v>
      </c>
      <c r="X229" s="2" t="s">
        <v>2744</v>
      </c>
      <c r="Y229" s="30">
        <f t="shared" si="6"/>
        <v>42341584</v>
      </c>
      <c r="Z229" s="41">
        <f t="shared" si="7"/>
        <v>0.54146786132670199</v>
      </c>
    </row>
    <row r="230" spans="1:26" ht="26.25">
      <c r="A230" s="2">
        <v>228</v>
      </c>
      <c r="B230" s="2">
        <v>1145084</v>
      </c>
      <c r="C230" s="2">
        <v>31504943440016</v>
      </c>
      <c r="D230" s="2" t="s">
        <v>35</v>
      </c>
      <c r="E230" s="2">
        <v>368703</v>
      </c>
      <c r="F230" s="2">
        <v>995522594</v>
      </c>
      <c r="G230" s="3">
        <v>34439</v>
      </c>
      <c r="H230" s="2" t="s">
        <v>772</v>
      </c>
      <c r="I230" s="2" t="s">
        <v>773</v>
      </c>
      <c r="J230" s="2" t="s">
        <v>774</v>
      </c>
      <c r="K230" s="2" t="s">
        <v>39</v>
      </c>
      <c r="L230" s="2" t="s">
        <v>27</v>
      </c>
      <c r="M230" s="2">
        <v>5310701</v>
      </c>
      <c r="N230" s="2" t="s">
        <v>118</v>
      </c>
      <c r="O230" s="2" t="s">
        <v>155</v>
      </c>
      <c r="P230" s="2" t="s">
        <v>123</v>
      </c>
      <c r="Q230" s="2" t="s">
        <v>775</v>
      </c>
      <c r="R230" s="2" t="s">
        <v>62</v>
      </c>
      <c r="S230" s="2">
        <v>8</v>
      </c>
      <c r="T230" s="2" t="s">
        <v>33</v>
      </c>
      <c r="U230" s="2" t="s">
        <v>34</v>
      </c>
      <c r="V230" s="32">
        <v>59781040</v>
      </c>
      <c r="Y230" s="30">
        <f t="shared" si="6"/>
        <v>59781040</v>
      </c>
      <c r="Z230" s="41">
        <f t="shared" si="7"/>
        <v>0</v>
      </c>
    </row>
    <row r="231" spans="1:26">
      <c r="A231" s="2">
        <v>229</v>
      </c>
      <c r="B231" s="2">
        <v>2133819</v>
      </c>
      <c r="C231" s="2">
        <v>50407016610022</v>
      </c>
      <c r="D231" s="2" t="s">
        <v>45</v>
      </c>
      <c r="E231" s="2">
        <v>6578624</v>
      </c>
      <c r="F231" s="2">
        <v>998824424</v>
      </c>
      <c r="G231" s="3">
        <v>37076</v>
      </c>
      <c r="H231" s="2" t="s">
        <v>776</v>
      </c>
      <c r="I231" s="2" t="s">
        <v>777</v>
      </c>
      <c r="J231" s="2" t="s">
        <v>778</v>
      </c>
      <c r="K231" s="2" t="s">
        <v>26</v>
      </c>
      <c r="L231" s="2" t="s">
        <v>57</v>
      </c>
      <c r="M231" s="2">
        <v>5340603</v>
      </c>
      <c r="N231" s="2" t="s">
        <v>174</v>
      </c>
      <c r="O231" s="2" t="s">
        <v>384</v>
      </c>
      <c r="P231" s="2" t="s">
        <v>60</v>
      </c>
      <c r="Q231" s="4">
        <v>11110</v>
      </c>
      <c r="R231" s="2" t="s">
        <v>93</v>
      </c>
      <c r="S231" s="2">
        <v>8</v>
      </c>
      <c r="T231" s="2" t="s">
        <v>33</v>
      </c>
      <c r="U231" s="2" t="s">
        <v>34</v>
      </c>
      <c r="V231" s="32">
        <v>113471040</v>
      </c>
      <c r="Y231" s="30">
        <f t="shared" si="6"/>
        <v>113471040</v>
      </c>
      <c r="Z231" s="41">
        <f t="shared" si="7"/>
        <v>0</v>
      </c>
    </row>
    <row r="232" spans="1:26" ht="39">
      <c r="A232" s="2">
        <v>230</v>
      </c>
      <c r="B232" s="2">
        <v>1885471</v>
      </c>
      <c r="C232" s="2">
        <v>51803016510019</v>
      </c>
      <c r="D232" s="2" t="s">
        <v>45</v>
      </c>
      <c r="E232" s="2">
        <v>6411759</v>
      </c>
      <c r="F232" s="2">
        <v>909982333</v>
      </c>
      <c r="G232" s="3">
        <v>36968</v>
      </c>
      <c r="H232" s="2" t="s">
        <v>403</v>
      </c>
      <c r="I232" s="2" t="s">
        <v>779</v>
      </c>
      <c r="J232" s="2" t="s">
        <v>780</v>
      </c>
      <c r="K232" s="2" t="s">
        <v>39</v>
      </c>
      <c r="L232" s="2" t="s">
        <v>57</v>
      </c>
      <c r="M232" s="2">
        <v>5311003</v>
      </c>
      <c r="N232" s="2" t="s">
        <v>144</v>
      </c>
      <c r="O232" s="2" t="s">
        <v>154</v>
      </c>
      <c r="P232" s="2" t="s">
        <v>155</v>
      </c>
      <c r="Q232" s="4">
        <v>42064</v>
      </c>
      <c r="R232" s="2" t="s">
        <v>62</v>
      </c>
      <c r="S232" s="2">
        <v>8</v>
      </c>
      <c r="T232" s="2" t="s">
        <v>33</v>
      </c>
      <c r="U232" s="2" t="s">
        <v>34</v>
      </c>
      <c r="V232" s="32">
        <v>20176101</v>
      </c>
      <c r="W232" s="21">
        <f>11252000+1115890+8211</f>
        <v>12376101</v>
      </c>
      <c r="X232" s="11" t="s">
        <v>2881</v>
      </c>
      <c r="Y232" s="30">
        <f t="shared" si="6"/>
        <v>7800000</v>
      </c>
      <c r="Z232" s="41">
        <f t="shared" si="7"/>
        <v>0.61340399713502625</v>
      </c>
    </row>
    <row r="233" spans="1:26" ht="39">
      <c r="A233" s="2">
        <v>231</v>
      </c>
      <c r="B233" s="2">
        <v>3175130</v>
      </c>
      <c r="C233" s="2">
        <v>32312996500039</v>
      </c>
      <c r="D233" s="2" t="s">
        <v>45</v>
      </c>
      <c r="E233" s="2">
        <v>3114405</v>
      </c>
      <c r="F233" s="2">
        <v>906703712</v>
      </c>
      <c r="G233" s="3">
        <v>36517</v>
      </c>
      <c r="H233" s="2" t="s">
        <v>781</v>
      </c>
      <c r="I233" s="2" t="s">
        <v>782</v>
      </c>
      <c r="J233" s="2" t="s">
        <v>222</v>
      </c>
      <c r="K233" s="2" t="s">
        <v>39</v>
      </c>
      <c r="L233" s="2" t="s">
        <v>27</v>
      </c>
      <c r="M233" s="2">
        <v>5311003</v>
      </c>
      <c r="N233" s="2" t="s">
        <v>144</v>
      </c>
      <c r="O233" s="2" t="s">
        <v>68</v>
      </c>
      <c r="P233" s="2" t="s">
        <v>79</v>
      </c>
      <c r="Q233" s="5">
        <v>44317</v>
      </c>
      <c r="R233" s="2" t="s">
        <v>62</v>
      </c>
      <c r="S233" s="2">
        <v>8</v>
      </c>
      <c r="T233" s="2" t="s">
        <v>508</v>
      </c>
      <c r="U233" s="2" t="s">
        <v>34</v>
      </c>
      <c r="V233" s="32">
        <v>11208945</v>
      </c>
      <c r="Y233" s="30">
        <f t="shared" si="6"/>
        <v>11208945</v>
      </c>
      <c r="Z233" s="41">
        <f t="shared" si="7"/>
        <v>0</v>
      </c>
    </row>
    <row r="234" spans="1:26" ht="26.25">
      <c r="A234" s="2">
        <v>232</v>
      </c>
      <c r="B234" s="2">
        <v>2761860</v>
      </c>
      <c r="C234" s="2">
        <v>41708865740019</v>
      </c>
      <c r="D234" s="2" t="s">
        <v>145</v>
      </c>
      <c r="E234" s="2">
        <v>5853200</v>
      </c>
      <c r="F234" s="2">
        <v>907168809</v>
      </c>
      <c r="G234" s="3">
        <v>31641</v>
      </c>
      <c r="H234" s="2" t="s">
        <v>215</v>
      </c>
      <c r="I234" s="2" t="s">
        <v>783</v>
      </c>
      <c r="J234" s="2" t="s">
        <v>784</v>
      </c>
      <c r="K234" s="2" t="s">
        <v>39</v>
      </c>
      <c r="L234" s="2" t="s">
        <v>27</v>
      </c>
      <c r="M234" s="2">
        <v>5350701</v>
      </c>
      <c r="N234" s="2" t="s">
        <v>338</v>
      </c>
      <c r="O234" s="2" t="s">
        <v>67</v>
      </c>
      <c r="P234" s="2" t="s">
        <v>73</v>
      </c>
      <c r="Q234" s="4">
        <v>42064</v>
      </c>
      <c r="R234" s="2" t="s">
        <v>44</v>
      </c>
      <c r="S234" s="2">
        <v>8</v>
      </c>
      <c r="T234" s="2" t="s">
        <v>33</v>
      </c>
      <c r="U234" s="2" t="s">
        <v>34</v>
      </c>
      <c r="V234" s="32">
        <v>24659679</v>
      </c>
      <c r="W234" s="21">
        <v>12370000</v>
      </c>
      <c r="X234" s="11" t="s">
        <v>2656</v>
      </c>
      <c r="Y234" s="30">
        <f t="shared" si="6"/>
        <v>12289679</v>
      </c>
      <c r="Z234" s="41">
        <f t="shared" si="7"/>
        <v>0.50162858973143976</v>
      </c>
    </row>
    <row r="235" spans="1:26" ht="26.25">
      <c r="A235" s="2">
        <v>233</v>
      </c>
      <c r="B235" s="2">
        <v>1796374</v>
      </c>
      <c r="C235" s="2">
        <v>32307930600014</v>
      </c>
      <c r="D235" s="2" t="s">
        <v>45</v>
      </c>
      <c r="E235" s="2">
        <v>6076346</v>
      </c>
      <c r="F235" s="2">
        <v>998788548</v>
      </c>
      <c r="G235" s="3">
        <v>34173</v>
      </c>
      <c r="H235" s="2" t="s">
        <v>785</v>
      </c>
      <c r="I235" s="2" t="s">
        <v>786</v>
      </c>
      <c r="J235" s="2" t="s">
        <v>787</v>
      </c>
      <c r="K235" s="2" t="s">
        <v>39</v>
      </c>
      <c r="L235" s="2" t="s">
        <v>27</v>
      </c>
      <c r="M235" s="2">
        <v>5640202</v>
      </c>
      <c r="N235" s="2" t="s">
        <v>240</v>
      </c>
      <c r="O235" s="2" t="s">
        <v>194</v>
      </c>
      <c r="P235" s="2" t="s">
        <v>241</v>
      </c>
      <c r="Q235" s="4">
        <v>14824</v>
      </c>
      <c r="R235" s="2" t="s">
        <v>62</v>
      </c>
      <c r="S235" s="2">
        <v>8</v>
      </c>
      <c r="T235" s="2" t="s">
        <v>33</v>
      </c>
      <c r="U235" s="2" t="s">
        <v>34</v>
      </c>
      <c r="V235" s="32">
        <v>59781040</v>
      </c>
      <c r="Y235" s="30">
        <f t="shared" si="6"/>
        <v>59781040</v>
      </c>
      <c r="Z235" s="41">
        <f t="shared" si="7"/>
        <v>0</v>
      </c>
    </row>
    <row r="236" spans="1:26" ht="26.25">
      <c r="A236" s="2">
        <v>234</v>
      </c>
      <c r="B236" s="2">
        <v>1412468</v>
      </c>
      <c r="C236" s="2">
        <v>30604943360079</v>
      </c>
      <c r="D236" s="2" t="s">
        <v>35</v>
      </c>
      <c r="E236" s="2">
        <v>157725</v>
      </c>
      <c r="F236" s="2">
        <v>937709007</v>
      </c>
      <c r="G236" s="3">
        <v>34430</v>
      </c>
      <c r="H236" s="2" t="s">
        <v>685</v>
      </c>
      <c r="I236" s="2" t="s">
        <v>788</v>
      </c>
      <c r="J236" s="2" t="s">
        <v>148</v>
      </c>
      <c r="K236" s="2" t="s">
        <v>39</v>
      </c>
      <c r="L236" s="2" t="s">
        <v>27</v>
      </c>
      <c r="M236" s="2">
        <v>5230104</v>
      </c>
      <c r="N236" s="2" t="s">
        <v>78</v>
      </c>
      <c r="O236" s="2" t="s">
        <v>67</v>
      </c>
      <c r="P236" s="2" t="s">
        <v>80</v>
      </c>
      <c r="Q236" s="2" t="s">
        <v>500</v>
      </c>
      <c r="R236" s="2" t="s">
        <v>82</v>
      </c>
      <c r="S236" s="2">
        <v>10</v>
      </c>
      <c r="T236" s="2" t="s">
        <v>33</v>
      </c>
      <c r="U236" s="2" t="s">
        <v>34</v>
      </c>
      <c r="V236" s="29">
        <v>94155138</v>
      </c>
      <c r="W236" s="20">
        <f>52700000+6000000</f>
        <v>58700000</v>
      </c>
      <c r="X236" s="2" t="s">
        <v>2940</v>
      </c>
      <c r="Y236" s="30">
        <f t="shared" si="6"/>
        <v>35455138</v>
      </c>
      <c r="Z236" s="41">
        <f t="shared" si="7"/>
        <v>0.62343915846631759</v>
      </c>
    </row>
    <row r="237" spans="1:26" ht="26.25">
      <c r="A237" s="2">
        <v>235</v>
      </c>
      <c r="B237" s="2">
        <v>3104350</v>
      </c>
      <c r="C237" s="2">
        <v>61110007360023</v>
      </c>
      <c r="D237" s="2" t="s">
        <v>35</v>
      </c>
      <c r="E237" s="2">
        <v>935410</v>
      </c>
      <c r="F237" s="2">
        <v>944160600</v>
      </c>
      <c r="G237" s="3">
        <v>36810</v>
      </c>
      <c r="H237" s="2" t="s">
        <v>789</v>
      </c>
      <c r="I237" s="2" t="s">
        <v>790</v>
      </c>
      <c r="J237" s="2" t="s">
        <v>791</v>
      </c>
      <c r="K237" s="2" t="s">
        <v>39</v>
      </c>
      <c r="L237" s="2" t="s">
        <v>57</v>
      </c>
      <c r="M237" s="2">
        <v>5350701</v>
      </c>
      <c r="N237" s="2" t="s">
        <v>338</v>
      </c>
      <c r="O237" s="2" t="s">
        <v>792</v>
      </c>
      <c r="P237" s="2" t="s">
        <v>104</v>
      </c>
      <c r="Q237" s="2" t="s">
        <v>395</v>
      </c>
      <c r="R237" s="2" t="s">
        <v>44</v>
      </c>
      <c r="S237" s="2">
        <v>8</v>
      </c>
      <c r="T237" s="2" t="s">
        <v>33</v>
      </c>
      <c r="U237" s="2" t="s">
        <v>34</v>
      </c>
      <c r="V237" s="32">
        <v>131518288</v>
      </c>
      <c r="Y237" s="30">
        <f t="shared" si="6"/>
        <v>131518288</v>
      </c>
      <c r="Z237" s="41">
        <f t="shared" si="7"/>
        <v>0</v>
      </c>
    </row>
    <row r="238" spans="1:26">
      <c r="A238" s="2">
        <v>236</v>
      </c>
      <c r="B238" s="2">
        <v>1090240</v>
      </c>
      <c r="C238" s="2">
        <v>32207930570080</v>
      </c>
      <c r="D238" s="2" t="s">
        <v>45</v>
      </c>
      <c r="E238" s="2">
        <v>1512957</v>
      </c>
      <c r="F238" s="2">
        <v>944047369</v>
      </c>
      <c r="G238" s="3">
        <v>34172</v>
      </c>
      <c r="H238" s="2" t="s">
        <v>793</v>
      </c>
      <c r="I238" s="2" t="s">
        <v>451</v>
      </c>
      <c r="J238" s="2" t="s">
        <v>794</v>
      </c>
      <c r="K238" s="2" t="s">
        <v>39</v>
      </c>
      <c r="L238" s="2" t="s">
        <v>57</v>
      </c>
      <c r="M238" s="2">
        <v>5620101</v>
      </c>
      <c r="N238" s="2" t="s">
        <v>49</v>
      </c>
      <c r="O238" s="2" t="s">
        <v>155</v>
      </c>
      <c r="P238" s="2" t="s">
        <v>194</v>
      </c>
      <c r="Q238" s="5">
        <v>44471</v>
      </c>
      <c r="R238" s="2" t="s">
        <v>62</v>
      </c>
      <c r="S238" s="2">
        <v>8</v>
      </c>
      <c r="T238" s="2" t="s">
        <v>33</v>
      </c>
      <c r="U238" s="2" t="s">
        <v>34</v>
      </c>
      <c r="V238" s="32">
        <v>18681575</v>
      </c>
      <c r="W238" s="20">
        <v>9381575</v>
      </c>
      <c r="X238" s="2" t="s">
        <v>2628</v>
      </c>
      <c r="Y238" s="30">
        <f t="shared" si="6"/>
        <v>9300000</v>
      </c>
      <c r="Z238" s="41">
        <f t="shared" si="7"/>
        <v>0.50218330092617991</v>
      </c>
    </row>
    <row r="239" spans="1:26" ht="26.25">
      <c r="A239" s="2">
        <v>237</v>
      </c>
      <c r="B239" s="2">
        <v>3588715</v>
      </c>
      <c r="C239" s="2">
        <v>62703036770023</v>
      </c>
      <c r="D239" s="2" t="s">
        <v>22</v>
      </c>
      <c r="E239" s="2">
        <v>1810914</v>
      </c>
      <c r="F239" s="2">
        <v>994837115</v>
      </c>
      <c r="G239" s="3">
        <v>37707</v>
      </c>
      <c r="H239" s="2" t="s">
        <v>795</v>
      </c>
      <c r="I239" s="2" t="s">
        <v>796</v>
      </c>
      <c r="J239" s="2" t="s">
        <v>797</v>
      </c>
      <c r="K239" s="2" t="s">
        <v>26</v>
      </c>
      <c r="L239" s="2" t="s">
        <v>27</v>
      </c>
      <c r="M239" s="2">
        <v>5230902</v>
      </c>
      <c r="N239" s="2" t="s">
        <v>251</v>
      </c>
      <c r="O239" s="2" t="s">
        <v>241</v>
      </c>
      <c r="P239" s="2" t="s">
        <v>798</v>
      </c>
      <c r="Q239" s="2" t="s">
        <v>106</v>
      </c>
      <c r="R239" s="2" t="s">
        <v>134</v>
      </c>
      <c r="S239" s="2">
        <v>10</v>
      </c>
      <c r="T239" s="2" t="s">
        <v>33</v>
      </c>
      <c r="U239" s="2" t="s">
        <v>34</v>
      </c>
      <c r="V239" s="32">
        <v>91299300</v>
      </c>
      <c r="Y239" s="30">
        <f t="shared" si="6"/>
        <v>91299300</v>
      </c>
      <c r="Z239" s="41">
        <f t="shared" si="7"/>
        <v>0</v>
      </c>
    </row>
    <row r="240" spans="1:26">
      <c r="A240" s="2">
        <v>238</v>
      </c>
      <c r="B240" s="2">
        <v>1185603</v>
      </c>
      <c r="C240" s="2">
        <v>41709955550011</v>
      </c>
      <c r="D240" s="2" t="s">
        <v>145</v>
      </c>
      <c r="E240" s="2">
        <v>218906</v>
      </c>
      <c r="F240" s="2">
        <v>971018919</v>
      </c>
      <c r="G240" s="3">
        <v>34959</v>
      </c>
      <c r="H240" s="2" t="s">
        <v>757</v>
      </c>
      <c r="I240" s="2" t="s">
        <v>799</v>
      </c>
      <c r="J240" s="2" t="s">
        <v>800</v>
      </c>
      <c r="K240" s="2" t="s">
        <v>39</v>
      </c>
      <c r="L240" s="2" t="s">
        <v>27</v>
      </c>
      <c r="M240" s="2">
        <v>5230104</v>
      </c>
      <c r="N240" s="2" t="s">
        <v>78</v>
      </c>
      <c r="O240" s="2" t="s">
        <v>122</v>
      </c>
      <c r="P240" s="2" t="s">
        <v>80</v>
      </c>
      <c r="Q240" s="2" t="s">
        <v>166</v>
      </c>
      <c r="R240" s="2" t="s">
        <v>82</v>
      </c>
      <c r="S240" s="2">
        <v>10</v>
      </c>
      <c r="T240" s="2" t="s">
        <v>33</v>
      </c>
      <c r="U240" s="2" t="s">
        <v>34</v>
      </c>
      <c r="V240" s="32">
        <v>104616820</v>
      </c>
      <c r="Y240" s="30">
        <f t="shared" si="6"/>
        <v>104616820</v>
      </c>
      <c r="Z240" s="41">
        <f t="shared" si="7"/>
        <v>0</v>
      </c>
    </row>
    <row r="241" spans="1:27" ht="39">
      <c r="A241" s="2">
        <v>239</v>
      </c>
      <c r="B241" s="2">
        <v>1815700</v>
      </c>
      <c r="C241" s="2">
        <v>52904016980019</v>
      </c>
      <c r="D241" s="2" t="s">
        <v>45</v>
      </c>
      <c r="E241" s="2">
        <v>6733425</v>
      </c>
      <c r="F241" s="2">
        <v>930007106</v>
      </c>
      <c r="G241" s="3">
        <v>37010</v>
      </c>
      <c r="H241" s="2" t="s">
        <v>89</v>
      </c>
      <c r="I241" s="2" t="s">
        <v>801</v>
      </c>
      <c r="J241" s="2" t="s">
        <v>802</v>
      </c>
      <c r="K241" s="2" t="s">
        <v>39</v>
      </c>
      <c r="L241" s="2" t="s">
        <v>27</v>
      </c>
      <c r="M241" s="2">
        <v>5340401</v>
      </c>
      <c r="N241" s="2" t="s">
        <v>349</v>
      </c>
      <c r="O241" s="2" t="s">
        <v>225</v>
      </c>
      <c r="P241" s="2" t="s">
        <v>350</v>
      </c>
      <c r="Q241" s="4">
        <v>20394</v>
      </c>
      <c r="R241" s="2" t="s">
        <v>44</v>
      </c>
      <c r="S241" s="2">
        <v>8</v>
      </c>
      <c r="T241" s="2" t="s">
        <v>33</v>
      </c>
      <c r="U241" s="2" t="s">
        <v>34</v>
      </c>
      <c r="V241" s="32">
        <v>65759144</v>
      </c>
      <c r="Y241" s="30">
        <f t="shared" si="6"/>
        <v>65759144</v>
      </c>
      <c r="Z241" s="41">
        <f t="shared" si="7"/>
        <v>0</v>
      </c>
    </row>
    <row r="242" spans="1:27" ht="26.25">
      <c r="A242" s="2">
        <v>240</v>
      </c>
      <c r="B242" s="2">
        <v>1938392</v>
      </c>
      <c r="C242" s="2">
        <v>32010996530031</v>
      </c>
      <c r="D242" s="2" t="s">
        <v>45</v>
      </c>
      <c r="E242" s="2">
        <v>1943757</v>
      </c>
      <c r="F242" s="2">
        <v>935585151</v>
      </c>
      <c r="G242" s="3">
        <v>36453</v>
      </c>
      <c r="H242" s="2" t="s">
        <v>381</v>
      </c>
      <c r="I242" s="2" t="s">
        <v>803</v>
      </c>
      <c r="J242" s="2" t="s">
        <v>804</v>
      </c>
      <c r="K242" s="2" t="s">
        <v>39</v>
      </c>
      <c r="L242" s="2" t="s">
        <v>27</v>
      </c>
      <c r="M242" s="2">
        <v>5340603</v>
      </c>
      <c r="N242" s="2" t="s">
        <v>174</v>
      </c>
      <c r="O242" s="2" t="s">
        <v>88</v>
      </c>
      <c r="P242" s="2" t="s">
        <v>175</v>
      </c>
      <c r="Q242" s="4">
        <v>18537</v>
      </c>
      <c r="R242" s="2" t="s">
        <v>44</v>
      </c>
      <c r="S242" s="2">
        <v>8</v>
      </c>
      <c r="T242" s="2" t="s">
        <v>33</v>
      </c>
      <c r="U242" s="2" t="s">
        <v>34</v>
      </c>
      <c r="V242" s="29" t="s">
        <v>2797</v>
      </c>
      <c r="W242" s="20">
        <f>33000000+14060000</f>
        <v>47060000</v>
      </c>
      <c r="X242" s="2" t="s">
        <v>2867</v>
      </c>
      <c r="Y242" s="30">
        <f t="shared" si="6"/>
        <v>12123229.600000001</v>
      </c>
      <c r="Z242" s="41">
        <f t="shared" si="7"/>
        <v>0.79515768771091189</v>
      </c>
      <c r="AA242" s="42" t="s">
        <v>2798</v>
      </c>
    </row>
    <row r="243" spans="1:27" ht="26.25">
      <c r="A243" s="2">
        <v>241</v>
      </c>
      <c r="B243" s="2">
        <v>2294016</v>
      </c>
      <c r="C243" s="2">
        <v>51401005830023</v>
      </c>
      <c r="D243" s="2" t="s">
        <v>45</v>
      </c>
      <c r="E243" s="2">
        <v>5950687</v>
      </c>
      <c r="F243" s="2">
        <v>936627288</v>
      </c>
      <c r="G243" s="3">
        <v>36539</v>
      </c>
      <c r="H243" s="2" t="s">
        <v>805</v>
      </c>
      <c r="I243" s="2" t="s">
        <v>806</v>
      </c>
      <c r="J243" s="2" t="s">
        <v>807</v>
      </c>
      <c r="K243" s="2" t="s">
        <v>39</v>
      </c>
      <c r="L243" s="2" t="s">
        <v>27</v>
      </c>
      <c r="M243" s="2">
        <v>5350701</v>
      </c>
      <c r="N243" s="2" t="s">
        <v>338</v>
      </c>
      <c r="O243" s="2" t="s">
        <v>194</v>
      </c>
      <c r="P243" s="2" t="s">
        <v>73</v>
      </c>
      <c r="Q243" s="4">
        <v>11110</v>
      </c>
      <c r="R243" s="2" t="s">
        <v>44</v>
      </c>
      <c r="S243" s="2">
        <v>8</v>
      </c>
      <c r="T243" s="2" t="s">
        <v>33</v>
      </c>
      <c r="U243" s="2" t="s">
        <v>34</v>
      </c>
      <c r="V243" s="32">
        <v>65759144</v>
      </c>
      <c r="Y243" s="30">
        <f t="shared" si="6"/>
        <v>65759144</v>
      </c>
      <c r="Z243" s="41">
        <f t="shared" si="7"/>
        <v>0</v>
      </c>
    </row>
    <row r="244" spans="1:27" ht="26.25">
      <c r="A244" s="2">
        <v>242</v>
      </c>
      <c r="B244" s="2">
        <v>1350634</v>
      </c>
      <c r="C244" s="2">
        <v>52710015860014</v>
      </c>
      <c r="D244" s="2" t="s">
        <v>45</v>
      </c>
      <c r="E244" s="2">
        <v>8170065</v>
      </c>
      <c r="F244" s="2">
        <v>944828855</v>
      </c>
      <c r="G244" s="3">
        <v>37191</v>
      </c>
      <c r="H244" s="2" t="s">
        <v>69</v>
      </c>
      <c r="I244" s="2" t="s">
        <v>808</v>
      </c>
      <c r="J244" s="2" t="s">
        <v>809</v>
      </c>
      <c r="K244" s="2" t="s">
        <v>39</v>
      </c>
      <c r="L244" s="2" t="s">
        <v>27</v>
      </c>
      <c r="M244" s="2">
        <v>5320102</v>
      </c>
      <c r="N244" s="2" t="s">
        <v>138</v>
      </c>
      <c r="O244" s="2" t="s">
        <v>194</v>
      </c>
      <c r="P244" s="2" t="s">
        <v>140</v>
      </c>
      <c r="Q244" s="5">
        <v>44471</v>
      </c>
      <c r="R244" s="2" t="s">
        <v>62</v>
      </c>
      <c r="S244" s="2">
        <v>8</v>
      </c>
      <c r="T244" s="2" t="s">
        <v>33</v>
      </c>
      <c r="U244" s="2" t="s">
        <v>34</v>
      </c>
      <c r="V244" s="32">
        <v>18681575</v>
      </c>
      <c r="W244" s="21">
        <v>9345000</v>
      </c>
      <c r="X244" s="11" t="s">
        <v>2648</v>
      </c>
      <c r="Y244" s="30">
        <f t="shared" si="6"/>
        <v>9336575</v>
      </c>
      <c r="Z244" s="41">
        <f t="shared" si="7"/>
        <v>0.50022548955320956</v>
      </c>
    </row>
    <row r="245" spans="1:27" ht="26.25">
      <c r="A245" s="2">
        <v>243</v>
      </c>
      <c r="B245" s="2">
        <v>2420880</v>
      </c>
      <c r="C245" s="2">
        <v>32011911140036</v>
      </c>
      <c r="D245" s="2" t="s">
        <v>145</v>
      </c>
      <c r="E245" s="2">
        <v>5988717</v>
      </c>
      <c r="F245" s="2">
        <v>932070777</v>
      </c>
      <c r="G245" s="3">
        <v>33562</v>
      </c>
      <c r="H245" s="2" t="s">
        <v>810</v>
      </c>
      <c r="I245" s="2" t="s">
        <v>811</v>
      </c>
      <c r="J245" s="2" t="s">
        <v>812</v>
      </c>
      <c r="K245" s="2" t="s">
        <v>39</v>
      </c>
      <c r="L245" s="2" t="s">
        <v>57</v>
      </c>
      <c r="M245" s="2">
        <v>5620701</v>
      </c>
      <c r="N245" s="2" t="s">
        <v>218</v>
      </c>
      <c r="O245" s="2" t="s">
        <v>149</v>
      </c>
      <c r="P245" s="2" t="s">
        <v>194</v>
      </c>
      <c r="Q245" s="5">
        <v>44317</v>
      </c>
      <c r="R245" s="2" t="s">
        <v>62</v>
      </c>
      <c r="S245" s="2">
        <v>8</v>
      </c>
      <c r="T245" s="2" t="s">
        <v>508</v>
      </c>
      <c r="U245" s="2" t="s">
        <v>34</v>
      </c>
      <c r="V245" s="32">
        <v>11208945</v>
      </c>
      <c r="Y245" s="30">
        <f t="shared" si="6"/>
        <v>11208945</v>
      </c>
      <c r="Z245" s="41">
        <f t="shared" si="7"/>
        <v>0</v>
      </c>
    </row>
    <row r="246" spans="1:27" ht="26.25">
      <c r="A246" s="2">
        <v>244</v>
      </c>
      <c r="B246" s="2">
        <v>1241675</v>
      </c>
      <c r="C246" s="2">
        <v>60606005540097</v>
      </c>
      <c r="D246" s="2" t="s">
        <v>45</v>
      </c>
      <c r="E246" s="2">
        <v>7800028</v>
      </c>
      <c r="F246" s="2">
        <v>996886856</v>
      </c>
      <c r="G246" s="3">
        <v>36683</v>
      </c>
      <c r="H246" s="2" t="s">
        <v>813</v>
      </c>
      <c r="I246" s="2" t="s">
        <v>814</v>
      </c>
      <c r="J246" s="2" t="s">
        <v>815</v>
      </c>
      <c r="K246" s="2" t="s">
        <v>39</v>
      </c>
      <c r="L246" s="2" t="s">
        <v>57</v>
      </c>
      <c r="M246" s="2">
        <v>5310605</v>
      </c>
      <c r="N246" s="2" t="s">
        <v>97</v>
      </c>
      <c r="O246" s="2" t="s">
        <v>179</v>
      </c>
      <c r="P246" s="2" t="s">
        <v>154</v>
      </c>
      <c r="Q246" s="4">
        <v>18537</v>
      </c>
      <c r="R246" s="2" t="s">
        <v>62</v>
      </c>
      <c r="S246" s="2">
        <v>8</v>
      </c>
      <c r="T246" s="2" t="s">
        <v>33</v>
      </c>
      <c r="U246" s="2" t="s">
        <v>34</v>
      </c>
      <c r="V246" s="29">
        <v>53802936</v>
      </c>
      <c r="W246" s="21">
        <v>30000000</v>
      </c>
      <c r="X246" s="10" t="s">
        <v>2638</v>
      </c>
      <c r="Y246" s="30">
        <f t="shared" si="6"/>
        <v>23802936</v>
      </c>
      <c r="Z246" s="41">
        <f t="shared" si="7"/>
        <v>0.55759038874755829</v>
      </c>
    </row>
    <row r="247" spans="1:27" ht="26.25">
      <c r="A247" s="2">
        <v>245</v>
      </c>
      <c r="B247" s="2">
        <v>3489477</v>
      </c>
      <c r="C247" s="2">
        <v>52908036050060</v>
      </c>
      <c r="D247" s="2" t="s">
        <v>22</v>
      </c>
      <c r="E247" s="2">
        <v>2592105</v>
      </c>
      <c r="F247" s="2">
        <v>938538114</v>
      </c>
      <c r="G247" s="3">
        <v>37862</v>
      </c>
      <c r="H247" s="2" t="s">
        <v>590</v>
      </c>
      <c r="I247" s="2" t="s">
        <v>816</v>
      </c>
      <c r="J247" s="2" t="s">
        <v>817</v>
      </c>
      <c r="K247" s="2" t="s">
        <v>26</v>
      </c>
      <c r="L247" s="2" t="s">
        <v>27</v>
      </c>
      <c r="M247" s="2">
        <v>5620701</v>
      </c>
      <c r="N247" s="2" t="s">
        <v>218</v>
      </c>
      <c r="O247" s="2" t="s">
        <v>104</v>
      </c>
      <c r="P247" s="2" t="s">
        <v>224</v>
      </c>
      <c r="Q247" s="2" t="s">
        <v>818</v>
      </c>
      <c r="R247" s="2" t="s">
        <v>53</v>
      </c>
      <c r="S247" s="2">
        <v>8</v>
      </c>
      <c r="T247" s="2" t="s">
        <v>33</v>
      </c>
      <c r="U247" s="2" t="s">
        <v>34</v>
      </c>
      <c r="V247" s="29">
        <v>46170792</v>
      </c>
      <c r="W247" s="21">
        <f>25650440+10600000</f>
        <v>36250440</v>
      </c>
      <c r="X247" s="10" t="s">
        <v>2869</v>
      </c>
      <c r="Y247" s="30">
        <f t="shared" si="6"/>
        <v>9920352</v>
      </c>
      <c r="Z247" s="41">
        <f t="shared" si="7"/>
        <v>0.7851379287580772</v>
      </c>
    </row>
    <row r="248" spans="1:27" ht="15.75">
      <c r="A248" s="2">
        <v>246</v>
      </c>
      <c r="B248" s="2">
        <v>3090226</v>
      </c>
      <c r="C248" s="2">
        <v>30412886480017</v>
      </c>
      <c r="D248" s="2" t="s">
        <v>145</v>
      </c>
      <c r="E248" s="2">
        <v>2910460</v>
      </c>
      <c r="F248" s="2">
        <v>994786209</v>
      </c>
      <c r="G248" s="3">
        <v>32481</v>
      </c>
      <c r="H248" s="2" t="s">
        <v>146</v>
      </c>
      <c r="I248" s="2" t="s">
        <v>819</v>
      </c>
      <c r="J248" s="2" t="s">
        <v>820</v>
      </c>
      <c r="K248" s="2" t="s">
        <v>39</v>
      </c>
      <c r="L248" s="2" t="s">
        <v>57</v>
      </c>
      <c r="M248" s="2">
        <v>5310202</v>
      </c>
      <c r="N248" s="2" t="s">
        <v>86</v>
      </c>
      <c r="O248" s="2" t="s">
        <v>225</v>
      </c>
      <c r="P248" s="2" t="s">
        <v>154</v>
      </c>
      <c r="Q248" s="5">
        <v>44471</v>
      </c>
      <c r="R248" s="2" t="s">
        <v>62</v>
      </c>
      <c r="S248" s="2">
        <v>8</v>
      </c>
      <c r="T248" s="2" t="s">
        <v>33</v>
      </c>
      <c r="U248" s="2" t="s">
        <v>34</v>
      </c>
      <c r="V248" s="29" t="s">
        <v>2792</v>
      </c>
      <c r="W248" s="21">
        <f>10682000+1100000+2169000+995000</f>
        <v>14946000</v>
      </c>
      <c r="X248" s="11" t="s">
        <v>2910</v>
      </c>
      <c r="Y248" s="30">
        <f t="shared" si="6"/>
        <v>1867417.5</v>
      </c>
      <c r="Z248" s="41">
        <f t="shared" si="7"/>
        <v>0.88893290135690739</v>
      </c>
      <c r="AA248" s="42" t="s">
        <v>2798</v>
      </c>
    </row>
    <row r="249" spans="1:27" ht="26.25">
      <c r="A249" s="2">
        <v>247</v>
      </c>
      <c r="B249" s="2">
        <v>1478608</v>
      </c>
      <c r="C249" s="2">
        <v>51806015590042</v>
      </c>
      <c r="D249" s="2" t="s">
        <v>45</v>
      </c>
      <c r="E249" s="2">
        <v>7501312</v>
      </c>
      <c r="F249" s="2">
        <v>997343571</v>
      </c>
      <c r="G249" s="3">
        <v>37060</v>
      </c>
      <c r="H249" s="2" t="s">
        <v>821</v>
      </c>
      <c r="I249" s="2" t="s">
        <v>505</v>
      </c>
      <c r="J249" s="2" t="s">
        <v>822</v>
      </c>
      <c r="K249" s="2" t="s">
        <v>39</v>
      </c>
      <c r="L249" s="2" t="s">
        <v>27</v>
      </c>
      <c r="M249" s="2">
        <v>5620701</v>
      </c>
      <c r="N249" s="2" t="s">
        <v>218</v>
      </c>
      <c r="O249" s="2" t="s">
        <v>194</v>
      </c>
      <c r="P249" s="2" t="s">
        <v>219</v>
      </c>
      <c r="Q249" s="2" t="s">
        <v>61</v>
      </c>
      <c r="R249" s="2" t="s">
        <v>62</v>
      </c>
      <c r="S249" s="2">
        <v>8</v>
      </c>
      <c r="T249" s="2" t="s">
        <v>33</v>
      </c>
      <c r="U249" s="2" t="s">
        <v>34</v>
      </c>
      <c r="V249" s="32">
        <v>53802936</v>
      </c>
      <c r="W249" s="21">
        <f>29891000+14000000+5771000+3800000+340000</f>
        <v>53802000</v>
      </c>
      <c r="X249" s="12" t="s">
        <v>2948</v>
      </c>
      <c r="Y249" s="30">
        <f t="shared" si="6"/>
        <v>936</v>
      </c>
      <c r="Z249" s="41">
        <f t="shared" si="7"/>
        <v>0.99998260317987109</v>
      </c>
    </row>
    <row r="250" spans="1:27" ht="26.25">
      <c r="A250" s="2">
        <v>248</v>
      </c>
      <c r="B250" s="2">
        <v>1552369</v>
      </c>
      <c r="C250" s="2">
        <v>51105016320037</v>
      </c>
      <c r="D250" s="2" t="s">
        <v>45</v>
      </c>
      <c r="E250" s="2">
        <v>8952756</v>
      </c>
      <c r="F250" s="2">
        <v>996753542</v>
      </c>
      <c r="G250" s="3">
        <v>37022</v>
      </c>
      <c r="H250" s="2" t="s">
        <v>94</v>
      </c>
      <c r="I250" s="2" t="s">
        <v>823</v>
      </c>
      <c r="J250" s="2" t="s">
        <v>824</v>
      </c>
      <c r="K250" s="2" t="s">
        <v>26</v>
      </c>
      <c r="L250" s="2" t="s">
        <v>27</v>
      </c>
      <c r="M250" s="2">
        <v>5320102</v>
      </c>
      <c r="N250" s="2" t="s">
        <v>138</v>
      </c>
      <c r="O250" s="2" t="s">
        <v>41</v>
      </c>
      <c r="P250" s="2" t="s">
        <v>154</v>
      </c>
      <c r="Q250" s="4">
        <v>42064</v>
      </c>
      <c r="R250" s="2" t="s">
        <v>53</v>
      </c>
      <c r="S250" s="2">
        <v>8</v>
      </c>
      <c r="T250" s="2" t="s">
        <v>33</v>
      </c>
      <c r="U250" s="2" t="s">
        <v>34</v>
      </c>
      <c r="V250" s="32">
        <v>19237830</v>
      </c>
      <c r="Y250" s="30">
        <f t="shared" si="6"/>
        <v>19237830</v>
      </c>
      <c r="Z250" s="41">
        <f t="shared" si="7"/>
        <v>0</v>
      </c>
    </row>
    <row r="251" spans="1:27">
      <c r="A251" s="2">
        <v>249</v>
      </c>
      <c r="B251" s="2">
        <v>2442169</v>
      </c>
      <c r="C251" s="2">
        <v>30103996520024</v>
      </c>
      <c r="D251" s="2" t="s">
        <v>145</v>
      </c>
      <c r="E251" s="2">
        <v>9246942</v>
      </c>
      <c r="F251" s="2">
        <v>998192362</v>
      </c>
      <c r="G251" s="3">
        <v>36220</v>
      </c>
      <c r="H251" s="2" t="s">
        <v>825</v>
      </c>
      <c r="I251" s="2" t="s">
        <v>826</v>
      </c>
      <c r="J251" s="2" t="s">
        <v>827</v>
      </c>
      <c r="K251" s="2" t="s">
        <v>26</v>
      </c>
      <c r="L251" s="2" t="s">
        <v>27</v>
      </c>
      <c r="M251" s="2">
        <v>5240109</v>
      </c>
      <c r="N251" s="2" t="s">
        <v>28</v>
      </c>
      <c r="O251" s="2" t="s">
        <v>149</v>
      </c>
      <c r="P251" s="2" t="s">
        <v>30</v>
      </c>
      <c r="Q251" s="2" t="s">
        <v>828</v>
      </c>
      <c r="R251" s="2" t="s">
        <v>32</v>
      </c>
      <c r="S251" s="2">
        <v>25</v>
      </c>
      <c r="T251" s="2" t="s">
        <v>33</v>
      </c>
      <c r="U251" s="2" t="s">
        <v>34</v>
      </c>
      <c r="V251" s="32">
        <v>245231500</v>
      </c>
      <c r="Y251" s="30">
        <f t="shared" si="6"/>
        <v>245231500</v>
      </c>
      <c r="Z251" s="41">
        <f t="shared" si="7"/>
        <v>0</v>
      </c>
    </row>
    <row r="252" spans="1:27" ht="15.75">
      <c r="A252" s="2">
        <v>250</v>
      </c>
      <c r="B252" s="2">
        <v>2154210</v>
      </c>
      <c r="C252" s="2">
        <v>51401025590033</v>
      </c>
      <c r="D252" s="2" t="s">
        <v>22</v>
      </c>
      <c r="E252" s="2">
        <v>1794697</v>
      </c>
      <c r="F252" s="2">
        <v>994173913</v>
      </c>
      <c r="G252" s="3">
        <v>37270</v>
      </c>
      <c r="H252" s="2" t="s">
        <v>89</v>
      </c>
      <c r="I252" s="2" t="s">
        <v>829</v>
      </c>
      <c r="J252" s="2" t="s">
        <v>802</v>
      </c>
      <c r="K252" s="2" t="s">
        <v>26</v>
      </c>
      <c r="L252" s="2" t="s">
        <v>27</v>
      </c>
      <c r="M252" s="2">
        <v>5620400</v>
      </c>
      <c r="N252" s="2" t="s">
        <v>103</v>
      </c>
      <c r="O252" s="2" t="s">
        <v>154</v>
      </c>
      <c r="P252" s="2" t="s">
        <v>105</v>
      </c>
      <c r="Q252" s="2" t="s">
        <v>469</v>
      </c>
      <c r="R252" s="2" t="s">
        <v>53</v>
      </c>
      <c r="S252" s="2">
        <v>8</v>
      </c>
      <c r="T252" s="2" t="s">
        <v>33</v>
      </c>
      <c r="U252" s="2" t="s">
        <v>34</v>
      </c>
      <c r="V252" s="32">
        <v>46170792</v>
      </c>
      <c r="W252" s="21">
        <f>25650440+20520000+2000</f>
        <v>46172440</v>
      </c>
      <c r="X252" s="11" t="s">
        <v>2829</v>
      </c>
      <c r="Y252" s="30">
        <f t="shared" si="6"/>
        <v>-1648</v>
      </c>
      <c r="Z252" s="41">
        <f t="shared" si="7"/>
        <v>1.0000356935614187</v>
      </c>
    </row>
    <row r="253" spans="1:27">
      <c r="A253" s="2">
        <v>251</v>
      </c>
      <c r="B253" s="2">
        <v>3695420</v>
      </c>
      <c r="C253" s="2">
        <v>50703005310013</v>
      </c>
      <c r="D253" s="2" t="s">
        <v>45</v>
      </c>
      <c r="E253" s="2">
        <v>4510031</v>
      </c>
      <c r="F253" s="2">
        <v>991233807</v>
      </c>
      <c r="G253" s="3">
        <v>36592</v>
      </c>
      <c r="H253" s="2" t="s">
        <v>830</v>
      </c>
      <c r="I253" s="2" t="s">
        <v>626</v>
      </c>
      <c r="J253" s="2" t="s">
        <v>831</v>
      </c>
      <c r="K253" s="2" t="s">
        <v>39</v>
      </c>
      <c r="L253" s="2" t="s">
        <v>57</v>
      </c>
      <c r="M253" s="2">
        <v>5314000</v>
      </c>
      <c r="N253" s="2" t="s">
        <v>522</v>
      </c>
      <c r="O253" s="2" t="s">
        <v>104</v>
      </c>
      <c r="P253" s="2" t="s">
        <v>149</v>
      </c>
      <c r="Q253" s="4">
        <v>45778</v>
      </c>
      <c r="R253" s="2" t="s">
        <v>62</v>
      </c>
      <c r="S253" s="2">
        <v>8</v>
      </c>
      <c r="T253" s="2" t="s">
        <v>33</v>
      </c>
      <c r="U253" s="2" t="s">
        <v>34</v>
      </c>
      <c r="V253" s="32">
        <v>59781040</v>
      </c>
      <c r="Y253" s="30">
        <f t="shared" si="6"/>
        <v>59781040</v>
      </c>
      <c r="Z253" s="41">
        <f t="shared" si="7"/>
        <v>0</v>
      </c>
    </row>
    <row r="254" spans="1:27" ht="26.25">
      <c r="A254" s="2">
        <v>252</v>
      </c>
      <c r="B254" s="2">
        <v>1235991</v>
      </c>
      <c r="C254" s="2">
        <v>40305965760049</v>
      </c>
      <c r="D254" s="2" t="s">
        <v>145</v>
      </c>
      <c r="E254" s="2">
        <v>387611</v>
      </c>
      <c r="F254" s="2">
        <v>934308735</v>
      </c>
      <c r="G254" s="3">
        <v>35188</v>
      </c>
      <c r="H254" s="2" t="s">
        <v>472</v>
      </c>
      <c r="I254" s="2" t="s">
        <v>832</v>
      </c>
      <c r="J254" s="2" t="s">
        <v>833</v>
      </c>
      <c r="K254" s="2" t="s">
        <v>39</v>
      </c>
      <c r="L254" s="2" t="s">
        <v>57</v>
      </c>
      <c r="M254" s="2">
        <v>5350701</v>
      </c>
      <c r="N254" s="2" t="s">
        <v>338</v>
      </c>
      <c r="O254" s="2" t="s">
        <v>225</v>
      </c>
      <c r="P254" s="2" t="s">
        <v>104</v>
      </c>
      <c r="Q254" s="5">
        <v>44317</v>
      </c>
      <c r="R254" s="2" t="s">
        <v>44</v>
      </c>
      <c r="S254" s="2">
        <v>8</v>
      </c>
      <c r="T254" s="2" t="s">
        <v>33</v>
      </c>
      <c r="U254" s="2" t="s">
        <v>34</v>
      </c>
      <c r="V254" s="29" t="s">
        <v>2832</v>
      </c>
      <c r="W254" s="21">
        <f>6000000+165000+2700000</f>
        <v>8865000</v>
      </c>
      <c r="X254" s="11" t="s">
        <v>2754</v>
      </c>
      <c r="Y254" s="30">
        <f t="shared" si="6"/>
        <v>2231855.5500000007</v>
      </c>
      <c r="Z254" s="41">
        <f t="shared" si="7"/>
        <v>0.79887495696922894</v>
      </c>
      <c r="AA254" s="42" t="s">
        <v>2798</v>
      </c>
    </row>
    <row r="255" spans="1:27" ht="26.25">
      <c r="A255" s="2">
        <v>253</v>
      </c>
      <c r="B255" s="2">
        <v>2031016</v>
      </c>
      <c r="C255" s="2">
        <v>32701965670015</v>
      </c>
      <c r="D255" s="2" t="s">
        <v>145</v>
      </c>
      <c r="E255" s="2">
        <v>4287734</v>
      </c>
      <c r="F255" s="2">
        <v>939349080</v>
      </c>
      <c r="G255" s="3">
        <v>35091</v>
      </c>
      <c r="H255" s="2" t="s">
        <v>125</v>
      </c>
      <c r="I255" s="2" t="s">
        <v>243</v>
      </c>
      <c r="J255" s="2" t="s">
        <v>834</v>
      </c>
      <c r="K255" s="2" t="s">
        <v>39</v>
      </c>
      <c r="L255" s="2" t="s">
        <v>27</v>
      </c>
      <c r="M255" s="2">
        <v>5310701</v>
      </c>
      <c r="N255" s="2" t="s">
        <v>118</v>
      </c>
      <c r="O255" s="2" t="s">
        <v>207</v>
      </c>
      <c r="P255" s="2" t="s">
        <v>123</v>
      </c>
      <c r="Q255" s="5">
        <v>44338</v>
      </c>
      <c r="R255" s="2" t="s">
        <v>62</v>
      </c>
      <c r="S255" s="2">
        <v>8</v>
      </c>
      <c r="T255" s="2" t="s">
        <v>33</v>
      </c>
      <c r="U255" s="2" t="s">
        <v>34</v>
      </c>
      <c r="V255" s="32">
        <v>59781040</v>
      </c>
      <c r="Y255" s="30">
        <f t="shared" si="6"/>
        <v>59781040</v>
      </c>
      <c r="Z255" s="41">
        <f t="shared" si="7"/>
        <v>0</v>
      </c>
    </row>
    <row r="256" spans="1:27">
      <c r="A256" s="2">
        <v>254</v>
      </c>
      <c r="B256" s="2">
        <v>2435814</v>
      </c>
      <c r="C256" s="2">
        <v>51107035310044</v>
      </c>
      <c r="D256" s="2" t="s">
        <v>22</v>
      </c>
      <c r="E256" s="2">
        <v>2269326</v>
      </c>
      <c r="F256" s="2">
        <v>906117841</v>
      </c>
      <c r="G256" s="3">
        <v>37813</v>
      </c>
      <c r="H256" s="2" t="s">
        <v>835</v>
      </c>
      <c r="I256" s="2" t="s">
        <v>836</v>
      </c>
      <c r="J256" s="2" t="s">
        <v>618</v>
      </c>
      <c r="K256" s="2" t="s">
        <v>39</v>
      </c>
      <c r="L256" s="2" t="s">
        <v>27</v>
      </c>
      <c r="M256" s="2">
        <v>5620400</v>
      </c>
      <c r="N256" s="2" t="s">
        <v>103</v>
      </c>
      <c r="O256" s="2" t="s">
        <v>149</v>
      </c>
      <c r="P256" s="2" t="s">
        <v>123</v>
      </c>
      <c r="Q256" s="2" t="s">
        <v>111</v>
      </c>
      <c r="R256" s="2" t="s">
        <v>62</v>
      </c>
      <c r="S256" s="2">
        <v>8</v>
      </c>
      <c r="T256" s="2" t="s">
        <v>33</v>
      </c>
      <c r="U256" s="2" t="s">
        <v>34</v>
      </c>
      <c r="V256" s="32">
        <v>59781040</v>
      </c>
      <c r="Y256" s="30">
        <f t="shared" si="6"/>
        <v>59781040</v>
      </c>
      <c r="Z256" s="41">
        <f t="shared" si="7"/>
        <v>0</v>
      </c>
    </row>
    <row r="257" spans="1:27" ht="26.25">
      <c r="A257" s="2">
        <v>255</v>
      </c>
      <c r="B257" s="2">
        <v>3530751</v>
      </c>
      <c r="C257" s="2">
        <v>50601035800046</v>
      </c>
      <c r="D257" s="2" t="s">
        <v>74</v>
      </c>
      <c r="E257" s="2">
        <v>20594</v>
      </c>
      <c r="F257" s="2">
        <v>971900508</v>
      </c>
      <c r="G257" s="3">
        <v>37627</v>
      </c>
      <c r="H257" s="2" t="s">
        <v>837</v>
      </c>
      <c r="I257" s="2" t="s">
        <v>838</v>
      </c>
      <c r="J257" s="2" t="s">
        <v>839</v>
      </c>
      <c r="K257" s="2" t="s">
        <v>39</v>
      </c>
      <c r="L257" s="2" t="s">
        <v>27</v>
      </c>
      <c r="M257" s="2">
        <v>5310701</v>
      </c>
      <c r="N257" s="2" t="s">
        <v>118</v>
      </c>
      <c r="O257" s="2" t="s">
        <v>439</v>
      </c>
      <c r="P257" s="2" t="s">
        <v>123</v>
      </c>
      <c r="Q257" s="2" t="s">
        <v>299</v>
      </c>
      <c r="R257" s="2" t="s">
        <v>62</v>
      </c>
      <c r="S257" s="2">
        <v>8</v>
      </c>
      <c r="T257" s="2" t="s">
        <v>33</v>
      </c>
      <c r="U257" s="2" t="s">
        <v>34</v>
      </c>
      <c r="V257" s="32">
        <v>119562080</v>
      </c>
      <c r="Y257" s="30">
        <f t="shared" si="6"/>
        <v>119562080</v>
      </c>
      <c r="Z257" s="41">
        <f t="shared" si="7"/>
        <v>0</v>
      </c>
    </row>
    <row r="258" spans="1:27">
      <c r="A258" s="2">
        <v>256</v>
      </c>
      <c r="B258" s="2">
        <v>3694364</v>
      </c>
      <c r="C258" s="2">
        <v>51212016520021</v>
      </c>
      <c r="D258" s="2" t="s">
        <v>45</v>
      </c>
      <c r="E258" s="2">
        <v>6375302</v>
      </c>
      <c r="F258" s="2">
        <v>970008330</v>
      </c>
      <c r="G258" s="3">
        <v>37237</v>
      </c>
      <c r="H258" s="2" t="s">
        <v>195</v>
      </c>
      <c r="I258" s="2" t="s">
        <v>752</v>
      </c>
      <c r="J258" s="2" t="s">
        <v>840</v>
      </c>
      <c r="K258" s="2" t="s">
        <v>39</v>
      </c>
      <c r="L258" s="2" t="s">
        <v>57</v>
      </c>
      <c r="M258" s="2">
        <v>5314000</v>
      </c>
      <c r="N258" s="2" t="s">
        <v>522</v>
      </c>
      <c r="O258" s="2" t="s">
        <v>88</v>
      </c>
      <c r="P258" s="2" t="s">
        <v>149</v>
      </c>
      <c r="Q258" s="4">
        <v>14824</v>
      </c>
      <c r="R258" s="2" t="s">
        <v>62</v>
      </c>
      <c r="S258" s="2">
        <v>8</v>
      </c>
      <c r="T258" s="2" t="s">
        <v>33</v>
      </c>
      <c r="U258" s="2" t="s">
        <v>34</v>
      </c>
      <c r="V258" s="32">
        <v>59781040</v>
      </c>
      <c r="Y258" s="30">
        <f t="shared" si="6"/>
        <v>59781040</v>
      </c>
      <c r="Z258" s="41">
        <f t="shared" si="7"/>
        <v>0</v>
      </c>
    </row>
    <row r="259" spans="1:27" ht="26.25">
      <c r="A259" s="2">
        <v>257</v>
      </c>
      <c r="B259" s="2">
        <v>2650248</v>
      </c>
      <c r="C259" s="2">
        <v>30107966770022</v>
      </c>
      <c r="D259" s="2" t="s">
        <v>145</v>
      </c>
      <c r="E259" s="2">
        <v>1266360</v>
      </c>
      <c r="F259" s="2">
        <v>935739600</v>
      </c>
      <c r="G259" s="3">
        <v>35247</v>
      </c>
      <c r="H259" s="2" t="s">
        <v>841</v>
      </c>
      <c r="I259" s="2" t="s">
        <v>842</v>
      </c>
      <c r="J259" s="2" t="s">
        <v>148</v>
      </c>
      <c r="K259" s="2" t="s">
        <v>39</v>
      </c>
      <c r="L259" s="2" t="s">
        <v>27</v>
      </c>
      <c r="M259" s="2">
        <v>5340606</v>
      </c>
      <c r="N259" s="2" t="s">
        <v>191</v>
      </c>
      <c r="O259" s="2" t="s">
        <v>67</v>
      </c>
      <c r="P259" s="2" t="s">
        <v>42</v>
      </c>
      <c r="Q259" s="5">
        <v>44471</v>
      </c>
      <c r="R259" s="2" t="s">
        <v>44</v>
      </c>
      <c r="S259" s="2">
        <v>8</v>
      </c>
      <c r="T259" s="2" t="s">
        <v>33</v>
      </c>
      <c r="U259" s="2" t="s">
        <v>34</v>
      </c>
      <c r="V259" s="32" t="s">
        <v>2726</v>
      </c>
      <c r="W259" s="21">
        <f>10275000+3500000+3500000</f>
        <v>17275000</v>
      </c>
      <c r="X259" s="11" t="s">
        <v>2851</v>
      </c>
      <c r="Y259" s="30">
        <f t="shared" si="6"/>
        <v>3274732.5</v>
      </c>
      <c r="Z259" s="41">
        <f t="shared" si="7"/>
        <v>0.84064354608995517</v>
      </c>
    </row>
    <row r="260" spans="1:27">
      <c r="A260" s="2">
        <v>258</v>
      </c>
      <c r="B260" s="2">
        <v>3555564</v>
      </c>
      <c r="C260" s="2">
        <v>51407036980014</v>
      </c>
      <c r="D260" s="2" t="s">
        <v>22</v>
      </c>
      <c r="E260" s="2">
        <v>2072479</v>
      </c>
      <c r="F260" s="2">
        <v>990308154</v>
      </c>
      <c r="G260" s="3">
        <v>37816</v>
      </c>
      <c r="H260" s="2" t="s">
        <v>843</v>
      </c>
      <c r="I260" s="2" t="s">
        <v>573</v>
      </c>
      <c r="J260" s="2" t="s">
        <v>844</v>
      </c>
      <c r="K260" s="2" t="s">
        <v>26</v>
      </c>
      <c r="L260" s="2" t="s">
        <v>27</v>
      </c>
      <c r="M260" s="2">
        <v>5310202</v>
      </c>
      <c r="N260" s="2" t="s">
        <v>86</v>
      </c>
      <c r="O260" s="2" t="s">
        <v>187</v>
      </c>
      <c r="P260" s="2" t="s">
        <v>252</v>
      </c>
      <c r="Q260" s="2" t="s">
        <v>591</v>
      </c>
      <c r="R260" s="2" t="s">
        <v>53</v>
      </c>
      <c r="S260" s="2">
        <v>8</v>
      </c>
      <c r="T260" s="2" t="s">
        <v>508</v>
      </c>
      <c r="U260" s="2" t="s">
        <v>34</v>
      </c>
      <c r="V260" s="32">
        <v>51300880</v>
      </c>
      <c r="Y260" s="30">
        <f t="shared" ref="Y260:Y323" si="8">V260-W260</f>
        <v>51300880</v>
      </c>
      <c r="Z260" s="41">
        <f t="shared" ref="Z260:Z323" si="9">W260/V260</f>
        <v>0</v>
      </c>
    </row>
    <row r="261" spans="1:27" ht="26.25">
      <c r="A261" s="2">
        <v>259</v>
      </c>
      <c r="B261" s="2">
        <v>3300250</v>
      </c>
      <c r="C261" s="2">
        <v>61609037050043</v>
      </c>
      <c r="D261" s="2" t="s">
        <v>22</v>
      </c>
      <c r="E261" s="2">
        <v>2862337</v>
      </c>
      <c r="F261" s="2">
        <v>911410152</v>
      </c>
      <c r="G261" s="3">
        <v>37880</v>
      </c>
      <c r="H261" s="2" t="s">
        <v>845</v>
      </c>
      <c r="I261" s="2" t="s">
        <v>846</v>
      </c>
      <c r="J261" s="2" t="s">
        <v>847</v>
      </c>
      <c r="K261" s="2" t="s">
        <v>39</v>
      </c>
      <c r="L261" s="2" t="s">
        <v>27</v>
      </c>
      <c r="M261" s="2">
        <v>5230902</v>
      </c>
      <c r="N261" s="2" t="s">
        <v>251</v>
      </c>
      <c r="O261" s="2">
        <v>84</v>
      </c>
      <c r="P261" s="2" t="s">
        <v>252</v>
      </c>
      <c r="Q261" s="2" t="s">
        <v>111</v>
      </c>
      <c r="R261" s="2" t="s">
        <v>82</v>
      </c>
      <c r="S261" s="2">
        <v>10</v>
      </c>
      <c r="T261" s="2" t="s">
        <v>33</v>
      </c>
      <c r="U261" s="2" t="s">
        <v>34</v>
      </c>
      <c r="V261" s="32">
        <v>104616820</v>
      </c>
      <c r="Y261" s="30">
        <f t="shared" si="8"/>
        <v>104616820</v>
      </c>
      <c r="Z261" s="41">
        <f t="shared" si="9"/>
        <v>0</v>
      </c>
    </row>
    <row r="262" spans="1:27">
      <c r="A262" s="2">
        <v>260</v>
      </c>
      <c r="B262" s="2">
        <v>1234241</v>
      </c>
      <c r="C262" s="2">
        <v>33112976090041</v>
      </c>
      <c r="D262" s="2" t="s">
        <v>45</v>
      </c>
      <c r="E262" s="2">
        <v>5583325</v>
      </c>
      <c r="F262" s="2">
        <v>997774468</v>
      </c>
      <c r="G262" s="3">
        <v>35795</v>
      </c>
      <c r="H262" s="2" t="s">
        <v>100</v>
      </c>
      <c r="I262" s="2" t="s">
        <v>848</v>
      </c>
      <c r="J262" s="2" t="s">
        <v>849</v>
      </c>
      <c r="K262" s="2" t="s">
        <v>26</v>
      </c>
      <c r="L262" s="2" t="s">
        <v>27</v>
      </c>
      <c r="M262" s="2">
        <v>5240109</v>
      </c>
      <c r="N262" s="2" t="s">
        <v>28</v>
      </c>
      <c r="O262" s="2" t="s">
        <v>850</v>
      </c>
      <c r="P262" s="2" t="s">
        <v>30</v>
      </c>
      <c r="Q262" s="2" t="s">
        <v>253</v>
      </c>
      <c r="R262" s="2" t="s">
        <v>32</v>
      </c>
      <c r="S262" s="2">
        <v>25</v>
      </c>
      <c r="T262" s="2" t="s">
        <v>33</v>
      </c>
      <c r="U262" s="2" t="s">
        <v>34</v>
      </c>
      <c r="V262" s="32">
        <v>245231500</v>
      </c>
      <c r="Y262" s="30">
        <f t="shared" si="8"/>
        <v>245231500</v>
      </c>
      <c r="Z262" s="41">
        <f t="shared" si="9"/>
        <v>0</v>
      </c>
    </row>
    <row r="263" spans="1:27">
      <c r="A263" s="2">
        <v>261</v>
      </c>
      <c r="B263" s="2">
        <v>1357052</v>
      </c>
      <c r="C263" s="2">
        <v>50104006300092</v>
      </c>
      <c r="D263" s="2" t="s">
        <v>45</v>
      </c>
      <c r="E263" s="2">
        <v>9977628</v>
      </c>
      <c r="F263" s="2">
        <v>975362221</v>
      </c>
      <c r="G263" s="3">
        <v>36617</v>
      </c>
      <c r="H263" s="2" t="s">
        <v>89</v>
      </c>
      <c r="I263" s="2" t="s">
        <v>851</v>
      </c>
      <c r="J263" s="2" t="s">
        <v>649</v>
      </c>
      <c r="K263" s="2" t="s">
        <v>26</v>
      </c>
      <c r="L263" s="2" t="s">
        <v>27</v>
      </c>
      <c r="M263" s="2">
        <v>5620400</v>
      </c>
      <c r="N263" s="2" t="s">
        <v>103</v>
      </c>
      <c r="O263" s="2" t="s">
        <v>179</v>
      </c>
      <c r="P263" s="2" t="s">
        <v>105</v>
      </c>
      <c r="Q263" s="2" t="s">
        <v>281</v>
      </c>
      <c r="R263" s="2" t="s">
        <v>53</v>
      </c>
      <c r="S263" s="2">
        <v>8</v>
      </c>
      <c r="T263" s="2" t="s">
        <v>33</v>
      </c>
      <c r="U263" s="2" t="s">
        <v>34</v>
      </c>
      <c r="V263" s="32">
        <v>51300880</v>
      </c>
      <c r="Y263" s="30">
        <f t="shared" si="8"/>
        <v>51300880</v>
      </c>
      <c r="Z263" s="41">
        <f t="shared" si="9"/>
        <v>0</v>
      </c>
    </row>
    <row r="264" spans="1:27">
      <c r="A264" s="2">
        <v>262</v>
      </c>
      <c r="B264" s="2">
        <v>3448507</v>
      </c>
      <c r="C264" s="2">
        <v>50804037190032</v>
      </c>
      <c r="D264" s="2" t="s">
        <v>22</v>
      </c>
      <c r="E264" s="2">
        <v>1928833</v>
      </c>
      <c r="F264" s="2">
        <v>914285713</v>
      </c>
      <c r="G264" s="3">
        <v>37719</v>
      </c>
      <c r="H264" s="2" t="s">
        <v>355</v>
      </c>
      <c r="I264" s="2" t="s">
        <v>410</v>
      </c>
      <c r="J264" s="2" t="s">
        <v>852</v>
      </c>
      <c r="K264" s="2" t="s">
        <v>39</v>
      </c>
      <c r="L264" s="2" t="s">
        <v>57</v>
      </c>
      <c r="M264" s="2">
        <v>5310606</v>
      </c>
      <c r="N264" s="2" t="s">
        <v>72</v>
      </c>
      <c r="O264" s="2" t="s">
        <v>296</v>
      </c>
      <c r="P264" s="2" t="s">
        <v>225</v>
      </c>
      <c r="Q264" s="4">
        <v>11110</v>
      </c>
      <c r="R264" s="2" t="s">
        <v>62</v>
      </c>
      <c r="S264" s="2">
        <v>8</v>
      </c>
      <c r="T264" s="2" t="s">
        <v>33</v>
      </c>
      <c r="U264" s="2" t="s">
        <v>34</v>
      </c>
      <c r="V264" s="32">
        <v>59781040</v>
      </c>
      <c r="Y264" s="30">
        <f t="shared" si="8"/>
        <v>59781040</v>
      </c>
      <c r="Z264" s="41">
        <f t="shared" si="9"/>
        <v>0</v>
      </c>
    </row>
    <row r="265" spans="1:27">
      <c r="A265" s="2">
        <v>263</v>
      </c>
      <c r="B265" s="2">
        <v>2304472</v>
      </c>
      <c r="C265" s="2">
        <v>50204017400018</v>
      </c>
      <c r="D265" s="2" t="s">
        <v>45</v>
      </c>
      <c r="E265" s="2">
        <v>7636586</v>
      </c>
      <c r="F265" s="2">
        <v>8615696</v>
      </c>
      <c r="G265" s="3">
        <v>36983</v>
      </c>
      <c r="H265" s="2" t="s">
        <v>94</v>
      </c>
      <c r="I265" s="2" t="s">
        <v>853</v>
      </c>
      <c r="J265" s="2" t="s">
        <v>854</v>
      </c>
      <c r="K265" s="2" t="s">
        <v>26</v>
      </c>
      <c r="L265" s="2" t="s">
        <v>27</v>
      </c>
      <c r="M265" s="2">
        <v>5310202</v>
      </c>
      <c r="N265" s="2" t="s">
        <v>86</v>
      </c>
      <c r="O265" s="2" t="s">
        <v>149</v>
      </c>
      <c r="P265" s="2" t="s">
        <v>252</v>
      </c>
      <c r="Q265" s="2" t="s">
        <v>549</v>
      </c>
      <c r="R265" s="2" t="s">
        <v>53</v>
      </c>
      <c r="S265" s="2">
        <v>8</v>
      </c>
      <c r="T265" s="2" t="s">
        <v>508</v>
      </c>
      <c r="U265" s="2" t="s">
        <v>34</v>
      </c>
      <c r="V265" s="32">
        <v>51300880</v>
      </c>
      <c r="Y265" s="30">
        <f t="shared" si="8"/>
        <v>51300880</v>
      </c>
      <c r="Z265" s="41">
        <f t="shared" si="9"/>
        <v>0</v>
      </c>
    </row>
    <row r="266" spans="1:27" ht="26.25">
      <c r="A266" s="2">
        <v>264</v>
      </c>
      <c r="B266" s="2">
        <v>3330734</v>
      </c>
      <c r="C266" s="2">
        <v>50905046670017</v>
      </c>
      <c r="D266" s="2" t="s">
        <v>22</v>
      </c>
      <c r="E266" s="2">
        <v>2877391</v>
      </c>
      <c r="F266" s="2">
        <v>946055933</v>
      </c>
      <c r="G266" s="3">
        <v>38116</v>
      </c>
      <c r="H266" s="2" t="s">
        <v>855</v>
      </c>
      <c r="I266" s="2" t="s">
        <v>856</v>
      </c>
      <c r="J266" s="2" t="s">
        <v>649</v>
      </c>
      <c r="K266" s="2" t="s">
        <v>26</v>
      </c>
      <c r="L266" s="2" t="s">
        <v>27</v>
      </c>
      <c r="M266" s="2">
        <v>5340202</v>
      </c>
      <c r="N266" s="2" t="s">
        <v>499</v>
      </c>
      <c r="O266" s="2" t="s">
        <v>175</v>
      </c>
      <c r="P266" s="2" t="s">
        <v>857</v>
      </c>
      <c r="Q266" s="2" t="s">
        <v>750</v>
      </c>
      <c r="R266" s="2" t="s">
        <v>93</v>
      </c>
      <c r="S266" s="2">
        <v>8</v>
      </c>
      <c r="T266" s="2" t="s">
        <v>33</v>
      </c>
      <c r="U266" s="2" t="s">
        <v>34</v>
      </c>
      <c r="V266" s="32">
        <v>56735520</v>
      </c>
      <c r="Y266" s="30">
        <f t="shared" si="8"/>
        <v>56735520</v>
      </c>
      <c r="Z266" s="41">
        <f t="shared" si="9"/>
        <v>0</v>
      </c>
    </row>
    <row r="267" spans="1:27" ht="26.25">
      <c r="A267" s="2">
        <v>265</v>
      </c>
      <c r="B267" s="2">
        <v>3590250</v>
      </c>
      <c r="C267" s="2">
        <v>52111037000035</v>
      </c>
      <c r="D267" s="2" t="s">
        <v>74</v>
      </c>
      <c r="E267" s="2">
        <v>133669</v>
      </c>
      <c r="F267" s="2">
        <v>999345576</v>
      </c>
      <c r="G267" s="3">
        <v>37946</v>
      </c>
      <c r="H267" s="2" t="s">
        <v>858</v>
      </c>
      <c r="I267" s="2" t="s">
        <v>859</v>
      </c>
      <c r="J267" s="2" t="s">
        <v>860</v>
      </c>
      <c r="K267" s="2" t="s">
        <v>26</v>
      </c>
      <c r="L267" s="2" t="s">
        <v>27</v>
      </c>
      <c r="M267" s="2">
        <v>5340609</v>
      </c>
      <c r="N267" s="2" t="s">
        <v>861</v>
      </c>
      <c r="O267" s="2" t="s">
        <v>384</v>
      </c>
      <c r="P267" s="2" t="s">
        <v>149</v>
      </c>
      <c r="Q267" s="5">
        <v>44338</v>
      </c>
      <c r="R267" s="2" t="s">
        <v>93</v>
      </c>
      <c r="S267" s="2">
        <v>8</v>
      </c>
      <c r="T267" s="2" t="s">
        <v>33</v>
      </c>
      <c r="U267" s="2" t="s">
        <v>34</v>
      </c>
      <c r="V267" s="32">
        <v>113471040</v>
      </c>
      <c r="W267" s="21">
        <f>60000000+22400000+24600000</f>
        <v>107000000</v>
      </c>
      <c r="X267" s="10" t="s">
        <v>2943</v>
      </c>
      <c r="Y267" s="30">
        <f t="shared" si="8"/>
        <v>6471040</v>
      </c>
      <c r="Z267" s="41">
        <f t="shared" si="9"/>
        <v>0.94297188075477234</v>
      </c>
    </row>
    <row r="268" spans="1:27" ht="26.25">
      <c r="A268" s="2">
        <v>266</v>
      </c>
      <c r="B268" s="2">
        <v>1049178</v>
      </c>
      <c r="C268" s="2">
        <v>50303007050058</v>
      </c>
      <c r="D268" s="2" t="s">
        <v>45</v>
      </c>
      <c r="E268" s="2">
        <v>5115822</v>
      </c>
      <c r="F268" s="2">
        <v>945511234</v>
      </c>
      <c r="G268" s="3">
        <v>36588</v>
      </c>
      <c r="H268" s="2" t="s">
        <v>862</v>
      </c>
      <c r="I268" s="2" t="s">
        <v>505</v>
      </c>
      <c r="J268" s="2" t="s">
        <v>863</v>
      </c>
      <c r="K268" s="2" t="s">
        <v>39</v>
      </c>
      <c r="L268" s="2" t="s">
        <v>27</v>
      </c>
      <c r="M268" s="2">
        <v>5350701</v>
      </c>
      <c r="N268" s="2" t="s">
        <v>338</v>
      </c>
      <c r="O268" s="2" t="s">
        <v>42</v>
      </c>
      <c r="P268" s="2" t="s">
        <v>73</v>
      </c>
      <c r="Q268" s="5">
        <v>44317</v>
      </c>
      <c r="R268" s="2" t="s">
        <v>44</v>
      </c>
      <c r="S268" s="2">
        <v>8</v>
      </c>
      <c r="T268" s="2" t="s">
        <v>33</v>
      </c>
      <c r="U268" s="2" t="s">
        <v>34</v>
      </c>
      <c r="V268" s="29" t="s">
        <v>2832</v>
      </c>
      <c r="W268" s="21">
        <f>8220000+1000000</f>
        <v>9220000</v>
      </c>
      <c r="X268" s="12" t="s">
        <v>2840</v>
      </c>
      <c r="Y268" s="30">
        <f t="shared" si="8"/>
        <v>1876855.5500000007</v>
      </c>
      <c r="Z268" s="41">
        <f t="shared" si="9"/>
        <v>0.8308660014953515</v>
      </c>
      <c r="AA268" s="42" t="s">
        <v>2798</v>
      </c>
    </row>
    <row r="269" spans="1:27">
      <c r="A269" s="2">
        <v>267</v>
      </c>
      <c r="B269" s="2">
        <v>3388117</v>
      </c>
      <c r="C269" s="2">
        <v>52205025700035</v>
      </c>
      <c r="D269" s="2" t="s">
        <v>22</v>
      </c>
      <c r="E269" s="2">
        <v>1268403</v>
      </c>
      <c r="F269" s="2">
        <v>990002163</v>
      </c>
      <c r="G269" s="3">
        <v>37398</v>
      </c>
      <c r="H269" s="2" t="s">
        <v>864</v>
      </c>
      <c r="I269" s="2" t="s">
        <v>865</v>
      </c>
      <c r="J269" s="2" t="s">
        <v>866</v>
      </c>
      <c r="K269" s="2" t="s">
        <v>26</v>
      </c>
      <c r="L269" s="2" t="s">
        <v>27</v>
      </c>
      <c r="M269" s="2">
        <v>5240109</v>
      </c>
      <c r="N269" s="2" t="s">
        <v>28</v>
      </c>
      <c r="O269" s="2" t="s">
        <v>123</v>
      </c>
      <c r="P269" s="2" t="s">
        <v>30</v>
      </c>
      <c r="Q269" s="2" t="s">
        <v>139</v>
      </c>
      <c r="R269" s="2" t="s">
        <v>32</v>
      </c>
      <c r="S269" s="2">
        <v>25</v>
      </c>
      <c r="T269" s="2" t="s">
        <v>33</v>
      </c>
      <c r="U269" s="2" t="s">
        <v>34</v>
      </c>
      <c r="V269" s="32">
        <v>245231500</v>
      </c>
      <c r="Y269" s="30">
        <f t="shared" si="8"/>
        <v>245231500</v>
      </c>
      <c r="Z269" s="41">
        <f t="shared" si="9"/>
        <v>0</v>
      </c>
    </row>
    <row r="270" spans="1:27" ht="26.25">
      <c r="A270" s="2">
        <v>268</v>
      </c>
      <c r="B270" s="2">
        <v>1566776</v>
      </c>
      <c r="C270" s="2">
        <v>40710921950040</v>
      </c>
      <c r="D270" s="2" t="s">
        <v>45</v>
      </c>
      <c r="E270" s="2">
        <v>4092356</v>
      </c>
      <c r="F270" s="2">
        <v>976920710</v>
      </c>
      <c r="G270" s="3">
        <v>33884</v>
      </c>
      <c r="H270" s="2" t="s">
        <v>867</v>
      </c>
      <c r="I270" s="2" t="s">
        <v>868</v>
      </c>
      <c r="J270" s="2" t="s">
        <v>869</v>
      </c>
      <c r="K270" s="2" t="s">
        <v>26</v>
      </c>
      <c r="L270" s="2" t="s">
        <v>27</v>
      </c>
      <c r="M270" s="2">
        <v>5630103</v>
      </c>
      <c r="N270" s="2" t="s">
        <v>343</v>
      </c>
      <c r="O270" s="2" t="s">
        <v>68</v>
      </c>
      <c r="P270" s="2" t="s">
        <v>345</v>
      </c>
      <c r="Q270" s="4">
        <v>18537</v>
      </c>
      <c r="R270" s="2" t="s">
        <v>53</v>
      </c>
      <c r="S270" s="2">
        <v>8</v>
      </c>
      <c r="T270" s="2" t="s">
        <v>33</v>
      </c>
      <c r="U270" s="2" t="s">
        <v>34</v>
      </c>
      <c r="V270" s="32">
        <v>51300880</v>
      </c>
      <c r="Y270" s="30">
        <f t="shared" si="8"/>
        <v>51300880</v>
      </c>
      <c r="Z270" s="41">
        <f t="shared" si="9"/>
        <v>0</v>
      </c>
    </row>
    <row r="271" spans="1:27" ht="15.75">
      <c r="A271" s="2">
        <v>269</v>
      </c>
      <c r="B271" s="2">
        <v>1560891</v>
      </c>
      <c r="C271" s="2">
        <v>50812007340077</v>
      </c>
      <c r="D271" s="2" t="s">
        <v>35</v>
      </c>
      <c r="E271" s="2">
        <v>1090123</v>
      </c>
      <c r="F271" s="2">
        <v>907147012</v>
      </c>
      <c r="G271" s="3">
        <v>36868</v>
      </c>
      <c r="H271" s="2" t="s">
        <v>870</v>
      </c>
      <c r="I271" s="2" t="s">
        <v>871</v>
      </c>
      <c r="J271" s="2" t="s">
        <v>121</v>
      </c>
      <c r="K271" s="2" t="s">
        <v>39</v>
      </c>
      <c r="L271" s="2" t="s">
        <v>57</v>
      </c>
      <c r="M271" s="2">
        <v>5620400</v>
      </c>
      <c r="N271" s="2" t="s">
        <v>103</v>
      </c>
      <c r="O271" s="2" t="s">
        <v>87</v>
      </c>
      <c r="P271" s="2" t="s">
        <v>139</v>
      </c>
      <c r="Q271" s="4">
        <v>16681</v>
      </c>
      <c r="R271" s="2" t="s">
        <v>62</v>
      </c>
      <c r="S271" s="2">
        <v>8</v>
      </c>
      <c r="T271" s="2" t="s">
        <v>33</v>
      </c>
      <c r="U271" s="2" t="s">
        <v>34</v>
      </c>
      <c r="V271" s="32">
        <v>59781040</v>
      </c>
      <c r="W271" s="21">
        <f>29890520+29890520</f>
        <v>59781040</v>
      </c>
      <c r="X271" s="11" t="s">
        <v>2909</v>
      </c>
      <c r="Y271" s="30">
        <f t="shared" si="8"/>
        <v>0</v>
      </c>
      <c r="Z271" s="41">
        <f t="shared" si="9"/>
        <v>1</v>
      </c>
    </row>
    <row r="272" spans="1:27" ht="26.25">
      <c r="A272" s="2">
        <v>270</v>
      </c>
      <c r="B272" s="2">
        <v>2076077</v>
      </c>
      <c r="C272" s="2">
        <v>30302950450010</v>
      </c>
      <c r="D272" s="2" t="s">
        <v>145</v>
      </c>
      <c r="E272" s="2">
        <v>9548526</v>
      </c>
      <c r="F272" s="2">
        <v>990518182</v>
      </c>
      <c r="G272" s="3">
        <v>34733</v>
      </c>
      <c r="H272" s="2" t="s">
        <v>648</v>
      </c>
      <c r="I272" s="2" t="s">
        <v>872</v>
      </c>
      <c r="J272" s="2" t="s">
        <v>873</v>
      </c>
      <c r="K272" s="2" t="s">
        <v>39</v>
      </c>
      <c r="L272" s="2" t="s">
        <v>57</v>
      </c>
      <c r="M272" s="2">
        <v>5350701</v>
      </c>
      <c r="N272" s="2" t="s">
        <v>338</v>
      </c>
      <c r="O272" s="2">
        <v>63</v>
      </c>
      <c r="P272" s="2" t="s">
        <v>104</v>
      </c>
      <c r="Q272" s="4">
        <v>43922</v>
      </c>
      <c r="R272" s="2" t="s">
        <v>44</v>
      </c>
      <c r="S272" s="2">
        <v>8</v>
      </c>
      <c r="T272" s="2" t="s">
        <v>33</v>
      </c>
      <c r="U272" s="2" t="s">
        <v>34</v>
      </c>
      <c r="V272" s="32">
        <v>65759144</v>
      </c>
      <c r="Y272" s="30">
        <f t="shared" si="8"/>
        <v>65759144</v>
      </c>
      <c r="Z272" s="41">
        <f t="shared" si="9"/>
        <v>0</v>
      </c>
    </row>
    <row r="273" spans="1:27" ht="26.25">
      <c r="A273" s="2">
        <v>271</v>
      </c>
      <c r="B273" s="2">
        <v>3020158</v>
      </c>
      <c r="C273" s="2">
        <v>31104985450082</v>
      </c>
      <c r="D273" s="2" t="s">
        <v>45</v>
      </c>
      <c r="E273" s="2">
        <v>4674631</v>
      </c>
      <c r="F273" s="2">
        <v>943455059</v>
      </c>
      <c r="G273" s="3">
        <v>35896</v>
      </c>
      <c r="H273" s="2" t="s">
        <v>874</v>
      </c>
      <c r="I273" s="2" t="s">
        <v>875</v>
      </c>
      <c r="J273" s="2" t="s">
        <v>876</v>
      </c>
      <c r="K273" s="2" t="s">
        <v>39</v>
      </c>
      <c r="L273" s="2" t="s">
        <v>27</v>
      </c>
      <c r="M273" s="2">
        <v>5310605</v>
      </c>
      <c r="N273" s="2" t="s">
        <v>97</v>
      </c>
      <c r="O273" s="2" t="s">
        <v>194</v>
      </c>
      <c r="P273" s="2" t="s">
        <v>79</v>
      </c>
      <c r="Q273" s="4">
        <v>22251</v>
      </c>
      <c r="R273" s="2" t="s">
        <v>62</v>
      </c>
      <c r="S273" s="2">
        <v>8</v>
      </c>
      <c r="T273" s="2" t="s">
        <v>33</v>
      </c>
      <c r="U273" s="2" t="s">
        <v>34</v>
      </c>
      <c r="V273" s="32">
        <v>59781040</v>
      </c>
      <c r="Y273" s="30">
        <f t="shared" si="8"/>
        <v>59781040</v>
      </c>
      <c r="Z273" s="41">
        <f t="shared" si="9"/>
        <v>0</v>
      </c>
    </row>
    <row r="274" spans="1:27" ht="39">
      <c r="A274" s="2">
        <v>272</v>
      </c>
      <c r="B274" s="2">
        <v>2373518</v>
      </c>
      <c r="C274" s="2">
        <v>50908026320038</v>
      </c>
      <c r="D274" s="2" t="s">
        <v>22</v>
      </c>
      <c r="E274" s="2">
        <v>1972586</v>
      </c>
      <c r="F274" s="2">
        <v>930758709</v>
      </c>
      <c r="G274" s="3">
        <v>37477</v>
      </c>
      <c r="H274" s="2" t="s">
        <v>115</v>
      </c>
      <c r="I274" s="2" t="s">
        <v>877</v>
      </c>
      <c r="J274" s="2" t="s">
        <v>878</v>
      </c>
      <c r="K274" s="2" t="s">
        <v>39</v>
      </c>
      <c r="L274" s="2" t="s">
        <v>27</v>
      </c>
      <c r="M274" s="2">
        <v>5320200</v>
      </c>
      <c r="N274" s="2" t="s">
        <v>66</v>
      </c>
      <c r="O274" s="2" t="s">
        <v>175</v>
      </c>
      <c r="P274" s="2" t="s">
        <v>68</v>
      </c>
      <c r="Q274" s="4">
        <v>18537</v>
      </c>
      <c r="R274" s="2" t="s">
        <v>62</v>
      </c>
      <c r="S274" s="2">
        <v>8</v>
      </c>
      <c r="T274" s="2" t="s">
        <v>33</v>
      </c>
      <c r="U274" s="2" t="s">
        <v>34</v>
      </c>
      <c r="V274" s="29">
        <v>53802936</v>
      </c>
      <c r="Y274" s="30">
        <f t="shared" si="8"/>
        <v>53802936</v>
      </c>
      <c r="Z274" s="41">
        <f t="shared" si="9"/>
        <v>0</v>
      </c>
    </row>
    <row r="275" spans="1:27" ht="26.25">
      <c r="A275" s="2">
        <v>273</v>
      </c>
      <c r="B275" s="2">
        <v>3342761</v>
      </c>
      <c r="C275" s="2">
        <v>52901046610033</v>
      </c>
      <c r="D275" s="2" t="s">
        <v>22</v>
      </c>
      <c r="E275" s="2">
        <v>2770229</v>
      </c>
      <c r="F275" s="2">
        <v>909103818</v>
      </c>
      <c r="G275" s="3">
        <v>38015</v>
      </c>
      <c r="H275" s="2" t="s">
        <v>879</v>
      </c>
      <c r="I275" s="2" t="s">
        <v>880</v>
      </c>
      <c r="J275" s="2" t="s">
        <v>881</v>
      </c>
      <c r="K275" s="2" t="s">
        <v>39</v>
      </c>
      <c r="L275" s="2" t="s">
        <v>27</v>
      </c>
      <c r="M275" s="2">
        <v>5620702</v>
      </c>
      <c r="N275" s="2" t="s">
        <v>159</v>
      </c>
      <c r="O275" s="2" t="s">
        <v>149</v>
      </c>
      <c r="P275" s="2" t="s">
        <v>629</v>
      </c>
      <c r="Q275" s="4">
        <v>14824</v>
      </c>
      <c r="R275" s="2" t="s">
        <v>62</v>
      </c>
      <c r="S275" s="2">
        <v>8</v>
      </c>
      <c r="T275" s="2" t="s">
        <v>33</v>
      </c>
      <c r="U275" s="2" t="s">
        <v>34</v>
      </c>
      <c r="V275" s="29">
        <v>53802936</v>
      </c>
      <c r="W275" s="21">
        <v>30000000</v>
      </c>
      <c r="X275" s="11" t="s">
        <v>2631</v>
      </c>
      <c r="Y275" s="30">
        <f t="shared" si="8"/>
        <v>23802936</v>
      </c>
      <c r="Z275" s="41">
        <f t="shared" si="9"/>
        <v>0.55759038874755829</v>
      </c>
    </row>
    <row r="276" spans="1:27" ht="26.25">
      <c r="A276" s="2">
        <v>274</v>
      </c>
      <c r="B276" s="2">
        <v>3710434</v>
      </c>
      <c r="C276" s="2">
        <v>51305035650041</v>
      </c>
      <c r="D276" s="2" t="s">
        <v>22</v>
      </c>
      <c r="E276" s="2">
        <v>2238901</v>
      </c>
      <c r="F276" s="2">
        <v>991540342</v>
      </c>
      <c r="G276" s="3">
        <v>37754</v>
      </c>
      <c r="H276" s="2" t="s">
        <v>882</v>
      </c>
      <c r="I276" s="2" t="s">
        <v>883</v>
      </c>
      <c r="J276" s="2" t="s">
        <v>884</v>
      </c>
      <c r="K276" s="2" t="s">
        <v>39</v>
      </c>
      <c r="L276" s="2" t="s">
        <v>27</v>
      </c>
      <c r="M276" s="2">
        <v>5320102</v>
      </c>
      <c r="N276" s="2" t="s">
        <v>138</v>
      </c>
      <c r="O276" s="2" t="s">
        <v>149</v>
      </c>
      <c r="P276" s="2" t="s">
        <v>140</v>
      </c>
      <c r="Q276" s="4">
        <v>42064</v>
      </c>
      <c r="R276" s="2" t="s">
        <v>62</v>
      </c>
      <c r="S276" s="2">
        <v>8</v>
      </c>
      <c r="T276" s="2" t="s">
        <v>33</v>
      </c>
      <c r="U276" s="2" t="s">
        <v>34</v>
      </c>
      <c r="V276" s="32">
        <v>22417890</v>
      </c>
      <c r="W276" s="21">
        <f>11210000+3000000+896000+104000</f>
        <v>15210000</v>
      </c>
      <c r="X276" s="10" t="s">
        <v>2860</v>
      </c>
      <c r="Y276" s="30">
        <f t="shared" si="8"/>
        <v>7207890</v>
      </c>
      <c r="Z276" s="41">
        <f t="shared" si="9"/>
        <v>0.67847598502802897</v>
      </c>
    </row>
    <row r="277" spans="1:27" ht="26.25">
      <c r="A277" s="2">
        <v>275</v>
      </c>
      <c r="B277" s="2">
        <v>2075826</v>
      </c>
      <c r="C277" s="2">
        <v>31901944320057</v>
      </c>
      <c r="D277" s="2" t="s">
        <v>45</v>
      </c>
      <c r="E277" s="2">
        <v>4852926</v>
      </c>
      <c r="F277" s="2">
        <v>976970001</v>
      </c>
      <c r="G277" s="3">
        <v>34353</v>
      </c>
      <c r="H277" s="2" t="s">
        <v>885</v>
      </c>
      <c r="I277" s="2" t="s">
        <v>886</v>
      </c>
      <c r="J277" s="2" t="s">
        <v>887</v>
      </c>
      <c r="K277" s="2" t="s">
        <v>39</v>
      </c>
      <c r="L277" s="2" t="s">
        <v>27</v>
      </c>
      <c r="M277" s="2">
        <v>5620702</v>
      </c>
      <c r="N277" s="2" t="s">
        <v>159</v>
      </c>
      <c r="O277" s="2" t="s">
        <v>350</v>
      </c>
      <c r="P277" s="2" t="s">
        <v>629</v>
      </c>
      <c r="Q277" s="4">
        <v>42064</v>
      </c>
      <c r="R277" s="2" t="s">
        <v>62</v>
      </c>
      <c r="S277" s="2">
        <v>8</v>
      </c>
      <c r="T277" s="2" t="s">
        <v>33</v>
      </c>
      <c r="U277" s="2" t="s">
        <v>34</v>
      </c>
      <c r="V277" s="29">
        <v>20176101</v>
      </c>
      <c r="W277" s="21">
        <v>11210000</v>
      </c>
      <c r="X277" s="11" t="s">
        <v>2643</v>
      </c>
      <c r="Y277" s="30">
        <f t="shared" si="8"/>
        <v>8966101</v>
      </c>
      <c r="Z277" s="41">
        <f t="shared" si="9"/>
        <v>0.55560784514312256</v>
      </c>
    </row>
    <row r="278" spans="1:27" ht="26.25">
      <c r="A278" s="2">
        <v>276</v>
      </c>
      <c r="B278" s="2">
        <v>1263307</v>
      </c>
      <c r="C278" s="2">
        <v>40210996610017</v>
      </c>
      <c r="D278" s="2" t="s">
        <v>45</v>
      </c>
      <c r="E278" s="2">
        <v>1799093</v>
      </c>
      <c r="F278" s="2">
        <v>998042229</v>
      </c>
      <c r="G278" s="3">
        <v>36435</v>
      </c>
      <c r="H278" s="2" t="s">
        <v>888</v>
      </c>
      <c r="I278" s="2" t="s">
        <v>889</v>
      </c>
      <c r="J278" s="2" t="s">
        <v>890</v>
      </c>
      <c r="K278" s="2" t="s">
        <v>39</v>
      </c>
      <c r="L278" s="2" t="s">
        <v>27</v>
      </c>
      <c r="M278" s="2">
        <v>5340202</v>
      </c>
      <c r="N278" s="2" t="s">
        <v>499</v>
      </c>
      <c r="O278" s="2" t="s">
        <v>41</v>
      </c>
      <c r="P278" s="2" t="s">
        <v>490</v>
      </c>
      <c r="Q278" s="2" t="s">
        <v>340</v>
      </c>
      <c r="R278" s="2" t="s">
        <v>44</v>
      </c>
      <c r="S278" s="2">
        <v>8</v>
      </c>
      <c r="T278" s="2" t="s">
        <v>33</v>
      </c>
      <c r="U278" s="2" t="s">
        <v>34</v>
      </c>
      <c r="V278" s="32">
        <v>65759144</v>
      </c>
      <c r="Y278" s="30">
        <f t="shared" si="8"/>
        <v>65759144</v>
      </c>
      <c r="Z278" s="41">
        <f t="shared" si="9"/>
        <v>0</v>
      </c>
    </row>
    <row r="279" spans="1:27" ht="26.25">
      <c r="A279" s="2">
        <v>277</v>
      </c>
      <c r="B279" s="2">
        <v>2350811</v>
      </c>
      <c r="C279" s="2">
        <v>50512015590034</v>
      </c>
      <c r="D279" s="2" t="s">
        <v>45</v>
      </c>
      <c r="E279" s="2">
        <v>9701533</v>
      </c>
      <c r="F279" s="2">
        <v>904445964</v>
      </c>
      <c r="G279" s="3">
        <v>37230</v>
      </c>
      <c r="H279" s="2" t="s">
        <v>89</v>
      </c>
      <c r="I279" s="2" t="s">
        <v>891</v>
      </c>
      <c r="J279" s="2" t="s">
        <v>571</v>
      </c>
      <c r="K279" s="2" t="s">
        <v>26</v>
      </c>
      <c r="L279" s="2" t="s">
        <v>27</v>
      </c>
      <c r="M279" s="2">
        <v>5340605</v>
      </c>
      <c r="N279" s="2" t="s">
        <v>40</v>
      </c>
      <c r="O279" s="2" t="s">
        <v>194</v>
      </c>
      <c r="P279" s="2" t="s">
        <v>73</v>
      </c>
      <c r="Q279" s="4">
        <v>11110</v>
      </c>
      <c r="R279" s="2" t="s">
        <v>93</v>
      </c>
      <c r="S279" s="2">
        <v>8</v>
      </c>
      <c r="T279" s="2" t="s">
        <v>33</v>
      </c>
      <c r="U279" s="2" t="s">
        <v>34</v>
      </c>
      <c r="V279" s="32">
        <v>51061968</v>
      </c>
      <c r="W279" s="22">
        <v>25550000</v>
      </c>
      <c r="X279" s="17" t="s">
        <v>2684</v>
      </c>
      <c r="Y279" s="30">
        <f t="shared" si="8"/>
        <v>25511968</v>
      </c>
      <c r="Z279" s="41">
        <f t="shared" si="9"/>
        <v>0.50037241024474421</v>
      </c>
    </row>
    <row r="280" spans="1:27" ht="26.25">
      <c r="A280" s="2">
        <v>278</v>
      </c>
      <c r="B280" s="2">
        <v>3531952</v>
      </c>
      <c r="C280" s="2">
        <v>50611036090089</v>
      </c>
      <c r="D280" s="2" t="s">
        <v>22</v>
      </c>
      <c r="E280" s="2">
        <v>3097155</v>
      </c>
      <c r="F280" s="2">
        <v>942851841</v>
      </c>
      <c r="G280" s="3">
        <v>37931</v>
      </c>
      <c r="H280" s="2" t="s">
        <v>388</v>
      </c>
      <c r="I280" s="2" t="s">
        <v>892</v>
      </c>
      <c r="J280" s="2" t="s">
        <v>893</v>
      </c>
      <c r="K280" s="2" t="s">
        <v>39</v>
      </c>
      <c r="L280" s="2" t="s">
        <v>27</v>
      </c>
      <c r="M280" s="2">
        <v>5350701</v>
      </c>
      <c r="N280" s="2" t="s">
        <v>338</v>
      </c>
      <c r="O280" s="2" t="s">
        <v>41</v>
      </c>
      <c r="P280" s="2" t="s">
        <v>73</v>
      </c>
      <c r="Q280" s="2" t="s">
        <v>591</v>
      </c>
      <c r="R280" s="2" t="s">
        <v>44</v>
      </c>
      <c r="S280" s="2">
        <v>8</v>
      </c>
      <c r="T280" s="2" t="s">
        <v>33</v>
      </c>
      <c r="U280" s="2" t="s">
        <v>34</v>
      </c>
      <c r="V280" s="32">
        <v>65759144</v>
      </c>
      <c r="Y280" s="30">
        <f t="shared" si="8"/>
        <v>65759144</v>
      </c>
      <c r="Z280" s="41">
        <f t="shared" si="9"/>
        <v>0</v>
      </c>
    </row>
    <row r="281" spans="1:27">
      <c r="A281" s="2">
        <v>279</v>
      </c>
      <c r="B281" s="2">
        <v>1896884</v>
      </c>
      <c r="C281" s="2">
        <v>52801005750023</v>
      </c>
      <c r="D281" s="2" t="s">
        <v>45</v>
      </c>
      <c r="E281" s="2">
        <v>5628999</v>
      </c>
      <c r="F281" s="2">
        <v>995930170</v>
      </c>
      <c r="G281" s="3">
        <v>36553</v>
      </c>
      <c r="H281" s="2" t="s">
        <v>894</v>
      </c>
      <c r="I281" s="2" t="s">
        <v>895</v>
      </c>
      <c r="J281" s="2" t="s">
        <v>896</v>
      </c>
      <c r="K281" s="2" t="s">
        <v>39</v>
      </c>
      <c r="L281" s="2" t="s">
        <v>27</v>
      </c>
      <c r="M281" s="2">
        <v>5620101</v>
      </c>
      <c r="N281" s="2" t="s">
        <v>49</v>
      </c>
      <c r="O281" s="2" t="s">
        <v>104</v>
      </c>
      <c r="P281" s="2" t="s">
        <v>264</v>
      </c>
      <c r="Q281" s="2" t="s">
        <v>420</v>
      </c>
      <c r="R281" s="2" t="s">
        <v>62</v>
      </c>
      <c r="S281" s="2">
        <v>8</v>
      </c>
      <c r="T281" s="2" t="s">
        <v>33</v>
      </c>
      <c r="U281" s="2" t="s">
        <v>34</v>
      </c>
      <c r="V281" s="29" t="s">
        <v>2748</v>
      </c>
      <c r="W281" s="20">
        <v>30000000</v>
      </c>
      <c r="X281" s="2" t="s">
        <v>2697</v>
      </c>
      <c r="Y281" s="30">
        <f t="shared" si="8"/>
        <v>23802936</v>
      </c>
      <c r="Z281" s="41">
        <f t="shared" si="9"/>
        <v>0.55759038874755829</v>
      </c>
      <c r="AA281" s="42" t="s">
        <v>2798</v>
      </c>
    </row>
    <row r="282" spans="1:27" ht="26.25">
      <c r="A282" s="2">
        <v>280</v>
      </c>
      <c r="B282" s="2">
        <v>2240968</v>
      </c>
      <c r="C282" s="2">
        <v>51702016670025</v>
      </c>
      <c r="D282" s="2" t="s">
        <v>45</v>
      </c>
      <c r="E282" s="2">
        <v>6113089</v>
      </c>
      <c r="F282" s="2">
        <v>999884107</v>
      </c>
      <c r="G282" s="3">
        <v>36939</v>
      </c>
      <c r="H282" s="2" t="s">
        <v>897</v>
      </c>
      <c r="I282" s="2" t="s">
        <v>370</v>
      </c>
      <c r="J282" s="2" t="s">
        <v>624</v>
      </c>
      <c r="K282" s="2" t="s">
        <v>39</v>
      </c>
      <c r="L282" s="2" t="s">
        <v>27</v>
      </c>
      <c r="M282" s="2">
        <v>5320102</v>
      </c>
      <c r="N282" s="2" t="s">
        <v>138</v>
      </c>
      <c r="O282" s="2" t="s">
        <v>211</v>
      </c>
      <c r="P282" s="2" t="s">
        <v>140</v>
      </c>
      <c r="Q282" s="2" t="s">
        <v>363</v>
      </c>
      <c r="R282" s="2" t="s">
        <v>62</v>
      </c>
      <c r="S282" s="2">
        <v>8</v>
      </c>
      <c r="T282" s="2" t="s">
        <v>33</v>
      </c>
      <c r="U282" s="2" t="s">
        <v>34</v>
      </c>
      <c r="V282" s="32">
        <v>119562080</v>
      </c>
      <c r="Y282" s="30">
        <f t="shared" si="8"/>
        <v>119562080</v>
      </c>
      <c r="Z282" s="41">
        <f t="shared" si="9"/>
        <v>0</v>
      </c>
    </row>
    <row r="283" spans="1:27" ht="26.25">
      <c r="A283" s="2">
        <v>281</v>
      </c>
      <c r="B283" s="2">
        <v>2775365</v>
      </c>
      <c r="C283" s="2">
        <v>31006986930067</v>
      </c>
      <c r="D283" s="2" t="s">
        <v>145</v>
      </c>
      <c r="E283" s="2">
        <v>9482776</v>
      </c>
      <c r="F283" s="2">
        <v>937300698</v>
      </c>
      <c r="G283" s="3">
        <v>35956</v>
      </c>
      <c r="H283" s="2" t="s">
        <v>898</v>
      </c>
      <c r="I283" s="2" t="s">
        <v>227</v>
      </c>
      <c r="J283" s="2" t="s">
        <v>899</v>
      </c>
      <c r="K283" s="2" t="s">
        <v>39</v>
      </c>
      <c r="L283" s="2" t="s">
        <v>57</v>
      </c>
      <c r="M283" s="2">
        <v>5310701</v>
      </c>
      <c r="N283" s="2" t="s">
        <v>118</v>
      </c>
      <c r="O283" s="2" t="s">
        <v>154</v>
      </c>
      <c r="P283" s="2" t="s">
        <v>207</v>
      </c>
      <c r="Q283" s="5">
        <v>44317</v>
      </c>
      <c r="R283" s="2" t="s">
        <v>62</v>
      </c>
      <c r="S283" s="2">
        <v>8</v>
      </c>
      <c r="T283" s="2" t="s">
        <v>33</v>
      </c>
      <c r="U283" s="2" t="s">
        <v>34</v>
      </c>
      <c r="V283" s="32">
        <v>11208945</v>
      </c>
      <c r="W283" s="21">
        <v>5605000</v>
      </c>
      <c r="X283" s="11" t="s">
        <v>2643</v>
      </c>
      <c r="Y283" s="30">
        <f t="shared" si="8"/>
        <v>5603945</v>
      </c>
      <c r="Z283" s="41">
        <f t="shared" si="9"/>
        <v>0.50004706062881032</v>
      </c>
    </row>
    <row r="284" spans="1:27" ht="26.25">
      <c r="A284" s="2">
        <v>282</v>
      </c>
      <c r="B284" s="2">
        <v>1575573</v>
      </c>
      <c r="C284" s="2">
        <v>32204975800019</v>
      </c>
      <c r="D284" s="2" t="s">
        <v>145</v>
      </c>
      <c r="E284" s="2">
        <v>5273010</v>
      </c>
      <c r="F284" s="2">
        <v>934623049</v>
      </c>
      <c r="G284" s="3">
        <v>35542</v>
      </c>
      <c r="H284" s="2" t="s">
        <v>900</v>
      </c>
      <c r="I284" s="2" t="s">
        <v>617</v>
      </c>
      <c r="J284" s="2" t="s">
        <v>901</v>
      </c>
      <c r="K284" s="2" t="s">
        <v>39</v>
      </c>
      <c r="L284" s="2" t="s">
        <v>27</v>
      </c>
      <c r="M284" s="2">
        <v>5320102</v>
      </c>
      <c r="N284" s="2" t="s">
        <v>138</v>
      </c>
      <c r="O284" s="2" t="s">
        <v>194</v>
      </c>
      <c r="P284" s="2" t="s">
        <v>140</v>
      </c>
      <c r="Q284" s="5">
        <v>44471</v>
      </c>
      <c r="R284" s="2" t="s">
        <v>62</v>
      </c>
      <c r="S284" s="2">
        <v>8</v>
      </c>
      <c r="T284" s="2" t="s">
        <v>33</v>
      </c>
      <c r="U284" s="2" t="s">
        <v>34</v>
      </c>
      <c r="V284" s="32">
        <v>18681575</v>
      </c>
      <c r="W284" s="21">
        <v>9341000</v>
      </c>
      <c r="X284" s="11" t="s">
        <v>2649</v>
      </c>
      <c r="Y284" s="30">
        <f t="shared" si="8"/>
        <v>9340575</v>
      </c>
      <c r="Z284" s="41">
        <f t="shared" si="9"/>
        <v>0.50001137484393043</v>
      </c>
    </row>
    <row r="285" spans="1:27" ht="15.75">
      <c r="A285" s="2">
        <v>283</v>
      </c>
      <c r="B285" s="2">
        <v>3282085</v>
      </c>
      <c r="C285" s="2">
        <v>51403036840037</v>
      </c>
      <c r="D285" s="2" t="s">
        <v>22</v>
      </c>
      <c r="E285" s="2">
        <v>1789073</v>
      </c>
      <c r="F285" s="2">
        <v>903347999</v>
      </c>
      <c r="G285" s="3">
        <v>37694</v>
      </c>
      <c r="H285" s="2" t="s">
        <v>303</v>
      </c>
      <c r="I285" s="2" t="s">
        <v>541</v>
      </c>
      <c r="J285" s="2" t="s">
        <v>902</v>
      </c>
      <c r="K285" s="2" t="s">
        <v>26</v>
      </c>
      <c r="L285" s="2" t="s">
        <v>27</v>
      </c>
      <c r="M285" s="2">
        <v>5230407</v>
      </c>
      <c r="N285" s="2" t="s">
        <v>186</v>
      </c>
      <c r="O285" s="2" t="s">
        <v>132</v>
      </c>
      <c r="P285" s="2" t="s">
        <v>187</v>
      </c>
      <c r="Q285" s="5">
        <v>44317</v>
      </c>
      <c r="R285" s="2" t="s">
        <v>134</v>
      </c>
      <c r="S285" s="2">
        <v>10</v>
      </c>
      <c r="T285" s="2" t="s">
        <v>33</v>
      </c>
      <c r="U285" s="2" t="s">
        <v>34</v>
      </c>
      <c r="V285" s="32">
        <v>13694895</v>
      </c>
      <c r="W285" s="21">
        <v>9150000</v>
      </c>
      <c r="X285" s="10" t="s">
        <v>2625</v>
      </c>
      <c r="Y285" s="30">
        <f t="shared" si="8"/>
        <v>4544895</v>
      </c>
      <c r="Z285" s="41">
        <f t="shared" si="9"/>
        <v>0.66813217625983989</v>
      </c>
    </row>
    <row r="286" spans="1:27" ht="26.25">
      <c r="A286" s="2">
        <v>284</v>
      </c>
      <c r="B286" s="2">
        <v>2853798</v>
      </c>
      <c r="C286" s="2">
        <v>43006740420039</v>
      </c>
      <c r="D286" s="2" t="s">
        <v>145</v>
      </c>
      <c r="E286" s="2">
        <v>3110740</v>
      </c>
      <c r="F286" s="2">
        <v>936185701</v>
      </c>
      <c r="G286" s="3">
        <v>27210</v>
      </c>
      <c r="H286" s="2" t="s">
        <v>903</v>
      </c>
      <c r="I286" s="2" t="s">
        <v>904</v>
      </c>
      <c r="J286" s="2" t="s">
        <v>905</v>
      </c>
      <c r="K286" s="2" t="s">
        <v>39</v>
      </c>
      <c r="L286" s="2" t="s">
        <v>27</v>
      </c>
      <c r="M286" s="2">
        <v>5230903</v>
      </c>
      <c r="N286" s="2" t="s">
        <v>314</v>
      </c>
      <c r="O286" s="2" t="s">
        <v>149</v>
      </c>
      <c r="P286" s="2" t="s">
        <v>298</v>
      </c>
      <c r="Q286" s="2" t="s">
        <v>253</v>
      </c>
      <c r="R286" s="2" t="s">
        <v>82</v>
      </c>
      <c r="S286" s="2">
        <v>10</v>
      </c>
      <c r="T286" s="2" t="s">
        <v>33</v>
      </c>
      <c r="U286" s="2" t="s">
        <v>34</v>
      </c>
      <c r="V286" s="32">
        <v>104616820</v>
      </c>
      <c r="Y286" s="30">
        <f t="shared" si="8"/>
        <v>104616820</v>
      </c>
      <c r="Z286" s="41">
        <f t="shared" si="9"/>
        <v>0</v>
      </c>
    </row>
    <row r="287" spans="1:27" ht="26.25">
      <c r="A287" s="2">
        <v>285</v>
      </c>
      <c r="B287" s="2">
        <v>2652381</v>
      </c>
      <c r="C287" s="2">
        <v>40911890430010</v>
      </c>
      <c r="D287" s="2" t="s">
        <v>145</v>
      </c>
      <c r="E287" s="2">
        <v>8916280</v>
      </c>
      <c r="F287" s="2">
        <v>935565089</v>
      </c>
      <c r="G287" s="3">
        <v>32821</v>
      </c>
      <c r="H287" s="2" t="s">
        <v>906</v>
      </c>
      <c r="I287" s="2" t="s">
        <v>907</v>
      </c>
      <c r="J287" s="2" t="s">
        <v>908</v>
      </c>
      <c r="K287" s="2" t="s">
        <v>39</v>
      </c>
      <c r="L287" s="2" t="s">
        <v>27</v>
      </c>
      <c r="M287" s="2">
        <v>5320102</v>
      </c>
      <c r="N287" s="2" t="s">
        <v>138</v>
      </c>
      <c r="O287" s="2" t="s">
        <v>149</v>
      </c>
      <c r="P287" s="2" t="s">
        <v>140</v>
      </c>
      <c r="Q287" s="4">
        <v>42064</v>
      </c>
      <c r="R287" s="2" t="s">
        <v>62</v>
      </c>
      <c r="S287" s="2">
        <v>8</v>
      </c>
      <c r="T287" s="2" t="s">
        <v>33</v>
      </c>
      <c r="U287" s="2" t="s">
        <v>34</v>
      </c>
      <c r="V287" s="29" t="s">
        <v>2801</v>
      </c>
      <c r="W287" s="21">
        <f>11418000+8680000+80000</f>
        <v>20178000</v>
      </c>
      <c r="X287" s="11" t="s">
        <v>2820</v>
      </c>
      <c r="Y287" s="30">
        <f t="shared" si="8"/>
        <v>-1899</v>
      </c>
      <c r="Z287" s="41">
        <f t="shared" si="9"/>
        <v>1.0000941212576206</v>
      </c>
      <c r="AA287" s="42" t="s">
        <v>2798</v>
      </c>
    </row>
    <row r="288" spans="1:27" ht="26.25">
      <c r="A288" s="2">
        <v>286</v>
      </c>
      <c r="B288" s="2">
        <v>3686586</v>
      </c>
      <c r="C288" s="2">
        <v>52803035700018</v>
      </c>
      <c r="D288" s="2" t="s">
        <v>22</v>
      </c>
      <c r="E288" s="2">
        <v>2415936</v>
      </c>
      <c r="F288" s="2">
        <v>997310306</v>
      </c>
      <c r="G288" s="3">
        <v>37708</v>
      </c>
      <c r="H288" s="2" t="s">
        <v>909</v>
      </c>
      <c r="I288" s="2" t="s">
        <v>910</v>
      </c>
      <c r="J288" s="2" t="s">
        <v>911</v>
      </c>
      <c r="K288" s="2" t="s">
        <v>39</v>
      </c>
      <c r="L288" s="2" t="s">
        <v>27</v>
      </c>
      <c r="M288" s="2">
        <v>5620701</v>
      </c>
      <c r="N288" s="2" t="s">
        <v>218</v>
      </c>
      <c r="O288" s="2" t="s">
        <v>155</v>
      </c>
      <c r="P288" s="2" t="s">
        <v>219</v>
      </c>
      <c r="Q288" s="2" t="s">
        <v>133</v>
      </c>
      <c r="R288" s="2" t="s">
        <v>62</v>
      </c>
      <c r="S288" s="2">
        <v>8</v>
      </c>
      <c r="T288" s="2" t="s">
        <v>33</v>
      </c>
      <c r="U288" s="2" t="s">
        <v>34</v>
      </c>
      <c r="V288" s="32">
        <v>53802936</v>
      </c>
      <c r="W288" s="22">
        <f>30000000+802936+13000000</f>
        <v>43802936</v>
      </c>
      <c r="X288" s="17" t="s">
        <v>2861</v>
      </c>
      <c r="Y288" s="30">
        <f t="shared" si="8"/>
        <v>10000000</v>
      </c>
      <c r="Z288" s="41">
        <f t="shared" si="9"/>
        <v>0.81413653708414724</v>
      </c>
    </row>
    <row r="289" spans="1:26">
      <c r="A289" s="2">
        <v>287</v>
      </c>
      <c r="B289" s="2">
        <v>1456739</v>
      </c>
      <c r="C289" s="2">
        <v>50404017250020</v>
      </c>
      <c r="D289" s="2" t="s">
        <v>35</v>
      </c>
      <c r="E289" s="2">
        <v>1102898</v>
      </c>
      <c r="F289" s="2">
        <v>972633639</v>
      </c>
      <c r="G289" s="3">
        <v>36985</v>
      </c>
      <c r="H289" s="2" t="s">
        <v>912</v>
      </c>
      <c r="I289" s="2" t="s">
        <v>913</v>
      </c>
      <c r="J289" s="2" t="s">
        <v>571</v>
      </c>
      <c r="K289" s="2" t="s">
        <v>39</v>
      </c>
      <c r="L289" s="2" t="s">
        <v>57</v>
      </c>
      <c r="M289" s="2">
        <v>5310606</v>
      </c>
      <c r="N289" s="2" t="s">
        <v>72</v>
      </c>
      <c r="O289" s="2" t="s">
        <v>99</v>
      </c>
      <c r="P289" s="2" t="s">
        <v>225</v>
      </c>
      <c r="Q289" s="2" t="s">
        <v>111</v>
      </c>
      <c r="R289" s="2" t="s">
        <v>62</v>
      </c>
      <c r="S289" s="2">
        <v>8</v>
      </c>
      <c r="T289" s="2" t="s">
        <v>33</v>
      </c>
      <c r="U289" s="2" t="s">
        <v>34</v>
      </c>
      <c r="V289" s="32">
        <v>119562080</v>
      </c>
      <c r="Y289" s="30">
        <f t="shared" si="8"/>
        <v>119562080</v>
      </c>
      <c r="Z289" s="41">
        <f t="shared" si="9"/>
        <v>0</v>
      </c>
    </row>
    <row r="290" spans="1:26" ht="15.75">
      <c r="A290" s="2">
        <v>288</v>
      </c>
      <c r="B290" s="2">
        <v>2445141</v>
      </c>
      <c r="C290" s="2">
        <v>30105882400018</v>
      </c>
      <c r="D290" s="2" t="s">
        <v>145</v>
      </c>
      <c r="E290" s="2">
        <v>852016</v>
      </c>
      <c r="F290" s="2">
        <v>931447717</v>
      </c>
      <c r="G290" s="3">
        <v>32264</v>
      </c>
      <c r="H290" s="2" t="s">
        <v>914</v>
      </c>
      <c r="I290" s="2" t="s">
        <v>811</v>
      </c>
      <c r="J290" s="2" t="s">
        <v>915</v>
      </c>
      <c r="K290" s="2" t="s">
        <v>39</v>
      </c>
      <c r="L290" s="2" t="s">
        <v>57</v>
      </c>
      <c r="M290" s="2">
        <v>5620101</v>
      </c>
      <c r="N290" s="2" t="s">
        <v>49</v>
      </c>
      <c r="O290" s="2">
        <v>63</v>
      </c>
      <c r="P290" s="2" t="s">
        <v>194</v>
      </c>
      <c r="Q290" s="4">
        <v>18537</v>
      </c>
      <c r="R290" s="2" t="s">
        <v>62</v>
      </c>
      <c r="S290" s="2">
        <v>8</v>
      </c>
      <c r="T290" s="2" t="s">
        <v>33</v>
      </c>
      <c r="U290" s="2" t="s">
        <v>34</v>
      </c>
      <c r="V290" s="32">
        <v>59781040</v>
      </c>
      <c r="W290" s="21">
        <v>33000000</v>
      </c>
      <c r="X290" s="10" t="s">
        <v>2625</v>
      </c>
      <c r="Y290" s="30">
        <f t="shared" si="8"/>
        <v>26781040</v>
      </c>
      <c r="Z290" s="41">
        <f t="shared" si="9"/>
        <v>0.55201448486008275</v>
      </c>
    </row>
    <row r="291" spans="1:26" ht="26.25">
      <c r="A291" s="2">
        <v>289</v>
      </c>
      <c r="B291" s="2">
        <v>3335568</v>
      </c>
      <c r="C291" s="2">
        <v>50303046750036</v>
      </c>
      <c r="D291" s="2" t="s">
        <v>22</v>
      </c>
      <c r="E291" s="2">
        <v>2774862</v>
      </c>
      <c r="F291" s="2">
        <v>977024614</v>
      </c>
      <c r="G291" s="3">
        <v>38049</v>
      </c>
      <c r="H291" s="2" t="s">
        <v>916</v>
      </c>
      <c r="I291" s="2" t="s">
        <v>573</v>
      </c>
      <c r="J291" s="2" t="s">
        <v>77</v>
      </c>
      <c r="K291" s="2" t="s">
        <v>26</v>
      </c>
      <c r="L291" s="2" t="s">
        <v>27</v>
      </c>
      <c r="M291" s="2">
        <v>5340608</v>
      </c>
      <c r="N291" s="2" t="s">
        <v>917</v>
      </c>
      <c r="O291" s="2" t="s">
        <v>296</v>
      </c>
      <c r="P291" s="2" t="s">
        <v>122</v>
      </c>
      <c r="Q291" s="5">
        <v>44471</v>
      </c>
      <c r="R291" s="2" t="s">
        <v>93</v>
      </c>
      <c r="S291" s="2">
        <v>8</v>
      </c>
      <c r="T291" s="2" t="s">
        <v>33</v>
      </c>
      <c r="U291" s="2" t="s">
        <v>34</v>
      </c>
      <c r="V291" s="32">
        <v>17729850</v>
      </c>
      <c r="W291" s="21">
        <v>8900000</v>
      </c>
      <c r="X291" s="11" t="s">
        <v>2643</v>
      </c>
      <c r="Y291" s="30">
        <f t="shared" si="8"/>
        <v>8829850</v>
      </c>
      <c r="Z291" s="41">
        <f t="shared" si="9"/>
        <v>0.5019783021288956</v>
      </c>
    </row>
    <row r="292" spans="1:26">
      <c r="A292" s="2">
        <v>290</v>
      </c>
      <c r="B292" s="2">
        <v>2246436</v>
      </c>
      <c r="C292" s="2">
        <v>52102027040049</v>
      </c>
      <c r="D292" s="2" t="s">
        <v>22</v>
      </c>
      <c r="E292" s="2">
        <v>246670</v>
      </c>
      <c r="F292" s="2">
        <v>936912002</v>
      </c>
      <c r="G292" s="3">
        <v>37308</v>
      </c>
      <c r="H292" s="2" t="s">
        <v>89</v>
      </c>
      <c r="I292" s="2" t="s">
        <v>918</v>
      </c>
      <c r="J292" s="2" t="s">
        <v>77</v>
      </c>
      <c r="K292" s="2" t="s">
        <v>39</v>
      </c>
      <c r="L292" s="2" t="s">
        <v>57</v>
      </c>
      <c r="M292" s="2">
        <v>5620400</v>
      </c>
      <c r="N292" s="2" t="s">
        <v>103</v>
      </c>
      <c r="O292" s="2" t="s">
        <v>225</v>
      </c>
      <c r="P292" s="2" t="s">
        <v>139</v>
      </c>
      <c r="Q292" s="4">
        <v>43922</v>
      </c>
      <c r="R292" s="2" t="s">
        <v>62</v>
      </c>
      <c r="S292" s="2">
        <v>8</v>
      </c>
      <c r="T292" s="2" t="s">
        <v>33</v>
      </c>
      <c r="U292" s="2" t="s">
        <v>34</v>
      </c>
      <c r="V292" s="32">
        <v>59781040</v>
      </c>
      <c r="Y292" s="30">
        <f t="shared" si="8"/>
        <v>59781040</v>
      </c>
      <c r="Z292" s="41">
        <f t="shared" si="9"/>
        <v>0</v>
      </c>
    </row>
    <row r="293" spans="1:26" ht="26.25">
      <c r="A293" s="2">
        <v>291</v>
      </c>
      <c r="B293" s="2">
        <v>1032988</v>
      </c>
      <c r="C293" s="2">
        <v>52810015540018</v>
      </c>
      <c r="D293" s="2" t="s">
        <v>45</v>
      </c>
      <c r="E293" s="2">
        <v>8150170</v>
      </c>
      <c r="F293" s="2">
        <v>915960939</v>
      </c>
      <c r="G293" s="3">
        <v>37192</v>
      </c>
      <c r="H293" s="2" t="s">
        <v>919</v>
      </c>
      <c r="I293" s="2" t="s">
        <v>482</v>
      </c>
      <c r="J293" s="2" t="s">
        <v>920</v>
      </c>
      <c r="K293" s="2" t="s">
        <v>26</v>
      </c>
      <c r="L293" s="2" t="s">
        <v>27</v>
      </c>
      <c r="M293" s="2">
        <v>5310608</v>
      </c>
      <c r="N293" s="2" t="s">
        <v>921</v>
      </c>
      <c r="O293" s="2" t="s">
        <v>207</v>
      </c>
      <c r="P293" s="2" t="s">
        <v>42</v>
      </c>
      <c r="Q293" s="4">
        <v>16681</v>
      </c>
      <c r="R293" s="2" t="s">
        <v>53</v>
      </c>
      <c r="S293" s="2">
        <v>8</v>
      </c>
      <c r="T293" s="2" t="s">
        <v>33</v>
      </c>
      <c r="U293" s="2" t="s">
        <v>34</v>
      </c>
      <c r="V293" s="32">
        <v>51300880</v>
      </c>
      <c r="Y293" s="30">
        <f t="shared" si="8"/>
        <v>51300880</v>
      </c>
      <c r="Z293" s="41">
        <f t="shared" si="9"/>
        <v>0</v>
      </c>
    </row>
    <row r="294" spans="1:26" ht="26.25">
      <c r="A294" s="2">
        <v>292</v>
      </c>
      <c r="B294" s="2">
        <v>2758591</v>
      </c>
      <c r="C294" s="2">
        <v>42201997360045</v>
      </c>
      <c r="D294" s="2" t="s">
        <v>35</v>
      </c>
      <c r="E294" s="2">
        <v>522931</v>
      </c>
      <c r="F294" s="2">
        <v>999597736</v>
      </c>
      <c r="G294" s="3">
        <v>36182</v>
      </c>
      <c r="H294" s="2" t="s">
        <v>922</v>
      </c>
      <c r="I294" s="2" t="s">
        <v>923</v>
      </c>
      <c r="J294" s="2" t="s">
        <v>924</v>
      </c>
      <c r="K294" s="2" t="s">
        <v>39</v>
      </c>
      <c r="L294" s="2" t="s">
        <v>27</v>
      </c>
      <c r="M294" s="2">
        <v>5310701</v>
      </c>
      <c r="N294" s="2" t="s">
        <v>118</v>
      </c>
      <c r="O294" s="2" t="s">
        <v>67</v>
      </c>
      <c r="P294" s="2" t="s">
        <v>123</v>
      </c>
      <c r="Q294" s="2" t="s">
        <v>591</v>
      </c>
      <c r="R294" s="2" t="s">
        <v>62</v>
      </c>
      <c r="S294" s="2">
        <v>8</v>
      </c>
      <c r="T294" s="2" t="s">
        <v>33</v>
      </c>
      <c r="U294" s="2" t="s">
        <v>34</v>
      </c>
      <c r="V294" s="32">
        <v>59781040</v>
      </c>
      <c r="Y294" s="30">
        <f t="shared" si="8"/>
        <v>59781040</v>
      </c>
      <c r="Z294" s="41">
        <f t="shared" si="9"/>
        <v>0</v>
      </c>
    </row>
    <row r="295" spans="1:26" ht="15.75">
      <c r="A295" s="2">
        <v>293</v>
      </c>
      <c r="B295" s="2">
        <v>1190299</v>
      </c>
      <c r="C295" s="2">
        <v>51512005850028</v>
      </c>
      <c r="D295" s="2" t="s">
        <v>45</v>
      </c>
      <c r="E295" s="2">
        <v>5704454</v>
      </c>
      <c r="F295" s="2">
        <v>936610726</v>
      </c>
      <c r="G295" s="3">
        <v>36875</v>
      </c>
      <c r="H295" s="2" t="s">
        <v>303</v>
      </c>
      <c r="I295" s="2" t="s">
        <v>925</v>
      </c>
      <c r="J295" s="2" t="s">
        <v>495</v>
      </c>
      <c r="K295" s="2" t="s">
        <v>39</v>
      </c>
      <c r="L295" s="2" t="s">
        <v>57</v>
      </c>
      <c r="M295" s="2">
        <v>5620400</v>
      </c>
      <c r="N295" s="2" t="s">
        <v>103</v>
      </c>
      <c r="O295" s="2" t="s">
        <v>154</v>
      </c>
      <c r="P295" s="2" t="s">
        <v>139</v>
      </c>
      <c r="Q295" s="5">
        <v>44471</v>
      </c>
      <c r="R295" s="2" t="s">
        <v>62</v>
      </c>
      <c r="S295" s="2">
        <v>8</v>
      </c>
      <c r="T295" s="2" t="s">
        <v>33</v>
      </c>
      <c r="U295" s="2" t="s">
        <v>34</v>
      </c>
      <c r="V295" s="32">
        <v>18681575</v>
      </c>
      <c r="W295" s="21">
        <v>9341000</v>
      </c>
      <c r="X295" s="11" t="s">
        <v>2642</v>
      </c>
      <c r="Y295" s="30">
        <f t="shared" si="8"/>
        <v>9340575</v>
      </c>
      <c r="Z295" s="41">
        <f t="shared" si="9"/>
        <v>0.50001137484393043</v>
      </c>
    </row>
    <row r="296" spans="1:26" ht="26.25">
      <c r="A296" s="2">
        <v>294</v>
      </c>
      <c r="B296" s="2">
        <v>3446259</v>
      </c>
      <c r="C296" s="2">
        <v>50803035610025</v>
      </c>
      <c r="D296" s="2" t="s">
        <v>22</v>
      </c>
      <c r="E296" s="2">
        <v>2302440</v>
      </c>
      <c r="F296" s="2">
        <v>994459568</v>
      </c>
      <c r="G296" s="3">
        <v>37688</v>
      </c>
      <c r="H296" s="2" t="s">
        <v>926</v>
      </c>
      <c r="I296" s="2" t="s">
        <v>927</v>
      </c>
      <c r="J296" s="2" t="s">
        <v>896</v>
      </c>
      <c r="K296" s="2" t="s">
        <v>26</v>
      </c>
      <c r="L296" s="2" t="s">
        <v>27</v>
      </c>
      <c r="M296" s="2">
        <v>5340607</v>
      </c>
      <c r="N296" s="2" t="s">
        <v>928</v>
      </c>
      <c r="O296" s="2" t="s">
        <v>41</v>
      </c>
      <c r="P296" s="2" t="s">
        <v>154</v>
      </c>
      <c r="Q296" s="4">
        <v>42064</v>
      </c>
      <c r="R296" s="2" t="s">
        <v>93</v>
      </c>
      <c r="S296" s="2">
        <v>8</v>
      </c>
      <c r="T296" s="2" t="s">
        <v>33</v>
      </c>
      <c r="U296" s="2" t="s">
        <v>34</v>
      </c>
      <c r="V296" s="32">
        <v>19148238</v>
      </c>
      <c r="W296" s="21">
        <f>11280000+1500000</f>
        <v>12780000</v>
      </c>
      <c r="X296" s="11" t="s">
        <v>2833</v>
      </c>
      <c r="Y296" s="30">
        <f t="shared" si="8"/>
        <v>6368238</v>
      </c>
      <c r="Z296" s="41">
        <f t="shared" si="9"/>
        <v>0.66742433429122827</v>
      </c>
    </row>
    <row r="297" spans="1:26" ht="39">
      <c r="A297" s="2">
        <v>295</v>
      </c>
      <c r="B297" s="2">
        <v>3680511</v>
      </c>
      <c r="C297" s="2">
        <v>32904773100105</v>
      </c>
      <c r="D297" s="2" t="s">
        <v>145</v>
      </c>
      <c r="E297" s="2">
        <v>7553512</v>
      </c>
      <c r="F297" s="2">
        <v>972110222</v>
      </c>
      <c r="G297" s="3">
        <v>28244</v>
      </c>
      <c r="H297" s="2" t="s">
        <v>929</v>
      </c>
      <c r="I297" s="2" t="s">
        <v>930</v>
      </c>
      <c r="J297" s="2" t="s">
        <v>931</v>
      </c>
      <c r="K297" s="2" t="s">
        <v>39</v>
      </c>
      <c r="L297" s="2" t="s">
        <v>27</v>
      </c>
      <c r="M297" s="2">
        <v>5320200</v>
      </c>
      <c r="N297" s="2" t="s">
        <v>66</v>
      </c>
      <c r="O297" s="2" t="s">
        <v>42</v>
      </c>
      <c r="P297" s="2" t="s">
        <v>68</v>
      </c>
      <c r="Q297" s="4">
        <v>11110</v>
      </c>
      <c r="R297" s="2" t="s">
        <v>62</v>
      </c>
      <c r="S297" s="2">
        <v>8</v>
      </c>
      <c r="T297" s="2" t="s">
        <v>33</v>
      </c>
      <c r="U297" s="2" t="s">
        <v>34</v>
      </c>
      <c r="V297" s="32">
        <v>59781040</v>
      </c>
      <c r="Y297" s="30">
        <f t="shared" si="8"/>
        <v>59781040</v>
      </c>
      <c r="Z297" s="41">
        <f t="shared" si="9"/>
        <v>0</v>
      </c>
    </row>
    <row r="298" spans="1:26" ht="47.25">
      <c r="A298" s="2">
        <v>296</v>
      </c>
      <c r="B298" s="2">
        <v>2401210</v>
      </c>
      <c r="C298" s="2">
        <v>52801025400012</v>
      </c>
      <c r="D298" s="2" t="s">
        <v>22</v>
      </c>
      <c r="E298" s="2">
        <v>834005</v>
      </c>
      <c r="F298" s="2">
        <v>942827582</v>
      </c>
      <c r="G298" s="3">
        <v>37284</v>
      </c>
      <c r="H298" s="2" t="s">
        <v>932</v>
      </c>
      <c r="I298" s="2" t="s">
        <v>676</v>
      </c>
      <c r="J298" s="2" t="s">
        <v>933</v>
      </c>
      <c r="K298" s="2" t="s">
        <v>39</v>
      </c>
      <c r="L298" s="2" t="s">
        <v>27</v>
      </c>
      <c r="M298" s="2">
        <v>5320102</v>
      </c>
      <c r="N298" s="2" t="s">
        <v>138</v>
      </c>
      <c r="O298" s="2" t="s">
        <v>175</v>
      </c>
      <c r="P298" s="2" t="s">
        <v>140</v>
      </c>
      <c r="Q298" s="5">
        <v>44317</v>
      </c>
      <c r="R298" s="2" t="s">
        <v>62</v>
      </c>
      <c r="S298" s="2">
        <v>8</v>
      </c>
      <c r="T298" s="2" t="s">
        <v>33</v>
      </c>
      <c r="U298" s="2" t="s">
        <v>34</v>
      </c>
      <c r="V298" s="32" t="s">
        <v>2990</v>
      </c>
      <c r="W298" s="21">
        <f>6000000+2708000+2500000</f>
        <v>11208000</v>
      </c>
      <c r="X298" s="48" t="s">
        <v>2989</v>
      </c>
      <c r="Y298" s="30">
        <f t="shared" si="8"/>
        <v>945</v>
      </c>
      <c r="Z298" s="41">
        <f t="shared" si="9"/>
        <v>0.99991569233322142</v>
      </c>
    </row>
    <row r="299" spans="1:26" ht="15.75">
      <c r="A299" s="2">
        <v>297</v>
      </c>
      <c r="B299" s="2">
        <v>2553560</v>
      </c>
      <c r="C299" s="2">
        <v>50104026040022</v>
      </c>
      <c r="D299" s="2" t="s">
        <v>22</v>
      </c>
      <c r="E299" s="2">
        <v>2492320</v>
      </c>
      <c r="F299" s="2">
        <v>996636301</v>
      </c>
      <c r="G299" s="3">
        <v>37347</v>
      </c>
      <c r="H299" s="2" t="s">
        <v>830</v>
      </c>
      <c r="I299" s="2" t="s">
        <v>934</v>
      </c>
      <c r="J299" s="2" t="s">
        <v>305</v>
      </c>
      <c r="K299" s="2" t="s">
        <v>39</v>
      </c>
      <c r="L299" s="2" t="s">
        <v>27</v>
      </c>
      <c r="M299" s="2">
        <v>5310400</v>
      </c>
      <c r="N299" s="2" t="s">
        <v>232</v>
      </c>
      <c r="O299" s="2" t="s">
        <v>122</v>
      </c>
      <c r="P299" s="2" t="s">
        <v>287</v>
      </c>
      <c r="Q299" s="2" t="s">
        <v>253</v>
      </c>
      <c r="R299" s="2" t="s">
        <v>62</v>
      </c>
      <c r="S299" s="2">
        <v>8</v>
      </c>
      <c r="T299" s="2" t="s">
        <v>33</v>
      </c>
      <c r="U299" s="2" t="s">
        <v>34</v>
      </c>
      <c r="V299" s="32">
        <v>53802936</v>
      </c>
      <c r="W299" s="22">
        <f>27000000+13000000</f>
        <v>40000000</v>
      </c>
      <c r="X299" s="17" t="s">
        <v>2944</v>
      </c>
      <c r="Y299" s="30">
        <f t="shared" si="8"/>
        <v>13802936</v>
      </c>
      <c r="Z299" s="41">
        <f t="shared" si="9"/>
        <v>0.74345385166341105</v>
      </c>
    </row>
    <row r="300" spans="1:26" ht="26.25">
      <c r="A300" s="2">
        <v>298</v>
      </c>
      <c r="B300" s="2">
        <v>3554273</v>
      </c>
      <c r="C300" s="2">
        <v>50909045260039</v>
      </c>
      <c r="D300" s="2" t="s">
        <v>22</v>
      </c>
      <c r="E300" s="2">
        <v>2315476</v>
      </c>
      <c r="F300" s="2">
        <v>907118847</v>
      </c>
      <c r="G300" s="3">
        <v>38239</v>
      </c>
      <c r="H300" s="2" t="s">
        <v>935</v>
      </c>
      <c r="I300" s="2" t="s">
        <v>936</v>
      </c>
      <c r="J300" s="2" t="s">
        <v>937</v>
      </c>
      <c r="K300" s="2" t="s">
        <v>26</v>
      </c>
      <c r="L300" s="2" t="s">
        <v>57</v>
      </c>
      <c r="M300" s="2">
        <v>5620701</v>
      </c>
      <c r="N300" s="2" t="s">
        <v>218</v>
      </c>
      <c r="O300" s="2" t="s">
        <v>469</v>
      </c>
      <c r="P300" s="2" t="s">
        <v>104</v>
      </c>
      <c r="Q300" s="5">
        <v>44338</v>
      </c>
      <c r="R300" s="2" t="s">
        <v>53</v>
      </c>
      <c r="S300" s="2">
        <v>8</v>
      </c>
      <c r="T300" s="2" t="s">
        <v>33</v>
      </c>
      <c r="U300" s="2" t="s">
        <v>34</v>
      </c>
      <c r="V300" s="29">
        <v>92341584</v>
      </c>
      <c r="W300" s="24">
        <v>52000000</v>
      </c>
      <c r="X300" s="14" t="s">
        <v>2669</v>
      </c>
      <c r="Y300" s="30">
        <f t="shared" si="8"/>
        <v>40341584</v>
      </c>
      <c r="Z300" s="41">
        <f t="shared" si="9"/>
        <v>0.56312657577976999</v>
      </c>
    </row>
    <row r="301" spans="1:26" ht="26.25">
      <c r="A301" s="2">
        <v>299</v>
      </c>
      <c r="B301" s="2">
        <v>3703630</v>
      </c>
      <c r="C301" s="2">
        <v>52701036540034</v>
      </c>
      <c r="D301" s="2" t="s">
        <v>22</v>
      </c>
      <c r="E301" s="2">
        <v>1779214</v>
      </c>
      <c r="F301" s="2">
        <v>998817881</v>
      </c>
      <c r="G301" s="3">
        <v>37648</v>
      </c>
      <c r="H301" s="2" t="s">
        <v>477</v>
      </c>
      <c r="I301" s="2" t="s">
        <v>938</v>
      </c>
      <c r="J301" s="2" t="s">
        <v>939</v>
      </c>
      <c r="K301" s="2" t="s">
        <v>39</v>
      </c>
      <c r="L301" s="2" t="s">
        <v>57</v>
      </c>
      <c r="M301" s="2">
        <v>5310601</v>
      </c>
      <c r="N301" s="2" t="s">
        <v>153</v>
      </c>
      <c r="O301" s="2" t="s">
        <v>225</v>
      </c>
      <c r="P301" s="2" t="s">
        <v>155</v>
      </c>
      <c r="Q301" s="4">
        <v>45778</v>
      </c>
      <c r="R301" s="2" t="s">
        <v>62</v>
      </c>
      <c r="S301" s="2">
        <v>8</v>
      </c>
      <c r="T301" s="2" t="s">
        <v>33</v>
      </c>
      <c r="U301" s="2" t="s">
        <v>34</v>
      </c>
      <c r="V301" s="32">
        <v>59781040</v>
      </c>
      <c r="Y301" s="30">
        <f t="shared" si="8"/>
        <v>59781040</v>
      </c>
      <c r="Z301" s="41">
        <f t="shared" si="9"/>
        <v>0</v>
      </c>
    </row>
    <row r="302" spans="1:26" ht="26.25">
      <c r="A302" s="2">
        <v>300</v>
      </c>
      <c r="B302" s="2">
        <v>3508420</v>
      </c>
      <c r="C302" s="2">
        <v>32512914330014</v>
      </c>
      <c r="D302" s="2" t="s">
        <v>45</v>
      </c>
      <c r="E302" s="2">
        <v>3119841</v>
      </c>
      <c r="F302" s="2">
        <v>934816311</v>
      </c>
      <c r="G302" s="3">
        <v>33597</v>
      </c>
      <c r="H302" s="2" t="s">
        <v>862</v>
      </c>
      <c r="I302" s="2" t="s">
        <v>940</v>
      </c>
      <c r="J302" s="2" t="s">
        <v>941</v>
      </c>
      <c r="K302" s="2" t="s">
        <v>39</v>
      </c>
      <c r="L302" s="2" t="s">
        <v>27</v>
      </c>
      <c r="M302" s="2">
        <v>5314000</v>
      </c>
      <c r="N302" s="2" t="s">
        <v>522</v>
      </c>
      <c r="O302" s="2" t="s">
        <v>60</v>
      </c>
      <c r="P302" s="2" t="s">
        <v>523</v>
      </c>
      <c r="Q302" s="2" t="s">
        <v>942</v>
      </c>
      <c r="R302" s="2" t="s">
        <v>62</v>
      </c>
      <c r="S302" s="2">
        <v>8</v>
      </c>
      <c r="T302" s="2" t="s">
        <v>33</v>
      </c>
      <c r="U302" s="2" t="s">
        <v>34</v>
      </c>
      <c r="V302" s="29">
        <v>53802936</v>
      </c>
      <c r="W302" s="20">
        <f>29000000+12000000</f>
        <v>41000000</v>
      </c>
      <c r="X302" s="2" t="s">
        <v>2756</v>
      </c>
      <c r="Y302" s="30">
        <f t="shared" si="8"/>
        <v>12802936</v>
      </c>
      <c r="Z302" s="41">
        <f t="shared" si="9"/>
        <v>0.76204019795499633</v>
      </c>
    </row>
    <row r="303" spans="1:26">
      <c r="A303" s="2">
        <v>301</v>
      </c>
      <c r="B303" s="2">
        <v>1638938</v>
      </c>
      <c r="C303" s="2">
        <v>31708963110041</v>
      </c>
      <c r="D303" s="2" t="s">
        <v>45</v>
      </c>
      <c r="E303" s="2">
        <v>7162961</v>
      </c>
      <c r="F303" s="2">
        <v>914212123</v>
      </c>
      <c r="G303" s="3">
        <v>35294</v>
      </c>
      <c r="H303" s="2" t="s">
        <v>943</v>
      </c>
      <c r="I303" s="2" t="s">
        <v>944</v>
      </c>
      <c r="J303" s="2" t="s">
        <v>945</v>
      </c>
      <c r="K303" s="2" t="s">
        <v>26</v>
      </c>
      <c r="L303" s="2" t="s">
        <v>57</v>
      </c>
      <c r="M303" s="2">
        <v>5620400</v>
      </c>
      <c r="N303" s="2" t="s">
        <v>103</v>
      </c>
      <c r="O303" s="2" t="s">
        <v>179</v>
      </c>
      <c r="P303" s="2">
        <v>63</v>
      </c>
      <c r="Q303" s="4">
        <v>45778</v>
      </c>
      <c r="R303" s="2" t="s">
        <v>53</v>
      </c>
      <c r="S303" s="2">
        <v>8</v>
      </c>
      <c r="T303" s="2" t="s">
        <v>33</v>
      </c>
      <c r="U303" s="2" t="s">
        <v>34</v>
      </c>
      <c r="V303" s="32">
        <v>51300880</v>
      </c>
      <c r="Y303" s="30">
        <f t="shared" si="8"/>
        <v>51300880</v>
      </c>
      <c r="Z303" s="41">
        <f t="shared" si="9"/>
        <v>0</v>
      </c>
    </row>
    <row r="304" spans="1:26">
      <c r="A304" s="2">
        <v>302</v>
      </c>
      <c r="B304" s="2">
        <v>2965604</v>
      </c>
      <c r="C304" s="2">
        <v>32110965670037</v>
      </c>
      <c r="D304" s="2" t="s">
        <v>145</v>
      </c>
      <c r="E304" s="2">
        <v>6147914</v>
      </c>
      <c r="F304" s="2">
        <v>998090096</v>
      </c>
      <c r="G304" s="3">
        <v>35359</v>
      </c>
      <c r="H304" s="2" t="s">
        <v>946</v>
      </c>
      <c r="I304" s="2" t="s">
        <v>947</v>
      </c>
      <c r="J304" s="2" t="s">
        <v>727</v>
      </c>
      <c r="K304" s="2" t="s">
        <v>39</v>
      </c>
      <c r="L304" s="2" t="s">
        <v>27</v>
      </c>
      <c r="M304" s="2">
        <v>5620101</v>
      </c>
      <c r="N304" s="2" t="s">
        <v>49</v>
      </c>
      <c r="O304" s="2">
        <v>63</v>
      </c>
      <c r="P304" s="2" t="s">
        <v>264</v>
      </c>
      <c r="Q304" s="2" t="s">
        <v>99</v>
      </c>
      <c r="R304" s="2" t="s">
        <v>62</v>
      </c>
      <c r="S304" s="2">
        <v>8</v>
      </c>
      <c r="T304" s="2" t="s">
        <v>33</v>
      </c>
      <c r="U304" s="2" t="s">
        <v>34</v>
      </c>
      <c r="V304" s="32">
        <v>59781040</v>
      </c>
      <c r="Y304" s="30">
        <f t="shared" si="8"/>
        <v>59781040</v>
      </c>
      <c r="Z304" s="41">
        <f t="shared" si="9"/>
        <v>0</v>
      </c>
    </row>
    <row r="305" spans="1:27" ht="26.25">
      <c r="A305" s="2">
        <v>303</v>
      </c>
      <c r="B305" s="2">
        <v>3528508</v>
      </c>
      <c r="C305" s="2">
        <v>52301006130115</v>
      </c>
      <c r="D305" s="2" t="s">
        <v>45</v>
      </c>
      <c r="E305" s="2">
        <v>6772818</v>
      </c>
      <c r="F305" s="2">
        <v>905055287</v>
      </c>
      <c r="G305" s="3">
        <v>36548</v>
      </c>
      <c r="H305" s="2" t="s">
        <v>271</v>
      </c>
      <c r="I305" s="2" t="s">
        <v>948</v>
      </c>
      <c r="J305" s="2" t="s">
        <v>588</v>
      </c>
      <c r="K305" s="2" t="s">
        <v>39</v>
      </c>
      <c r="L305" s="2" t="s">
        <v>27</v>
      </c>
      <c r="M305" s="2">
        <v>5640202</v>
      </c>
      <c r="N305" s="2" t="s">
        <v>240</v>
      </c>
      <c r="O305" s="2" t="s">
        <v>629</v>
      </c>
      <c r="P305" s="2" t="s">
        <v>241</v>
      </c>
      <c r="Q305" s="5">
        <v>44317</v>
      </c>
      <c r="R305" s="2" t="s">
        <v>62</v>
      </c>
      <c r="S305" s="2">
        <v>8</v>
      </c>
      <c r="T305" s="2" t="s">
        <v>33</v>
      </c>
      <c r="U305" s="2" t="s">
        <v>34</v>
      </c>
      <c r="V305" s="32">
        <v>11208945</v>
      </c>
      <c r="W305" s="21">
        <v>6000000</v>
      </c>
      <c r="X305" s="11" t="s">
        <v>2625</v>
      </c>
      <c r="Y305" s="30">
        <f t="shared" si="8"/>
        <v>5208945</v>
      </c>
      <c r="Z305" s="41">
        <f t="shared" si="9"/>
        <v>0.53528677319765594</v>
      </c>
    </row>
    <row r="306" spans="1:27">
      <c r="A306" s="2">
        <v>304</v>
      </c>
      <c r="B306" s="2">
        <v>3380166</v>
      </c>
      <c r="C306" s="2">
        <v>50202048030013</v>
      </c>
      <c r="D306" s="2" t="s">
        <v>22</v>
      </c>
      <c r="E306" s="2">
        <v>2727724</v>
      </c>
      <c r="F306" s="2">
        <v>901493164</v>
      </c>
      <c r="G306" s="3">
        <v>38019</v>
      </c>
      <c r="H306" s="2" t="s">
        <v>949</v>
      </c>
      <c r="I306" s="2" t="s">
        <v>678</v>
      </c>
      <c r="J306" s="2" t="s">
        <v>950</v>
      </c>
      <c r="K306" s="2" t="s">
        <v>26</v>
      </c>
      <c r="L306" s="2" t="s">
        <v>27</v>
      </c>
      <c r="M306" s="2">
        <v>5240109</v>
      </c>
      <c r="N306" s="2" t="s">
        <v>28</v>
      </c>
      <c r="O306" s="2" t="s">
        <v>80</v>
      </c>
      <c r="P306" s="2" t="s">
        <v>30</v>
      </c>
      <c r="Q306" s="2" t="s">
        <v>179</v>
      </c>
      <c r="R306" s="2" t="s">
        <v>32</v>
      </c>
      <c r="S306" s="2">
        <v>25</v>
      </c>
      <c r="T306" s="2" t="s">
        <v>33</v>
      </c>
      <c r="U306" s="2" t="s">
        <v>34</v>
      </c>
      <c r="V306" s="32">
        <v>245231500</v>
      </c>
      <c r="Y306" s="30">
        <f t="shared" si="8"/>
        <v>245231500</v>
      </c>
      <c r="Z306" s="41">
        <f t="shared" si="9"/>
        <v>0</v>
      </c>
    </row>
    <row r="307" spans="1:27">
      <c r="A307" s="2">
        <v>305</v>
      </c>
      <c r="B307" s="2">
        <v>3696928</v>
      </c>
      <c r="C307" s="2">
        <v>60408036520060</v>
      </c>
      <c r="D307" s="2" t="s">
        <v>22</v>
      </c>
      <c r="E307" s="2">
        <v>2679931</v>
      </c>
      <c r="F307" s="2">
        <v>977442324</v>
      </c>
      <c r="G307" s="3">
        <v>37837</v>
      </c>
      <c r="H307" s="2" t="s">
        <v>951</v>
      </c>
      <c r="I307" s="2" t="s">
        <v>952</v>
      </c>
      <c r="J307" s="2" t="s">
        <v>953</v>
      </c>
      <c r="K307" s="2" t="s">
        <v>26</v>
      </c>
      <c r="L307" s="2" t="s">
        <v>27</v>
      </c>
      <c r="M307" s="2">
        <v>5240109</v>
      </c>
      <c r="N307" s="2" t="s">
        <v>28</v>
      </c>
      <c r="O307" s="2" t="s">
        <v>490</v>
      </c>
      <c r="P307" s="2" t="s">
        <v>30</v>
      </c>
      <c r="Q307" s="2" t="s">
        <v>122</v>
      </c>
      <c r="R307" s="2" t="s">
        <v>32</v>
      </c>
      <c r="S307" s="2">
        <v>25</v>
      </c>
      <c r="T307" s="2" t="s">
        <v>33</v>
      </c>
      <c r="U307" s="2" t="s">
        <v>34</v>
      </c>
      <c r="V307" s="32">
        <v>245231500</v>
      </c>
      <c r="Y307" s="30">
        <f t="shared" si="8"/>
        <v>245231500</v>
      </c>
      <c r="Z307" s="41">
        <f t="shared" si="9"/>
        <v>0</v>
      </c>
    </row>
    <row r="308" spans="1:27">
      <c r="A308" s="2">
        <v>306</v>
      </c>
      <c r="B308" s="2">
        <v>3286971</v>
      </c>
      <c r="C308" s="2">
        <v>41507930510023</v>
      </c>
      <c r="D308" s="2" t="s">
        <v>145</v>
      </c>
      <c r="E308" s="2">
        <v>5776097</v>
      </c>
      <c r="F308" s="2">
        <v>939193388</v>
      </c>
      <c r="G308" s="3">
        <v>34165</v>
      </c>
      <c r="H308" s="2" t="s">
        <v>954</v>
      </c>
      <c r="I308" s="2" t="s">
        <v>955</v>
      </c>
      <c r="J308" s="2" t="s">
        <v>956</v>
      </c>
      <c r="K308" s="2" t="s">
        <v>39</v>
      </c>
      <c r="L308" s="2" t="s">
        <v>57</v>
      </c>
      <c r="M308" s="2">
        <v>5620400</v>
      </c>
      <c r="N308" s="2" t="s">
        <v>103</v>
      </c>
      <c r="O308" s="2" t="s">
        <v>154</v>
      </c>
      <c r="P308" s="2" t="s">
        <v>139</v>
      </c>
      <c r="Q308" s="5">
        <v>44471</v>
      </c>
      <c r="R308" s="2" t="s">
        <v>62</v>
      </c>
      <c r="S308" s="2">
        <v>8</v>
      </c>
      <c r="T308" s="2" t="s">
        <v>33</v>
      </c>
      <c r="U308" s="2" t="s">
        <v>34</v>
      </c>
      <c r="V308" s="32" t="s">
        <v>2723</v>
      </c>
      <c r="W308" s="20">
        <v>8500000</v>
      </c>
      <c r="X308" s="2" t="s">
        <v>2700</v>
      </c>
      <c r="Y308" s="30">
        <f t="shared" si="8"/>
        <v>8313417.5</v>
      </c>
      <c r="Z308" s="41">
        <f t="shared" si="9"/>
        <v>0.50554861913111948</v>
      </c>
    </row>
    <row r="309" spans="1:27" ht="39">
      <c r="A309" s="2">
        <v>307</v>
      </c>
      <c r="B309" s="2">
        <v>3460827</v>
      </c>
      <c r="C309" s="2">
        <v>50709037020036</v>
      </c>
      <c r="D309" s="2" t="s">
        <v>22</v>
      </c>
      <c r="E309" s="2">
        <v>3166129</v>
      </c>
      <c r="F309" s="2">
        <v>950034323</v>
      </c>
      <c r="G309" s="3">
        <v>37871</v>
      </c>
      <c r="H309" s="2" t="s">
        <v>957</v>
      </c>
      <c r="I309" s="2" t="s">
        <v>746</v>
      </c>
      <c r="J309" s="2" t="s">
        <v>958</v>
      </c>
      <c r="K309" s="2" t="s">
        <v>39</v>
      </c>
      <c r="L309" s="2" t="s">
        <v>27</v>
      </c>
      <c r="M309" s="2">
        <v>5310605</v>
      </c>
      <c r="N309" s="2" t="s">
        <v>97</v>
      </c>
      <c r="O309" s="2" t="s">
        <v>88</v>
      </c>
      <c r="P309" s="2" t="s">
        <v>79</v>
      </c>
      <c r="Q309" s="5">
        <v>44338</v>
      </c>
      <c r="R309" s="2" t="s">
        <v>62</v>
      </c>
      <c r="S309" s="2">
        <v>8</v>
      </c>
      <c r="T309" s="2" t="s">
        <v>33</v>
      </c>
      <c r="U309" s="2" t="s">
        <v>34</v>
      </c>
      <c r="V309" s="32">
        <v>59781040</v>
      </c>
      <c r="W309" s="20">
        <f>30000000+7500000+7500000</f>
        <v>45000000</v>
      </c>
      <c r="X309" s="2" t="s">
        <v>2980</v>
      </c>
      <c r="Y309" s="30">
        <f t="shared" si="8"/>
        <v>14781040</v>
      </c>
      <c r="Z309" s="41">
        <f t="shared" si="9"/>
        <v>0.75274702480920375</v>
      </c>
    </row>
    <row r="310" spans="1:27">
      <c r="A310" s="2">
        <v>308</v>
      </c>
      <c r="B310" s="2">
        <v>1545412</v>
      </c>
      <c r="C310" s="2">
        <v>32505961140017</v>
      </c>
      <c r="D310" s="2" t="s">
        <v>145</v>
      </c>
      <c r="E310" s="2">
        <v>7163659</v>
      </c>
      <c r="F310" s="2">
        <v>912405464</v>
      </c>
      <c r="G310" s="3">
        <v>35210</v>
      </c>
      <c r="H310" s="2" t="s">
        <v>959</v>
      </c>
      <c r="I310" s="2" t="s">
        <v>960</v>
      </c>
      <c r="J310" s="2" t="s">
        <v>961</v>
      </c>
      <c r="K310" s="2" t="s">
        <v>39</v>
      </c>
      <c r="L310" s="2" t="s">
        <v>57</v>
      </c>
      <c r="M310" s="2">
        <v>5310606</v>
      </c>
      <c r="N310" s="2" t="s">
        <v>72</v>
      </c>
      <c r="O310" s="2" t="s">
        <v>433</v>
      </c>
      <c r="P310" s="2" t="s">
        <v>225</v>
      </c>
      <c r="Q310" s="2" t="s">
        <v>170</v>
      </c>
      <c r="R310" s="2" t="s">
        <v>62</v>
      </c>
      <c r="S310" s="2">
        <v>8</v>
      </c>
      <c r="T310" s="2" t="s">
        <v>33</v>
      </c>
      <c r="U310" s="2" t="s">
        <v>34</v>
      </c>
      <c r="V310" s="32">
        <v>119562080</v>
      </c>
      <c r="Y310" s="30">
        <f t="shared" si="8"/>
        <v>119562080</v>
      </c>
      <c r="Z310" s="41">
        <f t="shared" si="9"/>
        <v>0</v>
      </c>
    </row>
    <row r="311" spans="1:27">
      <c r="A311" s="2">
        <v>309</v>
      </c>
      <c r="B311" s="2">
        <v>1832482</v>
      </c>
      <c r="C311" s="2">
        <v>31609975830023</v>
      </c>
      <c r="D311" s="2" t="s">
        <v>145</v>
      </c>
      <c r="E311" s="2">
        <v>3815711</v>
      </c>
      <c r="F311" s="2">
        <v>933556757</v>
      </c>
      <c r="G311" s="3">
        <v>35689</v>
      </c>
      <c r="H311" s="2" t="s">
        <v>477</v>
      </c>
      <c r="I311" s="2" t="s">
        <v>962</v>
      </c>
      <c r="J311" s="2" t="s">
        <v>963</v>
      </c>
      <c r="K311" s="2" t="s">
        <v>39</v>
      </c>
      <c r="L311" s="2" t="s">
        <v>27</v>
      </c>
      <c r="M311" s="2">
        <v>5310606</v>
      </c>
      <c r="N311" s="2" t="s">
        <v>72</v>
      </c>
      <c r="O311" s="2" t="s">
        <v>88</v>
      </c>
      <c r="P311" s="2" t="s">
        <v>73</v>
      </c>
      <c r="Q311" s="2" t="s">
        <v>277</v>
      </c>
      <c r="R311" s="2" t="s">
        <v>62</v>
      </c>
      <c r="S311" s="2">
        <v>8</v>
      </c>
      <c r="T311" s="2" t="s">
        <v>33</v>
      </c>
      <c r="U311" s="2" t="s">
        <v>34</v>
      </c>
      <c r="V311" s="29">
        <v>53802936</v>
      </c>
      <c r="W311" s="26">
        <v>27000000</v>
      </c>
      <c r="X311" t="s">
        <v>2715</v>
      </c>
      <c r="Y311" s="30">
        <f t="shared" si="8"/>
        <v>26802936</v>
      </c>
      <c r="Z311" s="41">
        <f t="shared" si="9"/>
        <v>0.50183134987280253</v>
      </c>
      <c r="AA311" s="42" t="s">
        <v>2798</v>
      </c>
    </row>
    <row r="312" spans="1:27">
      <c r="A312" s="2">
        <v>310</v>
      </c>
      <c r="B312" s="2">
        <v>1434857</v>
      </c>
      <c r="C312" s="2">
        <v>30409997050031</v>
      </c>
      <c r="D312" s="2" t="s">
        <v>45</v>
      </c>
      <c r="E312" s="2">
        <v>2599380</v>
      </c>
      <c r="F312" s="2">
        <v>905568766</v>
      </c>
      <c r="G312" s="3">
        <v>36407</v>
      </c>
      <c r="H312" s="2" t="s">
        <v>964</v>
      </c>
      <c r="I312" s="2" t="s">
        <v>965</v>
      </c>
      <c r="J312" s="2" t="s">
        <v>966</v>
      </c>
      <c r="K312" s="2" t="s">
        <v>26</v>
      </c>
      <c r="L312" s="2" t="s">
        <v>57</v>
      </c>
      <c r="M312" s="2">
        <v>5620400</v>
      </c>
      <c r="N312" s="2" t="s">
        <v>103</v>
      </c>
      <c r="O312" s="2" t="s">
        <v>263</v>
      </c>
      <c r="P312" s="2">
        <v>63</v>
      </c>
      <c r="Q312" s="2" t="s">
        <v>591</v>
      </c>
      <c r="R312" s="2" t="s">
        <v>53</v>
      </c>
      <c r="S312" s="2">
        <v>8</v>
      </c>
      <c r="T312" s="2" t="s">
        <v>33</v>
      </c>
      <c r="U312" s="2" t="s">
        <v>34</v>
      </c>
      <c r="V312" s="32">
        <v>102601760</v>
      </c>
      <c r="Y312" s="30">
        <f t="shared" si="8"/>
        <v>102601760</v>
      </c>
      <c r="Z312" s="41">
        <f t="shared" si="9"/>
        <v>0</v>
      </c>
    </row>
    <row r="313" spans="1:27" ht="26.25">
      <c r="A313" s="2">
        <v>311</v>
      </c>
      <c r="B313" s="2">
        <v>3417822</v>
      </c>
      <c r="C313" s="2">
        <v>50101035280034</v>
      </c>
      <c r="D313" s="2" t="s">
        <v>22</v>
      </c>
      <c r="E313" s="2">
        <v>2000785</v>
      </c>
      <c r="F313" s="2">
        <v>913122583</v>
      </c>
      <c r="G313" s="3">
        <v>37622</v>
      </c>
      <c r="H313" s="2" t="s">
        <v>897</v>
      </c>
      <c r="I313" s="2" t="s">
        <v>746</v>
      </c>
      <c r="J313" s="2" t="s">
        <v>967</v>
      </c>
      <c r="K313" s="2" t="s">
        <v>39</v>
      </c>
      <c r="L313" s="2" t="s">
        <v>27</v>
      </c>
      <c r="M313" s="2">
        <v>5620701</v>
      </c>
      <c r="N313" s="2" t="s">
        <v>218</v>
      </c>
      <c r="O313" s="2" t="s">
        <v>149</v>
      </c>
      <c r="P313" s="2" t="s">
        <v>219</v>
      </c>
      <c r="Q313" s="2" t="s">
        <v>440</v>
      </c>
      <c r="R313" s="2" t="s">
        <v>62</v>
      </c>
      <c r="S313" s="2">
        <v>8</v>
      </c>
      <c r="T313" s="2" t="s">
        <v>33</v>
      </c>
      <c r="U313" s="2" t="s">
        <v>34</v>
      </c>
      <c r="V313" s="32">
        <v>59781040</v>
      </c>
      <c r="W313" s="21">
        <v>31000000</v>
      </c>
      <c r="X313" s="12" t="s">
        <v>2625</v>
      </c>
      <c r="Y313" s="30">
        <f t="shared" si="8"/>
        <v>28781040</v>
      </c>
      <c r="Z313" s="41">
        <f t="shared" si="9"/>
        <v>0.51855906153522924</v>
      </c>
    </row>
    <row r="314" spans="1:27">
      <c r="A314" s="2">
        <v>312</v>
      </c>
      <c r="B314" s="2">
        <v>3536720</v>
      </c>
      <c r="C314" s="2">
        <v>52712036350060</v>
      </c>
      <c r="D314" s="2" t="s">
        <v>22</v>
      </c>
      <c r="E314" s="2">
        <v>2892216</v>
      </c>
      <c r="F314" s="2">
        <v>937985555</v>
      </c>
      <c r="G314" s="3">
        <v>37982</v>
      </c>
      <c r="H314" s="2" t="s">
        <v>968</v>
      </c>
      <c r="I314" s="2" t="s">
        <v>347</v>
      </c>
      <c r="J314" s="2" t="s">
        <v>969</v>
      </c>
      <c r="K314" s="2" t="s">
        <v>26</v>
      </c>
      <c r="L314" s="2" t="s">
        <v>57</v>
      </c>
      <c r="M314" s="2">
        <v>5620400</v>
      </c>
      <c r="N314" s="2" t="s">
        <v>103</v>
      </c>
      <c r="O314" s="2" t="s">
        <v>439</v>
      </c>
      <c r="P314" s="2">
        <v>63</v>
      </c>
      <c r="Q314" s="4">
        <v>16681</v>
      </c>
      <c r="R314" s="2" t="s">
        <v>53</v>
      </c>
      <c r="S314" s="2">
        <v>8</v>
      </c>
      <c r="T314" s="2" t="s">
        <v>33</v>
      </c>
      <c r="U314" s="2" t="s">
        <v>34</v>
      </c>
      <c r="V314" s="32">
        <v>92341584</v>
      </c>
      <c r="W314" s="20">
        <v>46341584</v>
      </c>
      <c r="X314" s="2" t="s">
        <v>2631</v>
      </c>
      <c r="Y314" s="30">
        <f t="shared" si="8"/>
        <v>46000000</v>
      </c>
      <c r="Z314" s="41">
        <f t="shared" si="9"/>
        <v>0.50184956757943422</v>
      </c>
    </row>
    <row r="315" spans="1:27" ht="15.75">
      <c r="A315" s="2">
        <v>313</v>
      </c>
      <c r="B315" s="2">
        <v>2099496</v>
      </c>
      <c r="C315" s="2">
        <v>50108008660071</v>
      </c>
      <c r="D315" s="2" t="s">
        <v>45</v>
      </c>
      <c r="E315" s="2">
        <v>6518027</v>
      </c>
      <c r="F315" s="2">
        <v>936033066</v>
      </c>
      <c r="G315" s="3">
        <v>36739</v>
      </c>
      <c r="H315" s="2" t="s">
        <v>271</v>
      </c>
      <c r="I315" s="2" t="s">
        <v>970</v>
      </c>
      <c r="J315" s="2" t="s">
        <v>971</v>
      </c>
      <c r="K315" s="2" t="s">
        <v>26</v>
      </c>
      <c r="L315" s="2" t="s">
        <v>27</v>
      </c>
      <c r="M315" s="2">
        <v>5240109</v>
      </c>
      <c r="N315" s="2" t="s">
        <v>28</v>
      </c>
      <c r="O315" s="2" t="s">
        <v>165</v>
      </c>
      <c r="P315" s="2" t="s">
        <v>30</v>
      </c>
      <c r="Q315" s="2" t="s">
        <v>972</v>
      </c>
      <c r="R315" s="2" t="s">
        <v>32</v>
      </c>
      <c r="S315" s="2">
        <v>25</v>
      </c>
      <c r="T315" s="2" t="s">
        <v>33</v>
      </c>
      <c r="U315" s="2" t="s">
        <v>34</v>
      </c>
      <c r="V315" s="32">
        <v>220708350</v>
      </c>
      <c r="W315" s="21">
        <v>111000000</v>
      </c>
      <c r="X315" s="10" t="s">
        <v>2637</v>
      </c>
      <c r="Y315" s="30">
        <f t="shared" si="8"/>
        <v>109708350</v>
      </c>
      <c r="Z315" s="41">
        <f t="shared" si="9"/>
        <v>0.50292614665462365</v>
      </c>
    </row>
    <row r="316" spans="1:27" ht="39">
      <c r="A316" s="2">
        <v>314</v>
      </c>
      <c r="B316" s="2">
        <v>1639556</v>
      </c>
      <c r="C316" s="2">
        <v>50402005840020</v>
      </c>
      <c r="D316" s="2" t="s">
        <v>45</v>
      </c>
      <c r="E316" s="2">
        <v>4692430</v>
      </c>
      <c r="F316" s="2">
        <v>902270022</v>
      </c>
      <c r="G316" s="3">
        <v>36560</v>
      </c>
      <c r="H316" s="2" t="s">
        <v>146</v>
      </c>
      <c r="I316" s="2" t="s">
        <v>973</v>
      </c>
      <c r="J316" s="2" t="s">
        <v>471</v>
      </c>
      <c r="K316" s="2" t="s">
        <v>39</v>
      </c>
      <c r="L316" s="2" t="s">
        <v>27</v>
      </c>
      <c r="M316" s="2">
        <v>5340602</v>
      </c>
      <c r="N316" s="2" t="s">
        <v>628</v>
      </c>
      <c r="O316" s="2" t="s">
        <v>73</v>
      </c>
      <c r="P316" s="2" t="s">
        <v>629</v>
      </c>
      <c r="Q316" s="5">
        <v>44317</v>
      </c>
      <c r="R316" s="2" t="s">
        <v>44</v>
      </c>
      <c r="S316" s="2">
        <v>8</v>
      </c>
      <c r="T316" s="2" t="s">
        <v>33</v>
      </c>
      <c r="U316" s="2" t="s">
        <v>34</v>
      </c>
      <c r="V316" s="32" t="s">
        <v>2724</v>
      </c>
      <c r="W316" s="20">
        <f>6200000+3000000</f>
        <v>9200000</v>
      </c>
      <c r="X316" s="2" t="s">
        <v>2849</v>
      </c>
      <c r="Y316" s="30">
        <f t="shared" si="8"/>
        <v>3129839.5</v>
      </c>
      <c r="Z316" s="41">
        <f t="shared" si="9"/>
        <v>0.74615732021491443</v>
      </c>
    </row>
    <row r="317" spans="1:27" ht="26.25">
      <c r="A317" s="2">
        <v>315</v>
      </c>
      <c r="B317" s="2">
        <v>3628357</v>
      </c>
      <c r="C317" s="2">
        <v>53005048370010</v>
      </c>
      <c r="D317" s="2" t="s">
        <v>74</v>
      </c>
      <c r="E317" s="2">
        <v>127356</v>
      </c>
      <c r="F317" s="2">
        <v>905588062</v>
      </c>
      <c r="G317" s="3">
        <v>38137</v>
      </c>
      <c r="H317" s="2" t="s">
        <v>974</v>
      </c>
      <c r="I317" s="2" t="s">
        <v>975</v>
      </c>
      <c r="J317" s="2" t="s">
        <v>976</v>
      </c>
      <c r="K317" s="2" t="s">
        <v>39</v>
      </c>
      <c r="L317" s="2" t="s">
        <v>27</v>
      </c>
      <c r="M317" s="2">
        <v>5320102</v>
      </c>
      <c r="N317" s="2" t="s">
        <v>138</v>
      </c>
      <c r="O317" s="2" t="s">
        <v>149</v>
      </c>
      <c r="P317" s="2" t="s">
        <v>140</v>
      </c>
      <c r="Q317" s="4">
        <v>42064</v>
      </c>
      <c r="R317" s="2" t="s">
        <v>62</v>
      </c>
      <c r="S317" s="2">
        <v>8</v>
      </c>
      <c r="T317" s="2" t="s">
        <v>33</v>
      </c>
      <c r="U317" s="2" t="s">
        <v>34</v>
      </c>
      <c r="V317" s="32">
        <v>22417890</v>
      </c>
      <c r="W317" s="21">
        <v>11300000</v>
      </c>
      <c r="X317" s="11" t="s">
        <v>2630</v>
      </c>
      <c r="Y317" s="30">
        <f t="shared" si="8"/>
        <v>11117890</v>
      </c>
      <c r="Z317" s="41">
        <f t="shared" si="9"/>
        <v>0.50406171142779277</v>
      </c>
    </row>
    <row r="318" spans="1:27">
      <c r="A318" s="2">
        <v>316</v>
      </c>
      <c r="B318" s="2">
        <v>1735991</v>
      </c>
      <c r="C318" s="2">
        <v>30512967170025</v>
      </c>
      <c r="D318" s="2" t="s">
        <v>145</v>
      </c>
      <c r="E318" s="2">
        <v>2763023</v>
      </c>
      <c r="F318" s="2">
        <v>901846878</v>
      </c>
      <c r="G318" s="3">
        <v>35404</v>
      </c>
      <c r="H318" s="2" t="s">
        <v>358</v>
      </c>
      <c r="I318" s="2" t="s">
        <v>451</v>
      </c>
      <c r="J318" s="2" t="s">
        <v>977</v>
      </c>
      <c r="K318" s="2" t="s">
        <v>39</v>
      </c>
      <c r="L318" s="2" t="s">
        <v>57</v>
      </c>
      <c r="M318" s="2">
        <v>5620400</v>
      </c>
      <c r="N318" s="2" t="s">
        <v>103</v>
      </c>
      <c r="O318" s="2" t="s">
        <v>87</v>
      </c>
      <c r="P318" s="2" t="s">
        <v>139</v>
      </c>
      <c r="Q318" s="4">
        <v>16681</v>
      </c>
      <c r="R318" s="2" t="s">
        <v>62</v>
      </c>
      <c r="S318" s="2">
        <v>8</v>
      </c>
      <c r="T318" s="2" t="s">
        <v>33</v>
      </c>
      <c r="U318" s="2" t="s">
        <v>34</v>
      </c>
      <c r="V318" s="32">
        <v>59781040</v>
      </c>
      <c r="Y318" s="30">
        <f t="shared" si="8"/>
        <v>59781040</v>
      </c>
      <c r="Z318" s="41">
        <f t="shared" si="9"/>
        <v>0</v>
      </c>
    </row>
    <row r="319" spans="1:27" ht="15.75">
      <c r="A319" s="2">
        <v>317</v>
      </c>
      <c r="B319" s="2">
        <v>1964555</v>
      </c>
      <c r="C319" s="2">
        <v>31706996530012</v>
      </c>
      <c r="D319" s="2" t="s">
        <v>45</v>
      </c>
      <c r="E319" s="2">
        <v>1157846</v>
      </c>
      <c r="F319" s="2">
        <v>943543999</v>
      </c>
      <c r="G319" s="3">
        <v>36328</v>
      </c>
      <c r="H319" s="2" t="s">
        <v>978</v>
      </c>
      <c r="I319" s="2" t="s">
        <v>979</v>
      </c>
      <c r="J319" s="2" t="s">
        <v>980</v>
      </c>
      <c r="K319" s="2" t="s">
        <v>39</v>
      </c>
      <c r="L319" s="2" t="s">
        <v>57</v>
      </c>
      <c r="M319" s="2">
        <v>5310202</v>
      </c>
      <c r="N319" s="2" t="s">
        <v>86</v>
      </c>
      <c r="O319" s="2" t="s">
        <v>225</v>
      </c>
      <c r="P319" s="2" t="s">
        <v>154</v>
      </c>
      <c r="Q319" s="5">
        <v>44471</v>
      </c>
      <c r="R319" s="2" t="s">
        <v>62</v>
      </c>
      <c r="S319" s="2">
        <v>8</v>
      </c>
      <c r="T319" s="2" t="s">
        <v>33</v>
      </c>
      <c r="U319" s="2" t="s">
        <v>34</v>
      </c>
      <c r="V319" s="29" t="s">
        <v>2723</v>
      </c>
      <c r="W319" s="22">
        <v>8410000</v>
      </c>
      <c r="X319" s="2" t="s">
        <v>2682</v>
      </c>
      <c r="Y319" s="30">
        <f t="shared" si="8"/>
        <v>8403417.5</v>
      </c>
      <c r="Z319" s="41">
        <f t="shared" si="9"/>
        <v>0.50019575139914296</v>
      </c>
    </row>
    <row r="320" spans="1:27" ht="39">
      <c r="A320" s="2">
        <v>318</v>
      </c>
      <c r="B320" s="2">
        <v>3669476</v>
      </c>
      <c r="C320" s="2">
        <v>32607861630011</v>
      </c>
      <c r="D320" s="2" t="s">
        <v>145</v>
      </c>
      <c r="E320" s="2">
        <v>8871915</v>
      </c>
      <c r="F320" s="2">
        <v>996233030</v>
      </c>
      <c r="G320" s="3">
        <v>31619</v>
      </c>
      <c r="H320" s="2" t="s">
        <v>171</v>
      </c>
      <c r="I320" s="2" t="s">
        <v>981</v>
      </c>
      <c r="J320" s="2" t="s">
        <v>982</v>
      </c>
      <c r="K320" s="2" t="s">
        <v>39</v>
      </c>
      <c r="L320" s="2" t="s">
        <v>27</v>
      </c>
      <c r="M320" s="2">
        <v>5340401</v>
      </c>
      <c r="N320" s="2" t="s">
        <v>349</v>
      </c>
      <c r="O320" s="2" t="s">
        <v>384</v>
      </c>
      <c r="P320" s="2" t="s">
        <v>350</v>
      </c>
      <c r="Q320" s="2" t="s">
        <v>500</v>
      </c>
      <c r="R320" s="2" t="s">
        <v>44</v>
      </c>
      <c r="S320" s="2">
        <v>8</v>
      </c>
      <c r="T320" s="2" t="s">
        <v>33</v>
      </c>
      <c r="U320" s="2" t="s">
        <v>34</v>
      </c>
      <c r="V320" s="32">
        <v>131518288</v>
      </c>
      <c r="Y320" s="30">
        <f t="shared" si="8"/>
        <v>131518288</v>
      </c>
      <c r="Z320" s="41">
        <f t="shared" si="9"/>
        <v>0</v>
      </c>
    </row>
    <row r="321" spans="1:26" ht="26.25">
      <c r="A321" s="2">
        <v>319</v>
      </c>
      <c r="B321" s="2">
        <v>1244914</v>
      </c>
      <c r="C321" s="2">
        <v>32112995320029</v>
      </c>
      <c r="D321" s="2" t="s">
        <v>45</v>
      </c>
      <c r="E321" s="2">
        <v>5479474</v>
      </c>
      <c r="F321" s="2">
        <v>914467005</v>
      </c>
      <c r="G321" s="3">
        <v>36515</v>
      </c>
      <c r="H321" s="2" t="s">
        <v>422</v>
      </c>
      <c r="I321" s="2" t="s">
        <v>983</v>
      </c>
      <c r="J321" s="2" t="s">
        <v>390</v>
      </c>
      <c r="K321" s="2" t="s">
        <v>39</v>
      </c>
      <c r="L321" s="2" t="s">
        <v>27</v>
      </c>
      <c r="M321" s="2">
        <v>5340602</v>
      </c>
      <c r="N321" s="2" t="s">
        <v>628</v>
      </c>
      <c r="O321" s="2" t="s">
        <v>296</v>
      </c>
      <c r="P321" s="2" t="s">
        <v>629</v>
      </c>
      <c r="Q321" s="2" t="s">
        <v>363</v>
      </c>
      <c r="R321" s="2" t="s">
        <v>44</v>
      </c>
      <c r="S321" s="2">
        <v>8</v>
      </c>
      <c r="T321" s="2" t="s">
        <v>33</v>
      </c>
      <c r="U321" s="2" t="s">
        <v>34</v>
      </c>
      <c r="V321" s="32" t="s">
        <v>2722</v>
      </c>
      <c r="W321" s="20">
        <v>30000000</v>
      </c>
      <c r="X321" s="2" t="s">
        <v>2663</v>
      </c>
      <c r="Y321" s="30">
        <f t="shared" si="8"/>
        <v>29183229.600000001</v>
      </c>
      <c r="Z321" s="41">
        <f t="shared" si="9"/>
        <v>0.50690035340687123</v>
      </c>
    </row>
    <row r="322" spans="1:26" ht="26.25">
      <c r="A322" s="2">
        <v>320</v>
      </c>
      <c r="B322" s="2">
        <v>2791642</v>
      </c>
      <c r="C322" s="2">
        <v>51406026780029</v>
      </c>
      <c r="D322" s="2" t="s">
        <v>22</v>
      </c>
      <c r="E322" s="2">
        <v>1768776</v>
      </c>
      <c r="F322" s="2">
        <v>998018802</v>
      </c>
      <c r="G322" s="3">
        <v>37421</v>
      </c>
      <c r="H322" s="2" t="s">
        <v>984</v>
      </c>
      <c r="I322" s="2" t="s">
        <v>515</v>
      </c>
      <c r="J322" s="2" t="s">
        <v>985</v>
      </c>
      <c r="K322" s="2" t="s">
        <v>39</v>
      </c>
      <c r="L322" s="2" t="s">
        <v>27</v>
      </c>
      <c r="M322" s="2">
        <v>5340202</v>
      </c>
      <c r="N322" s="2" t="s">
        <v>499</v>
      </c>
      <c r="O322" s="2" t="s">
        <v>241</v>
      </c>
      <c r="P322" s="2" t="s">
        <v>490</v>
      </c>
      <c r="Q322" s="2" t="s">
        <v>81</v>
      </c>
      <c r="R322" s="2" t="s">
        <v>44</v>
      </c>
      <c r="S322" s="2">
        <v>8</v>
      </c>
      <c r="T322" s="2" t="s">
        <v>33</v>
      </c>
      <c r="U322" s="2" t="s">
        <v>34</v>
      </c>
      <c r="V322" s="32">
        <v>65759144</v>
      </c>
      <c r="Y322" s="30">
        <f t="shared" si="8"/>
        <v>65759144</v>
      </c>
      <c r="Z322" s="41">
        <f t="shared" si="9"/>
        <v>0</v>
      </c>
    </row>
    <row r="323" spans="1:26" ht="26.25">
      <c r="A323" s="2">
        <v>321</v>
      </c>
      <c r="B323" s="2">
        <v>1468562</v>
      </c>
      <c r="C323" s="2">
        <v>50407006120034</v>
      </c>
      <c r="D323" s="2" t="s">
        <v>45</v>
      </c>
      <c r="E323" s="2">
        <v>7144195</v>
      </c>
      <c r="F323" s="2">
        <v>945383580</v>
      </c>
      <c r="G323" s="3">
        <v>36711</v>
      </c>
      <c r="H323" s="2" t="s">
        <v>986</v>
      </c>
      <c r="I323" s="2" t="s">
        <v>987</v>
      </c>
      <c r="J323" s="2" t="s">
        <v>896</v>
      </c>
      <c r="K323" s="2" t="s">
        <v>39</v>
      </c>
      <c r="L323" s="2" t="s">
        <v>27</v>
      </c>
      <c r="M323" s="2">
        <v>5350701</v>
      </c>
      <c r="N323" s="2" t="s">
        <v>338</v>
      </c>
      <c r="O323" s="2" t="s">
        <v>350</v>
      </c>
      <c r="P323" s="2" t="s">
        <v>73</v>
      </c>
      <c r="Q323" s="5">
        <v>44471</v>
      </c>
      <c r="R323" s="2" t="s">
        <v>44</v>
      </c>
      <c r="S323" s="2">
        <v>8</v>
      </c>
      <c r="T323" s="2" t="s">
        <v>33</v>
      </c>
      <c r="U323" s="2" t="s">
        <v>34</v>
      </c>
      <c r="V323" s="32" t="s">
        <v>2729</v>
      </c>
      <c r="W323" s="21">
        <v>9398000</v>
      </c>
      <c r="X323" s="10" t="s">
        <v>2629</v>
      </c>
      <c r="Y323" s="30">
        <f t="shared" si="8"/>
        <v>9096759.25</v>
      </c>
      <c r="Z323" s="41">
        <f t="shared" si="9"/>
        <v>0.5081439489405627</v>
      </c>
    </row>
    <row r="324" spans="1:26" ht="26.25">
      <c r="A324" s="2">
        <v>322</v>
      </c>
      <c r="B324" s="2">
        <v>1517881</v>
      </c>
      <c r="C324" s="2">
        <v>52309005690012</v>
      </c>
      <c r="D324" s="2" t="s">
        <v>45</v>
      </c>
      <c r="E324" s="2">
        <v>5140509</v>
      </c>
      <c r="F324" s="2">
        <v>906162074</v>
      </c>
      <c r="G324" s="3">
        <v>36792</v>
      </c>
      <c r="H324" s="2" t="s">
        <v>988</v>
      </c>
      <c r="I324" s="2" t="s">
        <v>989</v>
      </c>
      <c r="J324" s="2" t="s">
        <v>454</v>
      </c>
      <c r="K324" s="2" t="s">
        <v>39</v>
      </c>
      <c r="L324" s="2" t="s">
        <v>27</v>
      </c>
      <c r="M324" s="2">
        <v>5310701</v>
      </c>
      <c r="N324" s="2" t="s">
        <v>118</v>
      </c>
      <c r="O324" s="2">
        <v>63</v>
      </c>
      <c r="P324" s="2" t="s">
        <v>123</v>
      </c>
      <c r="Q324" s="2" t="s">
        <v>253</v>
      </c>
      <c r="R324" s="2" t="s">
        <v>62</v>
      </c>
      <c r="S324" s="2">
        <v>8</v>
      </c>
      <c r="T324" s="2" t="s">
        <v>33</v>
      </c>
      <c r="U324" s="2" t="s">
        <v>34</v>
      </c>
      <c r="V324" s="32">
        <v>59781040</v>
      </c>
      <c r="Y324" s="30">
        <f t="shared" ref="Y324:Y387" si="10">V324-W324</f>
        <v>59781040</v>
      </c>
      <c r="Z324" s="41">
        <f t="shared" ref="Z324:Z387" si="11">W324/V324</f>
        <v>0</v>
      </c>
    </row>
    <row r="325" spans="1:26" ht="15.75">
      <c r="A325" s="2">
        <v>323</v>
      </c>
      <c r="B325" s="2">
        <v>3609761</v>
      </c>
      <c r="C325" s="2">
        <v>50808035610013</v>
      </c>
      <c r="D325" s="2" t="s">
        <v>22</v>
      </c>
      <c r="E325" s="2">
        <v>2566113</v>
      </c>
      <c r="F325" s="2">
        <v>999449482</v>
      </c>
      <c r="G325" s="3">
        <v>37841</v>
      </c>
      <c r="H325" s="2" t="s">
        <v>990</v>
      </c>
      <c r="I325" s="2" t="s">
        <v>991</v>
      </c>
      <c r="J325" s="2" t="s">
        <v>158</v>
      </c>
      <c r="K325" s="2" t="s">
        <v>26</v>
      </c>
      <c r="L325" s="2" t="s">
        <v>27</v>
      </c>
      <c r="M325" s="2">
        <v>5310202</v>
      </c>
      <c r="N325" s="2" t="s">
        <v>86</v>
      </c>
      <c r="O325" s="2" t="s">
        <v>60</v>
      </c>
      <c r="P325" s="2" t="s">
        <v>252</v>
      </c>
      <c r="Q325" s="2" t="s">
        <v>106</v>
      </c>
      <c r="R325" s="2" t="s">
        <v>53</v>
      </c>
      <c r="S325" s="2">
        <v>8</v>
      </c>
      <c r="T325" s="2" t="s">
        <v>33</v>
      </c>
      <c r="U325" s="2" t="s">
        <v>34</v>
      </c>
      <c r="V325" s="32">
        <v>46170792</v>
      </c>
      <c r="W325" s="21">
        <v>38500000</v>
      </c>
      <c r="X325" s="10" t="s">
        <v>2638</v>
      </c>
      <c r="Y325" s="30">
        <f t="shared" si="10"/>
        <v>7670792</v>
      </c>
      <c r="Z325" s="41">
        <f t="shared" si="11"/>
        <v>0.83386050644312104</v>
      </c>
    </row>
    <row r="326" spans="1:26">
      <c r="A326" s="2">
        <v>324</v>
      </c>
      <c r="B326" s="2">
        <v>2745503</v>
      </c>
      <c r="C326" s="2">
        <v>30710996500017</v>
      </c>
      <c r="D326" s="2" t="s">
        <v>45</v>
      </c>
      <c r="E326" s="2">
        <v>3285088</v>
      </c>
      <c r="F326" s="2">
        <v>998044019</v>
      </c>
      <c r="G326" s="3">
        <v>36440</v>
      </c>
      <c r="H326" s="2" t="s">
        <v>992</v>
      </c>
      <c r="I326" s="2" t="s">
        <v>993</v>
      </c>
      <c r="J326" s="2" t="s">
        <v>121</v>
      </c>
      <c r="K326" s="2" t="s">
        <v>39</v>
      </c>
      <c r="L326" s="2" t="s">
        <v>57</v>
      </c>
      <c r="M326" s="2">
        <v>5620101</v>
      </c>
      <c r="N326" s="2" t="s">
        <v>49</v>
      </c>
      <c r="O326" s="2" t="s">
        <v>122</v>
      </c>
      <c r="P326" s="2" t="s">
        <v>194</v>
      </c>
      <c r="Q326" s="4">
        <v>20394</v>
      </c>
      <c r="R326" s="2" t="s">
        <v>62</v>
      </c>
      <c r="S326" s="2">
        <v>8</v>
      </c>
      <c r="T326" s="2" t="s">
        <v>33</v>
      </c>
      <c r="U326" s="2" t="s">
        <v>34</v>
      </c>
      <c r="V326" s="32">
        <v>59781040</v>
      </c>
      <c r="Y326" s="30">
        <f t="shared" si="10"/>
        <v>59781040</v>
      </c>
      <c r="Z326" s="41">
        <f t="shared" si="11"/>
        <v>0</v>
      </c>
    </row>
    <row r="327" spans="1:26">
      <c r="A327" s="2">
        <v>325</v>
      </c>
      <c r="B327" s="2">
        <v>2713625</v>
      </c>
      <c r="C327" s="2">
        <v>32211930480016</v>
      </c>
      <c r="D327" s="2" t="s">
        <v>145</v>
      </c>
      <c r="E327" s="2">
        <v>3554302</v>
      </c>
      <c r="F327" s="2">
        <v>994293232</v>
      </c>
      <c r="G327" s="3">
        <v>34295</v>
      </c>
      <c r="H327" s="2" t="s">
        <v>994</v>
      </c>
      <c r="I327" s="2" t="s">
        <v>995</v>
      </c>
      <c r="J327" s="2" t="s">
        <v>305</v>
      </c>
      <c r="K327" s="2" t="s">
        <v>39</v>
      </c>
      <c r="L327" s="2" t="s">
        <v>57</v>
      </c>
      <c r="M327" s="2">
        <v>5620400</v>
      </c>
      <c r="N327" s="2" t="s">
        <v>103</v>
      </c>
      <c r="O327" s="2" t="s">
        <v>41</v>
      </c>
      <c r="P327" s="2" t="s">
        <v>139</v>
      </c>
      <c r="Q327" s="4">
        <v>45778</v>
      </c>
      <c r="R327" s="2" t="s">
        <v>62</v>
      </c>
      <c r="S327" s="2">
        <v>8</v>
      </c>
      <c r="T327" s="2" t="s">
        <v>33</v>
      </c>
      <c r="U327" s="2" t="s">
        <v>34</v>
      </c>
      <c r="V327" s="29">
        <v>53802936</v>
      </c>
      <c r="Y327" s="30">
        <f t="shared" si="10"/>
        <v>53802936</v>
      </c>
      <c r="Z327" s="41">
        <f t="shared" si="11"/>
        <v>0</v>
      </c>
    </row>
    <row r="328" spans="1:26" ht="39">
      <c r="A328" s="2">
        <v>326</v>
      </c>
      <c r="B328" s="2">
        <v>3555370</v>
      </c>
      <c r="C328" s="2">
        <v>30110977250012</v>
      </c>
      <c r="D328" s="2" t="s">
        <v>35</v>
      </c>
      <c r="E328" s="2">
        <v>95453</v>
      </c>
      <c r="F328" s="2">
        <v>991250944</v>
      </c>
      <c r="G328" s="3">
        <v>35704</v>
      </c>
      <c r="H328" s="2" t="s">
        <v>509</v>
      </c>
      <c r="I328" s="2" t="s">
        <v>996</v>
      </c>
      <c r="J328" s="2" t="s">
        <v>997</v>
      </c>
      <c r="K328" s="2" t="s">
        <v>26</v>
      </c>
      <c r="L328" s="2" t="s">
        <v>27</v>
      </c>
      <c r="M328" s="2">
        <v>5340401</v>
      </c>
      <c r="N328" s="2" t="s">
        <v>349</v>
      </c>
      <c r="O328" s="2" t="s">
        <v>60</v>
      </c>
      <c r="P328" s="2" t="s">
        <v>629</v>
      </c>
      <c r="Q328" s="2" t="s">
        <v>61</v>
      </c>
      <c r="R328" s="2" t="s">
        <v>93</v>
      </c>
      <c r="S328" s="2">
        <v>8</v>
      </c>
      <c r="T328" s="2" t="s">
        <v>33</v>
      </c>
      <c r="U328" s="2" t="s">
        <v>34</v>
      </c>
      <c r="V328" s="32">
        <v>56735520</v>
      </c>
      <c r="Y328" s="30">
        <f t="shared" si="10"/>
        <v>56735520</v>
      </c>
      <c r="Z328" s="41">
        <f t="shared" si="11"/>
        <v>0</v>
      </c>
    </row>
    <row r="329" spans="1:26" ht="26.25">
      <c r="A329" s="2">
        <v>327</v>
      </c>
      <c r="B329" s="2">
        <v>1437466</v>
      </c>
      <c r="C329" s="2">
        <v>32411966560052</v>
      </c>
      <c r="D329" s="2" t="s">
        <v>145</v>
      </c>
      <c r="E329" s="2">
        <v>6239014</v>
      </c>
      <c r="F329" s="2">
        <v>946176606</v>
      </c>
      <c r="G329" s="3">
        <v>35393</v>
      </c>
      <c r="H329" s="2" t="s">
        <v>900</v>
      </c>
      <c r="I329" s="2" t="s">
        <v>714</v>
      </c>
      <c r="J329" s="2" t="s">
        <v>594</v>
      </c>
      <c r="K329" s="2" t="s">
        <v>39</v>
      </c>
      <c r="L329" s="2" t="s">
        <v>57</v>
      </c>
      <c r="M329" s="2">
        <v>5620702</v>
      </c>
      <c r="N329" s="2" t="s">
        <v>159</v>
      </c>
      <c r="O329" s="2" t="s">
        <v>154</v>
      </c>
      <c r="P329" s="2" t="s">
        <v>139</v>
      </c>
      <c r="Q329" s="5">
        <v>44471</v>
      </c>
      <c r="R329" s="2" t="s">
        <v>62</v>
      </c>
      <c r="S329" s="2">
        <v>8</v>
      </c>
      <c r="T329" s="2" t="s">
        <v>33</v>
      </c>
      <c r="U329" s="2" t="s">
        <v>34</v>
      </c>
      <c r="V329" s="32">
        <v>18681575</v>
      </c>
      <c r="W329" s="21">
        <v>9342000</v>
      </c>
      <c r="X329" s="11" t="s">
        <v>2646</v>
      </c>
      <c r="Y329" s="30">
        <f t="shared" si="10"/>
        <v>9339575</v>
      </c>
      <c r="Z329" s="41">
        <f t="shared" si="11"/>
        <v>0.50006490352125021</v>
      </c>
    </row>
    <row r="330" spans="1:26" ht="26.25">
      <c r="A330" s="2">
        <v>328</v>
      </c>
      <c r="B330" s="2">
        <v>1673560</v>
      </c>
      <c r="C330" s="2">
        <v>51310006030069</v>
      </c>
      <c r="D330" s="2" t="s">
        <v>45</v>
      </c>
      <c r="E330" s="2">
        <v>6893034</v>
      </c>
      <c r="F330" s="2">
        <v>997035025</v>
      </c>
      <c r="G330" s="3">
        <v>36812</v>
      </c>
      <c r="H330" s="2" t="s">
        <v>998</v>
      </c>
      <c r="I330" s="2" t="s">
        <v>999</v>
      </c>
      <c r="J330" s="2" t="s">
        <v>1000</v>
      </c>
      <c r="K330" s="2" t="s">
        <v>26</v>
      </c>
      <c r="L330" s="2" t="s">
        <v>27</v>
      </c>
      <c r="M330" s="2">
        <v>5620701</v>
      </c>
      <c r="N330" s="2" t="s">
        <v>218</v>
      </c>
      <c r="O330" s="2" t="s">
        <v>87</v>
      </c>
      <c r="P330" s="2" t="s">
        <v>224</v>
      </c>
      <c r="Q330" s="2" t="s">
        <v>1001</v>
      </c>
      <c r="R330" s="2" t="s">
        <v>53</v>
      </c>
      <c r="S330" s="2">
        <v>8</v>
      </c>
      <c r="T330" s="2" t="s">
        <v>33</v>
      </c>
      <c r="U330" s="2" t="s">
        <v>34</v>
      </c>
      <c r="V330" s="32">
        <v>51300880</v>
      </c>
      <c r="Y330" s="30">
        <f t="shared" si="10"/>
        <v>51300880</v>
      </c>
      <c r="Z330" s="41">
        <f t="shared" si="11"/>
        <v>0</v>
      </c>
    </row>
    <row r="331" spans="1:26" ht="26.25">
      <c r="A331" s="2">
        <v>329</v>
      </c>
      <c r="B331" s="2">
        <v>2904773</v>
      </c>
      <c r="C331" s="2">
        <v>52604037050037</v>
      </c>
      <c r="D331" s="2" t="s">
        <v>22</v>
      </c>
      <c r="E331" s="2">
        <v>2879874</v>
      </c>
      <c r="F331" s="2">
        <v>912005113</v>
      </c>
      <c r="G331" s="3">
        <v>37737</v>
      </c>
      <c r="H331" s="2" t="s">
        <v>89</v>
      </c>
      <c r="I331" s="2" t="s">
        <v>1002</v>
      </c>
      <c r="J331" s="2" t="s">
        <v>1003</v>
      </c>
      <c r="K331" s="2" t="s">
        <v>26</v>
      </c>
      <c r="L331" s="2" t="s">
        <v>57</v>
      </c>
      <c r="M331" s="2">
        <v>5340606</v>
      </c>
      <c r="N331" s="2" t="s">
        <v>191</v>
      </c>
      <c r="O331" s="2" t="s">
        <v>433</v>
      </c>
      <c r="P331" s="2" t="s">
        <v>179</v>
      </c>
      <c r="Q331" s="4">
        <v>14824</v>
      </c>
      <c r="R331" s="2" t="s">
        <v>93</v>
      </c>
      <c r="S331" s="2">
        <v>8</v>
      </c>
      <c r="T331" s="2" t="s">
        <v>33</v>
      </c>
      <c r="U331" s="2" t="s">
        <v>34</v>
      </c>
      <c r="V331" s="32">
        <v>113471040</v>
      </c>
      <c r="Y331" s="30">
        <f t="shared" si="10"/>
        <v>113471040</v>
      </c>
      <c r="Z331" s="41">
        <f t="shared" si="11"/>
        <v>0</v>
      </c>
    </row>
    <row r="332" spans="1:26">
      <c r="A332" s="2">
        <v>330</v>
      </c>
      <c r="B332" s="2">
        <v>1706474</v>
      </c>
      <c r="C332" s="2">
        <v>30605997110034</v>
      </c>
      <c r="D332" s="2" t="s">
        <v>45</v>
      </c>
      <c r="E332" s="2">
        <v>3230341</v>
      </c>
      <c r="F332" s="2">
        <v>995684947</v>
      </c>
      <c r="G332" s="3">
        <v>36286</v>
      </c>
      <c r="H332" s="2" t="s">
        <v>1004</v>
      </c>
      <c r="I332" s="2" t="s">
        <v>1005</v>
      </c>
      <c r="J332" s="2" t="s">
        <v>259</v>
      </c>
      <c r="K332" s="2" t="s">
        <v>39</v>
      </c>
      <c r="L332" s="2" t="s">
        <v>57</v>
      </c>
      <c r="M332" s="2">
        <v>5310202</v>
      </c>
      <c r="N332" s="2" t="s">
        <v>86</v>
      </c>
      <c r="O332" s="2" t="s">
        <v>225</v>
      </c>
      <c r="P332" s="2" t="s">
        <v>154</v>
      </c>
      <c r="Q332" s="5">
        <v>44471</v>
      </c>
      <c r="R332" s="2" t="s">
        <v>62</v>
      </c>
      <c r="S332" s="2">
        <v>8</v>
      </c>
      <c r="T332" s="2" t="s">
        <v>33</v>
      </c>
      <c r="U332" s="2" t="s">
        <v>34</v>
      </c>
      <c r="V332" s="32">
        <v>18681575</v>
      </c>
      <c r="W332" s="20">
        <v>9400000</v>
      </c>
      <c r="X332" s="2" t="s">
        <v>2627</v>
      </c>
      <c r="Y332" s="30">
        <f t="shared" si="10"/>
        <v>9281575</v>
      </c>
      <c r="Z332" s="41">
        <f t="shared" si="11"/>
        <v>0.50316956680579661</v>
      </c>
    </row>
    <row r="333" spans="1:26" ht="26.25">
      <c r="A333" s="2">
        <v>331</v>
      </c>
      <c r="B333" s="2">
        <v>3022294</v>
      </c>
      <c r="C333" s="2">
        <v>32303922600059</v>
      </c>
      <c r="D333" s="2" t="s">
        <v>45</v>
      </c>
      <c r="E333" s="2">
        <v>6053254</v>
      </c>
      <c r="F333" s="2">
        <v>909601831</v>
      </c>
      <c r="G333" s="3">
        <v>33686</v>
      </c>
      <c r="H333" s="2" t="s">
        <v>463</v>
      </c>
      <c r="I333" s="2" t="s">
        <v>539</v>
      </c>
      <c r="J333" s="2" t="s">
        <v>1006</v>
      </c>
      <c r="K333" s="2" t="s">
        <v>39</v>
      </c>
      <c r="L333" s="2" t="s">
        <v>27</v>
      </c>
      <c r="M333" s="2">
        <v>5320102</v>
      </c>
      <c r="N333" s="2" t="s">
        <v>138</v>
      </c>
      <c r="O333" s="2">
        <v>63</v>
      </c>
      <c r="P333" s="2" t="s">
        <v>140</v>
      </c>
      <c r="Q333" s="4">
        <v>22251</v>
      </c>
      <c r="R333" s="2" t="s">
        <v>62</v>
      </c>
      <c r="S333" s="2">
        <v>8</v>
      </c>
      <c r="T333" s="2" t="s">
        <v>33</v>
      </c>
      <c r="U333" s="2" t="s">
        <v>34</v>
      </c>
      <c r="V333" s="32">
        <v>59781040</v>
      </c>
      <c r="Y333" s="30">
        <f t="shared" si="10"/>
        <v>59781040</v>
      </c>
      <c r="Z333" s="41">
        <f t="shared" si="11"/>
        <v>0</v>
      </c>
    </row>
    <row r="334" spans="1:26" ht="26.25">
      <c r="A334" s="2">
        <v>332</v>
      </c>
      <c r="B334" s="2">
        <v>3440487</v>
      </c>
      <c r="C334" s="2">
        <v>51710036700022</v>
      </c>
      <c r="D334" s="2" t="s">
        <v>22</v>
      </c>
      <c r="E334" s="2">
        <v>2774663</v>
      </c>
      <c r="F334" s="2">
        <v>996950497</v>
      </c>
      <c r="G334" s="3">
        <v>37911</v>
      </c>
      <c r="H334" s="2" t="s">
        <v>94</v>
      </c>
      <c r="I334" s="2" t="s">
        <v>467</v>
      </c>
      <c r="J334" s="2" t="s">
        <v>1007</v>
      </c>
      <c r="K334" s="2" t="s">
        <v>39</v>
      </c>
      <c r="L334" s="2" t="s">
        <v>27</v>
      </c>
      <c r="M334" s="2">
        <v>5340605</v>
      </c>
      <c r="N334" s="2" t="s">
        <v>40</v>
      </c>
      <c r="O334" s="2" t="s">
        <v>67</v>
      </c>
      <c r="P334" s="2" t="s">
        <v>42</v>
      </c>
      <c r="Q334" s="5">
        <v>44471</v>
      </c>
      <c r="R334" s="2" t="s">
        <v>44</v>
      </c>
      <c r="S334" s="2">
        <v>8</v>
      </c>
      <c r="T334" s="2" t="s">
        <v>33</v>
      </c>
      <c r="U334" s="2" t="s">
        <v>34</v>
      </c>
      <c r="V334" s="32" t="s">
        <v>2726</v>
      </c>
      <c r="W334" s="21">
        <v>10275000</v>
      </c>
      <c r="X334" s="11" t="s">
        <v>2629</v>
      </c>
      <c r="Y334" s="30">
        <f t="shared" si="10"/>
        <v>10274732.5</v>
      </c>
      <c r="Z334" s="41">
        <f t="shared" si="11"/>
        <v>0.50000650860053775</v>
      </c>
    </row>
    <row r="335" spans="1:26">
      <c r="A335" s="2">
        <v>333</v>
      </c>
      <c r="B335" s="2">
        <v>3598239</v>
      </c>
      <c r="C335" s="2">
        <v>51908045350040</v>
      </c>
      <c r="D335" s="2" t="s">
        <v>74</v>
      </c>
      <c r="E335" s="2">
        <v>215648</v>
      </c>
      <c r="F335" s="2">
        <v>978302656</v>
      </c>
      <c r="G335" s="3">
        <v>38218</v>
      </c>
      <c r="H335" s="2" t="s">
        <v>830</v>
      </c>
      <c r="I335" s="2" t="s">
        <v>24</v>
      </c>
      <c r="J335" s="2" t="s">
        <v>1008</v>
      </c>
      <c r="K335" s="2" t="s">
        <v>39</v>
      </c>
      <c r="L335" s="2" t="s">
        <v>27</v>
      </c>
      <c r="M335" s="2">
        <v>5310606</v>
      </c>
      <c r="N335" s="2" t="s">
        <v>72</v>
      </c>
      <c r="O335" s="2" t="s">
        <v>207</v>
      </c>
      <c r="P335" s="2" t="s">
        <v>73</v>
      </c>
      <c r="Q335" s="4">
        <v>18537</v>
      </c>
      <c r="R335" s="2" t="s">
        <v>62</v>
      </c>
      <c r="S335" s="2">
        <v>8</v>
      </c>
      <c r="T335" s="2" t="s">
        <v>33</v>
      </c>
      <c r="U335" s="2" t="s">
        <v>34</v>
      </c>
      <c r="V335" s="32">
        <v>59781040</v>
      </c>
      <c r="Y335" s="30">
        <f t="shared" si="10"/>
        <v>59781040</v>
      </c>
      <c r="Z335" s="41">
        <f t="shared" si="11"/>
        <v>0</v>
      </c>
    </row>
    <row r="336" spans="1:26">
      <c r="A336" s="2">
        <v>334</v>
      </c>
      <c r="B336" s="2">
        <v>1883005</v>
      </c>
      <c r="C336" s="2">
        <v>30703976310027</v>
      </c>
      <c r="D336" s="2" t="s">
        <v>145</v>
      </c>
      <c r="E336" s="2">
        <v>3711836</v>
      </c>
      <c r="F336" s="2">
        <v>993315754</v>
      </c>
      <c r="G336" s="3">
        <v>35496</v>
      </c>
      <c r="H336" s="2" t="s">
        <v>477</v>
      </c>
      <c r="I336" s="2" t="s">
        <v>626</v>
      </c>
      <c r="J336" s="2" t="s">
        <v>383</v>
      </c>
      <c r="K336" s="2" t="s">
        <v>39</v>
      </c>
      <c r="L336" s="2" t="s">
        <v>27</v>
      </c>
      <c r="M336" s="2">
        <v>5340603</v>
      </c>
      <c r="N336" s="2" t="s">
        <v>174</v>
      </c>
      <c r="O336" s="2" t="s">
        <v>225</v>
      </c>
      <c r="P336" s="2" t="s">
        <v>175</v>
      </c>
      <c r="Q336" s="4">
        <v>14824</v>
      </c>
      <c r="R336" s="2" t="s">
        <v>44</v>
      </c>
      <c r="S336" s="2">
        <v>8</v>
      </c>
      <c r="T336" s="2" t="s">
        <v>33</v>
      </c>
      <c r="U336" s="2" t="s">
        <v>34</v>
      </c>
      <c r="V336" s="32">
        <v>65759144</v>
      </c>
      <c r="Y336" s="30">
        <f t="shared" si="10"/>
        <v>65759144</v>
      </c>
      <c r="Z336" s="41">
        <f t="shared" si="11"/>
        <v>0</v>
      </c>
    </row>
    <row r="337" spans="1:26">
      <c r="A337" s="2">
        <v>335</v>
      </c>
      <c r="B337" s="2">
        <v>1310392</v>
      </c>
      <c r="C337" s="2">
        <v>51303025720048</v>
      </c>
      <c r="D337" s="2" t="s">
        <v>22</v>
      </c>
      <c r="E337" s="2">
        <v>1852457</v>
      </c>
      <c r="F337" s="2">
        <v>999403235</v>
      </c>
      <c r="G337" s="3">
        <v>37328</v>
      </c>
      <c r="H337" s="2" t="s">
        <v>841</v>
      </c>
      <c r="I337" s="2" t="s">
        <v>1009</v>
      </c>
      <c r="J337" s="2" t="s">
        <v>1010</v>
      </c>
      <c r="K337" s="2" t="s">
        <v>26</v>
      </c>
      <c r="L337" s="2" t="s">
        <v>27</v>
      </c>
      <c r="M337" s="2">
        <v>5230406</v>
      </c>
      <c r="N337" s="2" t="s">
        <v>635</v>
      </c>
      <c r="O337" s="2" t="s">
        <v>629</v>
      </c>
      <c r="P337" s="2" t="s">
        <v>68</v>
      </c>
      <c r="Q337" s="4">
        <v>43922</v>
      </c>
      <c r="R337" s="2" t="s">
        <v>134</v>
      </c>
      <c r="S337" s="2">
        <v>10</v>
      </c>
      <c r="T337" s="2" t="s">
        <v>33</v>
      </c>
      <c r="U337" s="2" t="s">
        <v>34</v>
      </c>
      <c r="V337" s="32">
        <v>91299300</v>
      </c>
      <c r="Y337" s="30">
        <f t="shared" si="10"/>
        <v>91299300</v>
      </c>
      <c r="Z337" s="41">
        <f t="shared" si="11"/>
        <v>0</v>
      </c>
    </row>
    <row r="338" spans="1:26" ht="39">
      <c r="A338" s="2">
        <v>336</v>
      </c>
      <c r="B338" s="2">
        <v>2852757</v>
      </c>
      <c r="C338" s="2">
        <v>51505025660012</v>
      </c>
      <c r="D338" s="2" t="s">
        <v>22</v>
      </c>
      <c r="E338" s="2">
        <v>2255047</v>
      </c>
      <c r="F338" s="2">
        <v>886707101</v>
      </c>
      <c r="G338" s="3">
        <v>37391</v>
      </c>
      <c r="H338" s="2" t="s">
        <v>606</v>
      </c>
      <c r="I338" s="2" t="s">
        <v>1011</v>
      </c>
      <c r="J338" s="2" t="s">
        <v>899</v>
      </c>
      <c r="K338" s="2" t="s">
        <v>26</v>
      </c>
      <c r="L338" s="2" t="s">
        <v>27</v>
      </c>
      <c r="M338" s="2">
        <v>5320200</v>
      </c>
      <c r="N338" s="2" t="s">
        <v>66</v>
      </c>
      <c r="O338" s="2" t="s">
        <v>179</v>
      </c>
      <c r="P338" s="2" t="s">
        <v>1012</v>
      </c>
      <c r="Q338" s="2" t="s">
        <v>578</v>
      </c>
      <c r="R338" s="2" t="s">
        <v>53</v>
      </c>
      <c r="S338" s="2">
        <v>8</v>
      </c>
      <c r="T338" s="2" t="s">
        <v>33</v>
      </c>
      <c r="U338" s="2" t="s">
        <v>34</v>
      </c>
      <c r="V338" s="32">
        <v>51300880</v>
      </c>
      <c r="W338" s="21">
        <v>26300880</v>
      </c>
      <c r="X338" s="10" t="s">
        <v>2636</v>
      </c>
      <c r="Y338" s="30">
        <f t="shared" si="10"/>
        <v>25000000</v>
      </c>
      <c r="Z338" s="41">
        <f t="shared" si="11"/>
        <v>0.51267892480596822</v>
      </c>
    </row>
    <row r="339" spans="1:26" ht="26.25">
      <c r="A339" s="2">
        <v>337</v>
      </c>
      <c r="B339" s="2">
        <v>2428872</v>
      </c>
      <c r="C339" s="2">
        <v>31007997230018</v>
      </c>
      <c r="D339" s="2" t="s">
        <v>35</v>
      </c>
      <c r="E339" s="2">
        <v>932241</v>
      </c>
      <c r="F339" s="2">
        <v>999004087</v>
      </c>
      <c r="G339" s="3">
        <v>36351</v>
      </c>
      <c r="H339" s="2" t="s">
        <v>46</v>
      </c>
      <c r="I339" s="2" t="s">
        <v>1013</v>
      </c>
      <c r="J339" s="2" t="s">
        <v>1014</v>
      </c>
      <c r="K339" s="2" t="s">
        <v>26</v>
      </c>
      <c r="L339" s="2" t="s">
        <v>57</v>
      </c>
      <c r="M339" s="2">
        <v>5310701</v>
      </c>
      <c r="N339" s="2" t="s">
        <v>118</v>
      </c>
      <c r="O339" s="2" t="s">
        <v>60</v>
      </c>
      <c r="P339" s="2">
        <v>63</v>
      </c>
      <c r="Q339" s="4">
        <v>11110</v>
      </c>
      <c r="R339" s="2" t="s">
        <v>53</v>
      </c>
      <c r="S339" s="2">
        <v>8</v>
      </c>
      <c r="T339" s="2" t="s">
        <v>33</v>
      </c>
      <c r="U339" s="2" t="s">
        <v>34</v>
      </c>
      <c r="V339" s="32">
        <v>51300880</v>
      </c>
      <c r="Y339" s="30">
        <f t="shared" si="10"/>
        <v>51300880</v>
      </c>
      <c r="Z339" s="41">
        <f t="shared" si="11"/>
        <v>0</v>
      </c>
    </row>
    <row r="340" spans="1:26" ht="26.25">
      <c r="A340" s="2">
        <v>338</v>
      </c>
      <c r="B340" s="2">
        <v>3709552</v>
      </c>
      <c r="C340" s="2">
        <v>51009036070010</v>
      </c>
      <c r="D340" s="2" t="s">
        <v>22</v>
      </c>
      <c r="E340" s="2">
        <v>2325343</v>
      </c>
      <c r="F340" s="2">
        <v>993139726</v>
      </c>
      <c r="G340" s="3">
        <v>37874</v>
      </c>
      <c r="H340" s="2" t="s">
        <v>1015</v>
      </c>
      <c r="I340" s="2" t="s">
        <v>1016</v>
      </c>
      <c r="J340" s="2" t="s">
        <v>1017</v>
      </c>
      <c r="K340" s="2" t="s">
        <v>26</v>
      </c>
      <c r="L340" s="2" t="s">
        <v>27</v>
      </c>
      <c r="M340" s="2">
        <v>5320301</v>
      </c>
      <c r="N340" s="2" t="s">
        <v>1018</v>
      </c>
      <c r="O340" s="2" t="s">
        <v>67</v>
      </c>
      <c r="P340" s="2" t="s">
        <v>73</v>
      </c>
      <c r="Q340" s="4">
        <v>42064</v>
      </c>
      <c r="R340" s="2" t="s">
        <v>53</v>
      </c>
      <c r="S340" s="2">
        <v>8</v>
      </c>
      <c r="T340" s="2" t="s">
        <v>33</v>
      </c>
      <c r="U340" s="2" t="s">
        <v>34</v>
      </c>
      <c r="V340" s="32">
        <v>19237830</v>
      </c>
      <c r="Y340" s="30">
        <f t="shared" si="10"/>
        <v>19237830</v>
      </c>
      <c r="Z340" s="41">
        <f t="shared" si="11"/>
        <v>0</v>
      </c>
    </row>
    <row r="341" spans="1:26" ht="26.25">
      <c r="A341" s="2">
        <v>339</v>
      </c>
      <c r="B341" s="2">
        <v>2437130</v>
      </c>
      <c r="C341" s="2">
        <v>32507985720028</v>
      </c>
      <c r="D341" s="2" t="s">
        <v>45</v>
      </c>
      <c r="E341" s="2">
        <v>1581332</v>
      </c>
      <c r="F341" s="2">
        <v>881080737</v>
      </c>
      <c r="G341" s="3">
        <v>36001</v>
      </c>
      <c r="H341" s="2" t="s">
        <v>1019</v>
      </c>
      <c r="I341" s="2" t="s">
        <v>1020</v>
      </c>
      <c r="J341" s="2" t="s">
        <v>538</v>
      </c>
      <c r="K341" s="2" t="s">
        <v>39</v>
      </c>
      <c r="L341" s="2" t="s">
        <v>27</v>
      </c>
      <c r="M341" s="2">
        <v>5340605</v>
      </c>
      <c r="N341" s="2" t="s">
        <v>40</v>
      </c>
      <c r="O341" s="2" t="s">
        <v>223</v>
      </c>
      <c r="P341" s="2" t="s">
        <v>42</v>
      </c>
      <c r="Q341" s="2" t="s">
        <v>500</v>
      </c>
      <c r="R341" s="2" t="s">
        <v>44</v>
      </c>
      <c r="S341" s="2">
        <v>8</v>
      </c>
      <c r="T341" s="2" t="s">
        <v>33</v>
      </c>
      <c r="U341" s="2" t="s">
        <v>34</v>
      </c>
      <c r="V341" s="32">
        <v>131518288</v>
      </c>
      <c r="Y341" s="30">
        <f t="shared" si="10"/>
        <v>131518288</v>
      </c>
      <c r="Z341" s="41">
        <f t="shared" si="11"/>
        <v>0</v>
      </c>
    </row>
    <row r="342" spans="1:26" ht="26.25">
      <c r="A342" s="2">
        <v>340</v>
      </c>
      <c r="B342" s="2">
        <v>1020262</v>
      </c>
      <c r="C342" s="2">
        <v>50109016120135</v>
      </c>
      <c r="D342" s="2" t="s">
        <v>45</v>
      </c>
      <c r="E342" s="2">
        <v>8854444</v>
      </c>
      <c r="F342" s="2">
        <v>915322477</v>
      </c>
      <c r="G342" s="3">
        <v>37135</v>
      </c>
      <c r="H342" s="2" t="s">
        <v>509</v>
      </c>
      <c r="I342" s="2" t="s">
        <v>1021</v>
      </c>
      <c r="J342" s="2" t="s">
        <v>471</v>
      </c>
      <c r="K342" s="2" t="s">
        <v>39</v>
      </c>
      <c r="L342" s="2" t="s">
        <v>27</v>
      </c>
      <c r="M342" s="2">
        <v>5320102</v>
      </c>
      <c r="N342" s="2" t="s">
        <v>138</v>
      </c>
      <c r="O342" s="2" t="s">
        <v>149</v>
      </c>
      <c r="P342" s="2" t="s">
        <v>140</v>
      </c>
      <c r="Q342" s="4">
        <v>42064</v>
      </c>
      <c r="R342" s="2" t="s">
        <v>62</v>
      </c>
      <c r="S342" s="2">
        <v>8</v>
      </c>
      <c r="T342" s="2" t="s">
        <v>33</v>
      </c>
      <c r="U342" s="2" t="s">
        <v>34</v>
      </c>
      <c r="V342" s="32">
        <v>22417890</v>
      </c>
      <c r="W342" s="21">
        <v>11209000</v>
      </c>
      <c r="X342" s="11" t="s">
        <v>2630</v>
      </c>
      <c r="Y342" s="30">
        <f t="shared" si="10"/>
        <v>11208890</v>
      </c>
      <c r="Z342" s="41">
        <f t="shared" si="11"/>
        <v>0.50000245339771054</v>
      </c>
    </row>
    <row r="343" spans="1:26" ht="26.25">
      <c r="A343" s="2">
        <v>341</v>
      </c>
      <c r="B343" s="2">
        <v>3414361</v>
      </c>
      <c r="C343" s="2">
        <v>50308037440013</v>
      </c>
      <c r="D343" s="2" t="s">
        <v>22</v>
      </c>
      <c r="E343" s="2">
        <v>2254051</v>
      </c>
      <c r="F343" s="2">
        <v>937908539</v>
      </c>
      <c r="G343" s="3">
        <v>37836</v>
      </c>
      <c r="H343" s="2" t="s">
        <v>183</v>
      </c>
      <c r="I343" s="2" t="s">
        <v>181</v>
      </c>
      <c r="J343" s="2" t="s">
        <v>38</v>
      </c>
      <c r="K343" s="2" t="s">
        <v>26</v>
      </c>
      <c r="L343" s="2" t="s">
        <v>27</v>
      </c>
      <c r="M343" s="2">
        <v>5620701</v>
      </c>
      <c r="N343" s="2" t="s">
        <v>218</v>
      </c>
      <c r="O343" s="2" t="s">
        <v>88</v>
      </c>
      <c r="P343" s="2" t="s">
        <v>224</v>
      </c>
      <c r="Q343" s="2" t="s">
        <v>439</v>
      </c>
      <c r="R343" s="2" t="s">
        <v>53</v>
      </c>
      <c r="S343" s="2">
        <v>8</v>
      </c>
      <c r="T343" s="2" t="s">
        <v>33</v>
      </c>
      <c r="U343" s="2" t="s">
        <v>34</v>
      </c>
      <c r="V343" s="32">
        <v>46170792</v>
      </c>
      <c r="W343" s="21">
        <f>15000000+10655000</f>
        <v>25655000</v>
      </c>
      <c r="X343" s="10">
        <v>25.1021</v>
      </c>
      <c r="Y343" s="30">
        <f t="shared" si="10"/>
        <v>20515792</v>
      </c>
      <c r="Z343" s="41">
        <f t="shared" si="11"/>
        <v>0.55565431929346154</v>
      </c>
    </row>
    <row r="344" spans="1:26">
      <c r="A344" s="2">
        <v>342</v>
      </c>
      <c r="B344" s="2">
        <v>3477818</v>
      </c>
      <c r="C344" s="2">
        <v>51608036580015</v>
      </c>
      <c r="D344" s="2" t="s">
        <v>22</v>
      </c>
      <c r="E344" s="2">
        <v>2164245</v>
      </c>
      <c r="F344" s="2">
        <v>935946490</v>
      </c>
      <c r="G344" s="3">
        <v>37849</v>
      </c>
      <c r="H344" s="2" t="s">
        <v>1004</v>
      </c>
      <c r="I344" s="2" t="s">
        <v>1022</v>
      </c>
      <c r="J344" s="2" t="s">
        <v>1023</v>
      </c>
      <c r="K344" s="2" t="s">
        <v>26</v>
      </c>
      <c r="L344" s="2" t="s">
        <v>27</v>
      </c>
      <c r="M344" s="2">
        <v>5230407</v>
      </c>
      <c r="N344" s="2" t="s">
        <v>186</v>
      </c>
      <c r="O344" s="2" t="s">
        <v>73</v>
      </c>
      <c r="P344" s="2" t="s">
        <v>187</v>
      </c>
      <c r="Q344" s="4">
        <v>14824</v>
      </c>
      <c r="R344" s="2" t="s">
        <v>134</v>
      </c>
      <c r="S344" s="2">
        <v>10</v>
      </c>
      <c r="T344" s="2" t="s">
        <v>33</v>
      </c>
      <c r="U344" s="2" t="s">
        <v>34</v>
      </c>
      <c r="V344" s="32">
        <v>91299300</v>
      </c>
      <c r="Y344" s="30">
        <f t="shared" si="10"/>
        <v>91299300</v>
      </c>
      <c r="Z344" s="41">
        <f t="shared" si="11"/>
        <v>0</v>
      </c>
    </row>
    <row r="345" spans="1:26">
      <c r="A345" s="2">
        <v>343</v>
      </c>
      <c r="B345" s="2">
        <v>3609411</v>
      </c>
      <c r="C345" s="2">
        <v>52301036260079</v>
      </c>
      <c r="D345" s="2" t="s">
        <v>22</v>
      </c>
      <c r="E345" s="2">
        <v>2349239</v>
      </c>
      <c r="F345" s="2">
        <v>995689869</v>
      </c>
      <c r="G345" s="3">
        <v>37644</v>
      </c>
      <c r="H345" s="2" t="s">
        <v>592</v>
      </c>
      <c r="I345" s="2" t="s">
        <v>1024</v>
      </c>
      <c r="J345" s="2" t="s">
        <v>723</v>
      </c>
      <c r="K345" s="2" t="s">
        <v>26</v>
      </c>
      <c r="L345" s="2" t="s">
        <v>27</v>
      </c>
      <c r="M345" s="2">
        <v>5620101</v>
      </c>
      <c r="N345" s="2" t="s">
        <v>49</v>
      </c>
      <c r="O345" s="2" t="s">
        <v>194</v>
      </c>
      <c r="P345" s="2" t="s">
        <v>51</v>
      </c>
      <c r="Q345" s="2" t="s">
        <v>709</v>
      </c>
      <c r="R345" s="2" t="s">
        <v>53</v>
      </c>
      <c r="S345" s="2">
        <v>8</v>
      </c>
      <c r="T345" s="2" t="s">
        <v>33</v>
      </c>
      <c r="U345" s="2" t="s">
        <v>34</v>
      </c>
      <c r="V345" s="29">
        <v>46170792</v>
      </c>
      <c r="W345" s="20">
        <v>23100000</v>
      </c>
      <c r="X345" s="2" t="s">
        <v>2686</v>
      </c>
      <c r="Y345" s="30">
        <f t="shared" si="10"/>
        <v>23070792</v>
      </c>
      <c r="Z345" s="41">
        <f t="shared" si="11"/>
        <v>0.50031630386587256</v>
      </c>
    </row>
    <row r="346" spans="1:26" ht="26.25">
      <c r="A346" s="2">
        <v>344</v>
      </c>
      <c r="B346" s="2">
        <v>1061433</v>
      </c>
      <c r="C346" s="2">
        <v>32608977400017</v>
      </c>
      <c r="D346" s="2" t="s">
        <v>145</v>
      </c>
      <c r="E346" s="2">
        <v>8882231</v>
      </c>
      <c r="F346" s="2">
        <v>994339223</v>
      </c>
      <c r="G346" s="3">
        <v>35668</v>
      </c>
      <c r="H346" s="2" t="s">
        <v>1025</v>
      </c>
      <c r="I346" s="2" t="s">
        <v>451</v>
      </c>
      <c r="J346" s="2" t="s">
        <v>1026</v>
      </c>
      <c r="K346" s="2" t="s">
        <v>39</v>
      </c>
      <c r="L346" s="2" t="s">
        <v>27</v>
      </c>
      <c r="M346" s="2">
        <v>5620701</v>
      </c>
      <c r="N346" s="2" t="s">
        <v>218</v>
      </c>
      <c r="O346" s="2" t="s">
        <v>99</v>
      </c>
      <c r="P346" s="2" t="s">
        <v>219</v>
      </c>
      <c r="Q346" s="2" t="s">
        <v>818</v>
      </c>
      <c r="R346" s="2" t="s">
        <v>62</v>
      </c>
      <c r="S346" s="2">
        <v>8</v>
      </c>
      <c r="T346" s="2" t="s">
        <v>33</v>
      </c>
      <c r="U346" s="2" t="s">
        <v>34</v>
      </c>
      <c r="V346" s="32">
        <v>119562080</v>
      </c>
      <c r="Y346" s="30">
        <f t="shared" si="10"/>
        <v>119562080</v>
      </c>
      <c r="Z346" s="41">
        <f t="shared" si="11"/>
        <v>0</v>
      </c>
    </row>
    <row r="347" spans="1:26" ht="26.25">
      <c r="A347" s="2">
        <v>345</v>
      </c>
      <c r="B347" s="2">
        <v>2685318</v>
      </c>
      <c r="C347" s="2">
        <v>50701026090055</v>
      </c>
      <c r="D347" s="2" t="s">
        <v>22</v>
      </c>
      <c r="E347" s="2">
        <v>1084004</v>
      </c>
      <c r="F347" s="2">
        <v>944203131</v>
      </c>
      <c r="G347" s="3">
        <v>37263</v>
      </c>
      <c r="H347" s="2" t="s">
        <v>1027</v>
      </c>
      <c r="I347" s="2" t="s">
        <v>1028</v>
      </c>
      <c r="J347" s="2" t="s">
        <v>1029</v>
      </c>
      <c r="K347" s="2" t="s">
        <v>26</v>
      </c>
      <c r="L347" s="2" t="s">
        <v>27</v>
      </c>
      <c r="M347" s="2">
        <v>5620701</v>
      </c>
      <c r="N347" s="2" t="s">
        <v>218</v>
      </c>
      <c r="O347" s="2" t="s">
        <v>211</v>
      </c>
      <c r="P347" s="2" t="s">
        <v>224</v>
      </c>
      <c r="Q347" s="2" t="s">
        <v>605</v>
      </c>
      <c r="R347" s="2" t="s">
        <v>53</v>
      </c>
      <c r="S347" s="2">
        <v>8</v>
      </c>
      <c r="T347" s="2" t="s">
        <v>33</v>
      </c>
      <c r="U347" s="2" t="s">
        <v>34</v>
      </c>
      <c r="V347" s="32">
        <v>92341584</v>
      </c>
      <c r="W347" s="21">
        <v>50001000</v>
      </c>
      <c r="X347" s="11" t="s">
        <v>2624</v>
      </c>
      <c r="Y347" s="30">
        <f t="shared" si="10"/>
        <v>42340584</v>
      </c>
      <c r="Z347" s="41">
        <f t="shared" si="11"/>
        <v>0.54147869068392851</v>
      </c>
    </row>
    <row r="348" spans="1:26">
      <c r="A348" s="2">
        <v>346</v>
      </c>
      <c r="B348" s="2">
        <v>1092407</v>
      </c>
      <c r="C348" s="2">
        <v>30104976780034</v>
      </c>
      <c r="D348" s="2" t="s">
        <v>145</v>
      </c>
      <c r="E348" s="2">
        <v>1223600</v>
      </c>
      <c r="F348" s="2">
        <v>993044618</v>
      </c>
      <c r="G348" s="3">
        <v>35521</v>
      </c>
      <c r="H348" s="2" t="s">
        <v>1030</v>
      </c>
      <c r="I348" s="2" t="s">
        <v>1031</v>
      </c>
      <c r="J348" s="2" t="s">
        <v>1032</v>
      </c>
      <c r="K348" s="2" t="s">
        <v>39</v>
      </c>
      <c r="L348" s="2" t="s">
        <v>27</v>
      </c>
      <c r="M348" s="2">
        <v>5620400</v>
      </c>
      <c r="N348" s="2" t="s">
        <v>103</v>
      </c>
      <c r="O348" s="2" t="s">
        <v>198</v>
      </c>
      <c r="P348" s="2" t="s">
        <v>123</v>
      </c>
      <c r="Q348" s="2" t="s">
        <v>59</v>
      </c>
      <c r="R348" s="2" t="s">
        <v>62</v>
      </c>
      <c r="S348" s="2">
        <v>8</v>
      </c>
      <c r="T348" s="2" t="s">
        <v>33</v>
      </c>
      <c r="U348" s="2" t="s">
        <v>34</v>
      </c>
      <c r="V348" s="32">
        <v>59781040</v>
      </c>
      <c r="Y348" s="30">
        <f t="shared" si="10"/>
        <v>59781040</v>
      </c>
      <c r="Z348" s="41">
        <f t="shared" si="11"/>
        <v>0</v>
      </c>
    </row>
    <row r="349" spans="1:26" ht="26.25">
      <c r="A349" s="2">
        <v>347</v>
      </c>
      <c r="B349" s="2">
        <v>1498863</v>
      </c>
      <c r="C349" s="2">
        <v>52408016080048</v>
      </c>
      <c r="D349" s="2" t="s">
        <v>45</v>
      </c>
      <c r="E349" s="2">
        <v>8579981</v>
      </c>
      <c r="F349" s="2">
        <v>901989003</v>
      </c>
      <c r="G349" s="3">
        <v>37127</v>
      </c>
      <c r="H349" s="2" t="s">
        <v>633</v>
      </c>
      <c r="I349" s="2" t="s">
        <v>1033</v>
      </c>
      <c r="J349" s="2" t="s">
        <v>1034</v>
      </c>
      <c r="K349" s="2" t="s">
        <v>39</v>
      </c>
      <c r="L349" s="2" t="s">
        <v>27</v>
      </c>
      <c r="M349" s="2">
        <v>5640202</v>
      </c>
      <c r="N349" s="2" t="s">
        <v>240</v>
      </c>
      <c r="O349" s="2" t="s">
        <v>67</v>
      </c>
      <c r="P349" s="2" t="s">
        <v>241</v>
      </c>
      <c r="Q349" s="4">
        <v>45778</v>
      </c>
      <c r="R349" s="2" t="s">
        <v>62</v>
      </c>
      <c r="S349" s="2">
        <v>8</v>
      </c>
      <c r="T349" s="2" t="s">
        <v>33</v>
      </c>
      <c r="U349" s="2" t="s">
        <v>34</v>
      </c>
      <c r="V349" s="32">
        <v>59781040</v>
      </c>
      <c r="Y349" s="30">
        <f t="shared" si="10"/>
        <v>59781040</v>
      </c>
      <c r="Z349" s="41">
        <f t="shared" si="11"/>
        <v>0</v>
      </c>
    </row>
    <row r="350" spans="1:26">
      <c r="A350" s="2">
        <v>348</v>
      </c>
      <c r="B350" s="2">
        <v>3079012</v>
      </c>
      <c r="C350" s="2">
        <v>42812833470020</v>
      </c>
      <c r="D350" s="2" t="s">
        <v>35</v>
      </c>
      <c r="E350" s="2">
        <v>90666</v>
      </c>
      <c r="F350" s="2">
        <v>905948412</v>
      </c>
      <c r="G350" s="3">
        <v>30678</v>
      </c>
      <c r="H350" s="2" t="s">
        <v>176</v>
      </c>
      <c r="I350" s="2" t="s">
        <v>1035</v>
      </c>
      <c r="J350" s="2" t="s">
        <v>1036</v>
      </c>
      <c r="K350" s="2" t="s">
        <v>39</v>
      </c>
      <c r="L350" s="2" t="s">
        <v>27</v>
      </c>
      <c r="M350" s="2">
        <v>5230104</v>
      </c>
      <c r="N350" s="2" t="s">
        <v>78</v>
      </c>
      <c r="O350" s="2" t="s">
        <v>60</v>
      </c>
      <c r="P350" s="2" t="s">
        <v>80</v>
      </c>
      <c r="Q350" s="2" t="s">
        <v>99</v>
      </c>
      <c r="R350" s="2" t="s">
        <v>82</v>
      </c>
      <c r="S350" s="2">
        <v>10</v>
      </c>
      <c r="T350" s="2" t="s">
        <v>33</v>
      </c>
      <c r="U350" s="2" t="s">
        <v>34</v>
      </c>
      <c r="V350" s="32">
        <v>104616820</v>
      </c>
      <c r="Y350" s="30">
        <f t="shared" si="10"/>
        <v>104616820</v>
      </c>
      <c r="Z350" s="41">
        <f t="shared" si="11"/>
        <v>0</v>
      </c>
    </row>
    <row r="351" spans="1:26" ht="26.25">
      <c r="A351" s="2">
        <v>349</v>
      </c>
      <c r="B351" s="2">
        <v>2297228</v>
      </c>
      <c r="C351" s="2">
        <v>50410025740017</v>
      </c>
      <c r="D351" s="2" t="s">
        <v>22</v>
      </c>
      <c r="E351" s="2">
        <v>372724</v>
      </c>
      <c r="F351" s="2">
        <v>914608398</v>
      </c>
      <c r="G351" s="3">
        <v>37533</v>
      </c>
      <c r="H351" s="2" t="s">
        <v>107</v>
      </c>
      <c r="I351" s="2" t="s">
        <v>1037</v>
      </c>
      <c r="J351" s="2" t="s">
        <v>1038</v>
      </c>
      <c r="K351" s="2" t="s">
        <v>39</v>
      </c>
      <c r="L351" s="2" t="s">
        <v>57</v>
      </c>
      <c r="M351" s="2">
        <v>5350701</v>
      </c>
      <c r="N351" s="2" t="s">
        <v>338</v>
      </c>
      <c r="O351" s="2">
        <v>63</v>
      </c>
      <c r="P351" s="2" t="s">
        <v>104</v>
      </c>
      <c r="Q351" s="4">
        <v>43922</v>
      </c>
      <c r="R351" s="2" t="s">
        <v>44</v>
      </c>
      <c r="S351" s="2">
        <v>8</v>
      </c>
      <c r="T351" s="2" t="s">
        <v>33</v>
      </c>
      <c r="U351" s="2" t="s">
        <v>34</v>
      </c>
      <c r="V351" s="32">
        <v>65759144</v>
      </c>
      <c r="Y351" s="30">
        <f t="shared" si="10"/>
        <v>65759144</v>
      </c>
      <c r="Z351" s="41">
        <f t="shared" si="11"/>
        <v>0</v>
      </c>
    </row>
    <row r="352" spans="1:26" ht="26.25">
      <c r="A352" s="2">
        <v>350</v>
      </c>
      <c r="B352" s="2">
        <v>2166788</v>
      </c>
      <c r="C352" s="2">
        <v>52903016100036</v>
      </c>
      <c r="D352" s="2" t="s">
        <v>45</v>
      </c>
      <c r="E352" s="2">
        <v>6458771</v>
      </c>
      <c r="F352" s="2">
        <v>996264669</v>
      </c>
      <c r="G352" s="3">
        <v>36979</v>
      </c>
      <c r="H352" s="2" t="s">
        <v>119</v>
      </c>
      <c r="I352" s="2" t="s">
        <v>410</v>
      </c>
      <c r="J352" s="2" t="s">
        <v>1039</v>
      </c>
      <c r="K352" s="2" t="s">
        <v>39</v>
      </c>
      <c r="L352" s="2" t="s">
        <v>57</v>
      </c>
      <c r="M352" s="2">
        <v>5310701</v>
      </c>
      <c r="N352" s="2" t="s">
        <v>118</v>
      </c>
      <c r="O352" s="2" t="s">
        <v>50</v>
      </c>
      <c r="P352" s="2" t="s">
        <v>207</v>
      </c>
      <c r="Q352" s="2" t="s">
        <v>170</v>
      </c>
      <c r="R352" s="2" t="s">
        <v>62</v>
      </c>
      <c r="S352" s="2">
        <v>8</v>
      </c>
      <c r="T352" s="2" t="s">
        <v>33</v>
      </c>
      <c r="U352" s="2" t="s">
        <v>34</v>
      </c>
      <c r="V352" s="32">
        <v>119562080</v>
      </c>
      <c r="Y352" s="30">
        <f t="shared" si="10"/>
        <v>119562080</v>
      </c>
      <c r="Z352" s="41">
        <f t="shared" si="11"/>
        <v>0</v>
      </c>
    </row>
    <row r="353" spans="1:26" ht="26.25">
      <c r="A353" s="2">
        <v>351</v>
      </c>
      <c r="B353" s="2">
        <v>3288630</v>
      </c>
      <c r="C353" s="2">
        <v>52106036810011</v>
      </c>
      <c r="D353" s="2" t="s">
        <v>22</v>
      </c>
      <c r="E353" s="2">
        <v>2014348</v>
      </c>
      <c r="F353" s="2">
        <v>990008704</v>
      </c>
      <c r="G353" s="3">
        <v>37793</v>
      </c>
      <c r="H353" s="2" t="s">
        <v>146</v>
      </c>
      <c r="I353" s="2" t="s">
        <v>1040</v>
      </c>
      <c r="J353" s="2" t="s">
        <v>148</v>
      </c>
      <c r="K353" s="2" t="s">
        <v>26</v>
      </c>
      <c r="L353" s="2" t="s">
        <v>27</v>
      </c>
      <c r="M353" s="2">
        <v>5310607</v>
      </c>
      <c r="N353" s="2" t="s">
        <v>1041</v>
      </c>
      <c r="O353" s="2" t="s">
        <v>469</v>
      </c>
      <c r="P353" s="2" t="s">
        <v>350</v>
      </c>
      <c r="Q353" s="2" t="s">
        <v>59</v>
      </c>
      <c r="R353" s="2" t="s">
        <v>53</v>
      </c>
      <c r="S353" s="2">
        <v>8</v>
      </c>
      <c r="T353" s="2" t="s">
        <v>33</v>
      </c>
      <c r="U353" s="2" t="s">
        <v>34</v>
      </c>
      <c r="V353" s="32">
        <v>102601760</v>
      </c>
      <c r="Y353" s="30">
        <f t="shared" si="10"/>
        <v>102601760</v>
      </c>
      <c r="Z353" s="41">
        <f t="shared" si="11"/>
        <v>0</v>
      </c>
    </row>
    <row r="354" spans="1:26" ht="26.25">
      <c r="A354" s="2">
        <v>352</v>
      </c>
      <c r="B354" s="2">
        <v>2026476</v>
      </c>
      <c r="C354" s="2">
        <v>30404976860027</v>
      </c>
      <c r="D354" s="2" t="s">
        <v>145</v>
      </c>
      <c r="E354" s="2">
        <v>1222976</v>
      </c>
      <c r="F354" s="2">
        <v>998679876</v>
      </c>
      <c r="G354" s="3">
        <v>35524</v>
      </c>
      <c r="H354" s="2" t="s">
        <v>180</v>
      </c>
      <c r="I354" s="2" t="s">
        <v>1042</v>
      </c>
      <c r="J354" s="2" t="s">
        <v>1043</v>
      </c>
      <c r="K354" s="2" t="s">
        <v>39</v>
      </c>
      <c r="L354" s="2" t="s">
        <v>57</v>
      </c>
      <c r="M354" s="2">
        <v>5310605</v>
      </c>
      <c r="N354" s="2" t="s">
        <v>97</v>
      </c>
      <c r="O354" s="2" t="s">
        <v>296</v>
      </c>
      <c r="P354" s="2" t="s">
        <v>154</v>
      </c>
      <c r="Q354" s="4">
        <v>14824</v>
      </c>
      <c r="R354" s="2" t="s">
        <v>62</v>
      </c>
      <c r="S354" s="2">
        <v>8</v>
      </c>
      <c r="T354" s="2" t="s">
        <v>33</v>
      </c>
      <c r="U354" s="2" t="s">
        <v>34</v>
      </c>
      <c r="V354" s="32">
        <v>59781040</v>
      </c>
      <c r="Y354" s="30">
        <f t="shared" si="10"/>
        <v>59781040</v>
      </c>
      <c r="Z354" s="41">
        <f t="shared" si="11"/>
        <v>0</v>
      </c>
    </row>
    <row r="355" spans="1:26">
      <c r="A355" s="2">
        <v>353</v>
      </c>
      <c r="B355" s="2">
        <v>3358944</v>
      </c>
      <c r="C355" s="2">
        <v>51001046180011</v>
      </c>
      <c r="D355" s="2" t="s">
        <v>22</v>
      </c>
      <c r="E355" s="2">
        <v>2673448</v>
      </c>
      <c r="F355" s="2">
        <v>915513035</v>
      </c>
      <c r="G355" s="3">
        <v>37996</v>
      </c>
      <c r="H355" s="2" t="s">
        <v>821</v>
      </c>
      <c r="I355" s="2" t="s">
        <v>1044</v>
      </c>
      <c r="J355" s="2" t="s">
        <v>1045</v>
      </c>
      <c r="K355" s="2" t="s">
        <v>39</v>
      </c>
      <c r="L355" s="2" t="s">
        <v>57</v>
      </c>
      <c r="M355" s="2">
        <v>5314000</v>
      </c>
      <c r="N355" s="2" t="s">
        <v>522</v>
      </c>
      <c r="O355" s="2" t="s">
        <v>469</v>
      </c>
      <c r="P355" s="2" t="s">
        <v>149</v>
      </c>
      <c r="Q355" s="2" t="s">
        <v>500</v>
      </c>
      <c r="R355" s="2" t="s">
        <v>62</v>
      </c>
      <c r="S355" s="2">
        <v>8</v>
      </c>
      <c r="T355" s="2" t="s">
        <v>33</v>
      </c>
      <c r="U355" s="2" t="s">
        <v>34</v>
      </c>
      <c r="V355" s="32">
        <v>119562080</v>
      </c>
      <c r="Y355" s="30">
        <f t="shared" si="10"/>
        <v>119562080</v>
      </c>
      <c r="Z355" s="41">
        <f t="shared" si="11"/>
        <v>0</v>
      </c>
    </row>
    <row r="356" spans="1:26" ht="26.25">
      <c r="A356" s="2">
        <v>354</v>
      </c>
      <c r="B356" s="2">
        <v>2434208</v>
      </c>
      <c r="C356" s="2">
        <v>51201036610043</v>
      </c>
      <c r="D356" s="2" t="s">
        <v>22</v>
      </c>
      <c r="E356" s="2">
        <v>1619989</v>
      </c>
      <c r="F356" s="2">
        <v>974435333</v>
      </c>
      <c r="G356" s="3">
        <v>37633</v>
      </c>
      <c r="H356" s="2" t="s">
        <v>115</v>
      </c>
      <c r="I356" s="2" t="s">
        <v>859</v>
      </c>
      <c r="J356" s="2" t="s">
        <v>1046</v>
      </c>
      <c r="K356" s="2" t="s">
        <v>26</v>
      </c>
      <c r="L356" s="2" t="s">
        <v>27</v>
      </c>
      <c r="M356" s="2">
        <v>5350701</v>
      </c>
      <c r="N356" s="2" t="s">
        <v>338</v>
      </c>
      <c r="O356" s="2" t="s">
        <v>469</v>
      </c>
      <c r="P356" s="2" t="s">
        <v>339</v>
      </c>
      <c r="Q356" s="2" t="s">
        <v>223</v>
      </c>
      <c r="R356" s="2" t="s">
        <v>93</v>
      </c>
      <c r="S356" s="2">
        <v>8</v>
      </c>
      <c r="T356" s="2" t="s">
        <v>33</v>
      </c>
      <c r="U356" s="2" t="s">
        <v>34</v>
      </c>
      <c r="V356" s="32">
        <v>113471040</v>
      </c>
      <c r="Y356" s="30">
        <f t="shared" si="10"/>
        <v>113471040</v>
      </c>
      <c r="Z356" s="41">
        <f t="shared" si="11"/>
        <v>0</v>
      </c>
    </row>
    <row r="357" spans="1:26" ht="26.25">
      <c r="A357" s="2">
        <v>355</v>
      </c>
      <c r="B357" s="2">
        <v>3303571</v>
      </c>
      <c r="C357" s="2">
        <v>42105920171811</v>
      </c>
      <c r="D357" s="2" t="s">
        <v>145</v>
      </c>
      <c r="E357" s="2">
        <v>9372704</v>
      </c>
      <c r="F357" s="2">
        <v>977828286</v>
      </c>
      <c r="G357" s="3">
        <v>33745</v>
      </c>
      <c r="H357" s="2" t="s">
        <v>951</v>
      </c>
      <c r="I357" s="2" t="s">
        <v>1047</v>
      </c>
      <c r="J357" s="2" t="s">
        <v>1048</v>
      </c>
      <c r="K357" s="2" t="s">
        <v>39</v>
      </c>
      <c r="L357" s="2" t="s">
        <v>27</v>
      </c>
      <c r="M357" s="2">
        <v>5230902</v>
      </c>
      <c r="N357" s="2" t="s">
        <v>251</v>
      </c>
      <c r="O357" s="2" t="s">
        <v>490</v>
      </c>
      <c r="P357" s="2" t="s">
        <v>252</v>
      </c>
      <c r="Q357" s="4">
        <v>42064</v>
      </c>
      <c r="R357" s="2" t="s">
        <v>82</v>
      </c>
      <c r="S357" s="2">
        <v>10</v>
      </c>
      <c r="T357" s="2" t="s">
        <v>33</v>
      </c>
      <c r="U357" s="2" t="s">
        <v>34</v>
      </c>
      <c r="V357" s="32">
        <v>31385046</v>
      </c>
      <c r="Y357" s="30">
        <f t="shared" si="10"/>
        <v>31385046</v>
      </c>
      <c r="Z357" s="41">
        <f t="shared" si="11"/>
        <v>0</v>
      </c>
    </row>
    <row r="358" spans="1:26">
      <c r="A358" s="2">
        <v>356</v>
      </c>
      <c r="B358" s="2">
        <v>3451829</v>
      </c>
      <c r="C358" s="2">
        <v>51905045650020</v>
      </c>
      <c r="D358" s="2" t="s">
        <v>22</v>
      </c>
      <c r="E358" s="2">
        <v>2500283</v>
      </c>
      <c r="F358" s="2">
        <v>990817791</v>
      </c>
      <c r="G358" s="3">
        <v>38126</v>
      </c>
      <c r="H358" s="2" t="s">
        <v>417</v>
      </c>
      <c r="I358" s="2" t="s">
        <v>1049</v>
      </c>
      <c r="J358" s="2" t="s">
        <v>1050</v>
      </c>
      <c r="K358" s="2" t="s">
        <v>26</v>
      </c>
      <c r="L358" s="2" t="s">
        <v>27</v>
      </c>
      <c r="M358" s="2">
        <v>5230104</v>
      </c>
      <c r="N358" s="2" t="s">
        <v>78</v>
      </c>
      <c r="O358" s="2" t="s">
        <v>296</v>
      </c>
      <c r="P358" s="2" t="s">
        <v>1051</v>
      </c>
      <c r="Q358" s="2" t="s">
        <v>709</v>
      </c>
      <c r="R358" s="2" t="s">
        <v>134</v>
      </c>
      <c r="S358" s="2">
        <v>10</v>
      </c>
      <c r="T358" s="2" t="s">
        <v>33</v>
      </c>
      <c r="U358" s="2" t="s">
        <v>34</v>
      </c>
      <c r="V358" s="29">
        <v>82169370</v>
      </c>
      <c r="W358" s="20">
        <v>44776030</v>
      </c>
      <c r="X358" s="2" t="s">
        <v>2686</v>
      </c>
      <c r="Y358" s="30">
        <f t="shared" si="10"/>
        <v>37393340</v>
      </c>
      <c r="Z358" s="41">
        <f t="shared" si="11"/>
        <v>0.54492361326367722</v>
      </c>
    </row>
    <row r="359" spans="1:26" ht="39">
      <c r="A359" s="2">
        <v>357</v>
      </c>
      <c r="B359" s="2">
        <v>3555187</v>
      </c>
      <c r="C359" s="2">
        <v>50605035550019</v>
      </c>
      <c r="D359" s="2" t="s">
        <v>22</v>
      </c>
      <c r="E359" s="2">
        <v>2397420</v>
      </c>
      <c r="F359" s="2">
        <v>911323770</v>
      </c>
      <c r="G359" s="3">
        <v>37747</v>
      </c>
      <c r="H359" s="2" t="s">
        <v>1052</v>
      </c>
      <c r="I359" s="2" t="s">
        <v>1053</v>
      </c>
      <c r="J359" s="2" t="s">
        <v>163</v>
      </c>
      <c r="K359" s="2" t="s">
        <v>26</v>
      </c>
      <c r="L359" s="2" t="s">
        <v>27</v>
      </c>
      <c r="M359" s="2">
        <v>5311003</v>
      </c>
      <c r="N359" s="2" t="s">
        <v>144</v>
      </c>
      <c r="O359" s="2" t="s">
        <v>225</v>
      </c>
      <c r="P359" s="2" t="s">
        <v>490</v>
      </c>
      <c r="Q359" s="2" t="s">
        <v>288</v>
      </c>
      <c r="R359" s="2" t="s">
        <v>53</v>
      </c>
      <c r="S359" s="2">
        <v>8</v>
      </c>
      <c r="T359" s="2" t="s">
        <v>33</v>
      </c>
      <c r="U359" s="2" t="s">
        <v>34</v>
      </c>
      <c r="V359" s="32">
        <v>51300880</v>
      </c>
      <c r="W359" s="21">
        <v>27000000</v>
      </c>
      <c r="X359" s="10" t="s">
        <v>2638</v>
      </c>
      <c r="Y359" s="30">
        <f t="shared" si="10"/>
        <v>24300880</v>
      </c>
      <c r="Z359" s="41">
        <f t="shared" si="11"/>
        <v>0.52630676120955433</v>
      </c>
    </row>
    <row r="360" spans="1:26">
      <c r="A360" s="2">
        <v>358</v>
      </c>
      <c r="B360" s="2">
        <v>2964770</v>
      </c>
      <c r="C360" s="2">
        <v>31503920640012</v>
      </c>
      <c r="D360" s="2" t="s">
        <v>74</v>
      </c>
      <c r="E360" s="2">
        <v>24639</v>
      </c>
      <c r="F360" s="2">
        <v>976042552</v>
      </c>
      <c r="G360" s="3">
        <v>33678</v>
      </c>
      <c r="H360" s="2" t="s">
        <v>1054</v>
      </c>
      <c r="I360" s="2" t="s">
        <v>1055</v>
      </c>
      <c r="J360" s="2" t="s">
        <v>1056</v>
      </c>
      <c r="K360" s="2" t="s">
        <v>39</v>
      </c>
      <c r="L360" s="2" t="s">
        <v>57</v>
      </c>
      <c r="M360" s="2">
        <v>5620400</v>
      </c>
      <c r="N360" s="2" t="s">
        <v>103</v>
      </c>
      <c r="O360" s="2" t="s">
        <v>207</v>
      </c>
      <c r="P360" s="2" t="s">
        <v>139</v>
      </c>
      <c r="Q360" s="5">
        <v>44317</v>
      </c>
      <c r="R360" s="2" t="s">
        <v>62</v>
      </c>
      <c r="S360" s="2">
        <v>8</v>
      </c>
      <c r="T360" s="2" t="s">
        <v>33</v>
      </c>
      <c r="U360" s="2" t="s">
        <v>34</v>
      </c>
      <c r="V360" s="32">
        <v>11208945</v>
      </c>
      <c r="Y360" s="30">
        <f t="shared" si="10"/>
        <v>11208945</v>
      </c>
      <c r="Z360" s="41">
        <f t="shared" si="11"/>
        <v>0</v>
      </c>
    </row>
    <row r="361" spans="1:26" ht="39">
      <c r="A361" s="2">
        <v>359</v>
      </c>
      <c r="B361" s="2">
        <v>3606157</v>
      </c>
      <c r="C361" s="2">
        <v>51508035830019</v>
      </c>
      <c r="D361" s="2" t="s">
        <v>22</v>
      </c>
      <c r="E361" s="2">
        <v>2569168</v>
      </c>
      <c r="F361" s="2">
        <v>883231077</v>
      </c>
      <c r="G361" s="3">
        <v>37848</v>
      </c>
      <c r="H361" s="2" t="s">
        <v>1057</v>
      </c>
      <c r="I361" s="2" t="s">
        <v>1058</v>
      </c>
      <c r="J361" s="2" t="s">
        <v>1059</v>
      </c>
      <c r="K361" s="2" t="s">
        <v>26</v>
      </c>
      <c r="L361" s="2" t="s">
        <v>27</v>
      </c>
      <c r="M361" s="2">
        <v>5311003</v>
      </c>
      <c r="N361" s="2" t="s">
        <v>144</v>
      </c>
      <c r="O361" s="2" t="s">
        <v>225</v>
      </c>
      <c r="P361" s="2" t="s">
        <v>490</v>
      </c>
      <c r="Q361" s="2" t="s">
        <v>288</v>
      </c>
      <c r="R361" s="2" t="s">
        <v>53</v>
      </c>
      <c r="S361" s="2">
        <v>8</v>
      </c>
      <c r="T361" s="2" t="s">
        <v>33</v>
      </c>
      <c r="U361" s="2" t="s">
        <v>34</v>
      </c>
      <c r="V361" s="32">
        <v>46170792</v>
      </c>
      <c r="W361" s="23">
        <f>25650440+4000000+100000+16295000</f>
        <v>46045440</v>
      </c>
      <c r="X361" s="13" t="s">
        <v>2791</v>
      </c>
      <c r="Y361" s="30">
        <f t="shared" si="10"/>
        <v>125352</v>
      </c>
      <c r="Z361" s="41">
        <f t="shared" si="11"/>
        <v>0.99728503682587899</v>
      </c>
    </row>
    <row r="362" spans="1:26">
      <c r="A362" s="2">
        <v>360</v>
      </c>
      <c r="B362" s="2">
        <v>3297293</v>
      </c>
      <c r="C362" s="2">
        <v>52812036830024</v>
      </c>
      <c r="D362" s="2" t="s">
        <v>22</v>
      </c>
      <c r="E362" s="2">
        <v>2615362</v>
      </c>
      <c r="F362" s="2">
        <v>936162812</v>
      </c>
      <c r="G362" s="3">
        <v>37983</v>
      </c>
      <c r="H362" s="2" t="s">
        <v>926</v>
      </c>
      <c r="I362" s="2" t="s">
        <v>1060</v>
      </c>
      <c r="J362" s="2" t="s">
        <v>1061</v>
      </c>
      <c r="K362" s="2" t="s">
        <v>39</v>
      </c>
      <c r="L362" s="2" t="s">
        <v>27</v>
      </c>
      <c r="M362" s="2">
        <v>5310606</v>
      </c>
      <c r="N362" s="2" t="s">
        <v>72</v>
      </c>
      <c r="O362" s="2" t="s">
        <v>60</v>
      </c>
      <c r="P362" s="2" t="s">
        <v>73</v>
      </c>
      <c r="Q362" s="5">
        <v>44492</v>
      </c>
      <c r="R362" s="2" t="s">
        <v>62</v>
      </c>
      <c r="S362" s="2">
        <v>8</v>
      </c>
      <c r="T362" s="2" t="s">
        <v>33</v>
      </c>
      <c r="U362" s="2" t="s">
        <v>34</v>
      </c>
      <c r="V362" s="32">
        <v>59781040</v>
      </c>
      <c r="Y362" s="30">
        <f t="shared" si="10"/>
        <v>59781040</v>
      </c>
      <c r="Z362" s="41">
        <f t="shared" si="11"/>
        <v>0</v>
      </c>
    </row>
    <row r="363" spans="1:26" ht="26.25">
      <c r="A363" s="2">
        <v>361</v>
      </c>
      <c r="B363" s="2">
        <v>2620564</v>
      </c>
      <c r="C363" s="2">
        <v>50211027310019</v>
      </c>
      <c r="D363" s="2" t="s">
        <v>35</v>
      </c>
      <c r="E363" s="2">
        <v>1253271</v>
      </c>
      <c r="F363" s="2">
        <v>972404363</v>
      </c>
      <c r="G363" s="3">
        <v>37562</v>
      </c>
      <c r="H363" s="2" t="s">
        <v>1062</v>
      </c>
      <c r="I363" s="2" t="s">
        <v>1063</v>
      </c>
      <c r="J363" s="2" t="s">
        <v>1064</v>
      </c>
      <c r="K363" s="2" t="s">
        <v>26</v>
      </c>
      <c r="L363" s="2" t="s">
        <v>27</v>
      </c>
      <c r="M363" s="2">
        <v>5310701</v>
      </c>
      <c r="N363" s="2" t="s">
        <v>118</v>
      </c>
      <c r="O363" s="2" t="s">
        <v>225</v>
      </c>
      <c r="P363" s="2" t="s">
        <v>298</v>
      </c>
      <c r="Q363" s="2" t="s">
        <v>340</v>
      </c>
      <c r="R363" s="2" t="s">
        <v>53</v>
      </c>
      <c r="S363" s="2">
        <v>8</v>
      </c>
      <c r="T363" s="2" t="s">
        <v>33</v>
      </c>
      <c r="U363" s="2" t="s">
        <v>34</v>
      </c>
      <c r="V363" s="29">
        <v>46170792</v>
      </c>
      <c r="W363" s="20">
        <f>25651000+11000000</f>
        <v>36651000</v>
      </c>
      <c r="X363" s="2" t="s">
        <v>2963</v>
      </c>
      <c r="Y363" s="30">
        <f t="shared" si="10"/>
        <v>9519792</v>
      </c>
      <c r="Z363" s="41">
        <f t="shared" si="11"/>
        <v>0.79381354341939814</v>
      </c>
    </row>
    <row r="364" spans="1:26" ht="26.25">
      <c r="A364" s="2">
        <v>362</v>
      </c>
      <c r="B364" s="2">
        <v>2368745</v>
      </c>
      <c r="C364" s="2">
        <v>61709026240056</v>
      </c>
      <c r="D364" s="2" t="s">
        <v>22</v>
      </c>
      <c r="E364" s="2">
        <v>2259617</v>
      </c>
      <c r="F364" s="2">
        <v>905680675</v>
      </c>
      <c r="G364" s="3">
        <v>37516</v>
      </c>
      <c r="H364" s="2" t="s">
        <v>1065</v>
      </c>
      <c r="I364" s="2" t="s">
        <v>1066</v>
      </c>
      <c r="J364" s="2" t="s">
        <v>1067</v>
      </c>
      <c r="K364" s="2" t="s">
        <v>26</v>
      </c>
      <c r="L364" s="2" t="s">
        <v>27</v>
      </c>
      <c r="M364" s="2">
        <v>5630103</v>
      </c>
      <c r="N364" s="2" t="s">
        <v>343</v>
      </c>
      <c r="O364" s="2" t="s">
        <v>198</v>
      </c>
      <c r="P364" s="2" t="s">
        <v>345</v>
      </c>
      <c r="Q364" s="2" t="s">
        <v>750</v>
      </c>
      <c r="R364" s="2" t="s">
        <v>53</v>
      </c>
      <c r="S364" s="2">
        <v>8</v>
      </c>
      <c r="T364" s="2" t="s">
        <v>33</v>
      </c>
      <c r="U364" s="2" t="s">
        <v>34</v>
      </c>
      <c r="V364" s="32">
        <v>51300880</v>
      </c>
      <c r="Y364" s="30">
        <f t="shared" si="10"/>
        <v>51300880</v>
      </c>
      <c r="Z364" s="41">
        <f t="shared" si="11"/>
        <v>0</v>
      </c>
    </row>
    <row r="365" spans="1:26" ht="26.25">
      <c r="A365" s="2">
        <v>363</v>
      </c>
      <c r="B365" s="2">
        <v>2363672</v>
      </c>
      <c r="C365" s="2">
        <v>50912015430011</v>
      </c>
      <c r="D365" s="2" t="s">
        <v>22</v>
      </c>
      <c r="E365" s="2">
        <v>170596</v>
      </c>
      <c r="F365" s="2">
        <v>933342001</v>
      </c>
      <c r="G365" s="3">
        <v>37234</v>
      </c>
      <c r="H365" s="2" t="s">
        <v>1068</v>
      </c>
      <c r="I365" s="2" t="s">
        <v>1069</v>
      </c>
      <c r="J365" s="2" t="s">
        <v>1070</v>
      </c>
      <c r="K365" s="2" t="s">
        <v>39</v>
      </c>
      <c r="L365" s="2" t="s">
        <v>27</v>
      </c>
      <c r="M365" s="2">
        <v>5310605</v>
      </c>
      <c r="N365" s="2" t="s">
        <v>97</v>
      </c>
      <c r="O365" s="2">
        <v>84</v>
      </c>
      <c r="P365" s="2" t="s">
        <v>79</v>
      </c>
      <c r="Q365" s="5">
        <v>44471</v>
      </c>
      <c r="R365" s="2" t="s">
        <v>62</v>
      </c>
      <c r="S365" s="2">
        <v>8</v>
      </c>
      <c r="T365" s="2" t="s">
        <v>33</v>
      </c>
      <c r="U365" s="2" t="s">
        <v>34</v>
      </c>
      <c r="V365" s="29" t="s">
        <v>2723</v>
      </c>
      <c r="W365" s="21">
        <f>9341000+2500000+1236000</f>
        <v>13077000</v>
      </c>
      <c r="X365" s="10" t="s">
        <v>2949</v>
      </c>
      <c r="Y365" s="30">
        <f t="shared" si="10"/>
        <v>3736417.5</v>
      </c>
      <c r="Z365" s="41">
        <f t="shared" si="11"/>
        <v>0.77777168145619413</v>
      </c>
    </row>
    <row r="366" spans="1:26" ht="26.25">
      <c r="A366" s="2">
        <v>364</v>
      </c>
      <c r="B366" s="2">
        <v>3799838</v>
      </c>
      <c r="C366" s="2">
        <v>30510985960073</v>
      </c>
      <c r="D366" s="2" t="s">
        <v>45</v>
      </c>
      <c r="E366" s="2">
        <v>163191</v>
      </c>
      <c r="F366" s="2">
        <v>943061603</v>
      </c>
      <c r="G366" s="3">
        <v>36073</v>
      </c>
      <c r="H366" s="2" t="s">
        <v>1071</v>
      </c>
      <c r="I366" s="2" t="s">
        <v>1072</v>
      </c>
      <c r="J366" s="2" t="s">
        <v>1073</v>
      </c>
      <c r="K366" s="2" t="s">
        <v>39</v>
      </c>
      <c r="L366" s="2" t="s">
        <v>27</v>
      </c>
      <c r="M366" s="2">
        <v>5620702</v>
      </c>
      <c r="N366" s="2" t="s">
        <v>159</v>
      </c>
      <c r="O366" s="2" t="s">
        <v>73</v>
      </c>
      <c r="P366" s="2" t="s">
        <v>629</v>
      </c>
      <c r="Q366" s="5">
        <v>44317</v>
      </c>
      <c r="R366" s="2" t="s">
        <v>62</v>
      </c>
      <c r="S366" s="2">
        <v>8</v>
      </c>
      <c r="T366" s="2" t="s">
        <v>33</v>
      </c>
      <c r="U366" s="2" t="s">
        <v>34</v>
      </c>
      <c r="V366" s="32">
        <v>11208945</v>
      </c>
      <c r="Y366" s="30">
        <f t="shared" si="10"/>
        <v>11208945</v>
      </c>
      <c r="Z366" s="41">
        <f t="shared" si="11"/>
        <v>0</v>
      </c>
    </row>
    <row r="367" spans="1:26" ht="26.25">
      <c r="A367" s="2">
        <v>365</v>
      </c>
      <c r="B367" s="2">
        <v>3280499</v>
      </c>
      <c r="C367" s="2">
        <v>61304036740011</v>
      </c>
      <c r="D367" s="2" t="s">
        <v>22</v>
      </c>
      <c r="E367" s="2">
        <v>1835997</v>
      </c>
      <c r="F367" s="2">
        <v>917950844</v>
      </c>
      <c r="G367" s="3">
        <v>37724</v>
      </c>
      <c r="H367" s="2" t="s">
        <v>1074</v>
      </c>
      <c r="I367" s="2" t="s">
        <v>1075</v>
      </c>
      <c r="J367" s="2" t="s">
        <v>1076</v>
      </c>
      <c r="K367" s="2" t="s">
        <v>39</v>
      </c>
      <c r="L367" s="2" t="s">
        <v>27</v>
      </c>
      <c r="M367" s="2">
        <v>5340605</v>
      </c>
      <c r="N367" s="2" t="s">
        <v>40</v>
      </c>
      <c r="O367" s="2" t="s">
        <v>350</v>
      </c>
      <c r="P367" s="2" t="s">
        <v>42</v>
      </c>
      <c r="Q367" s="5">
        <v>44317</v>
      </c>
      <c r="R367" s="2" t="s">
        <v>44</v>
      </c>
      <c r="S367" s="2">
        <v>8</v>
      </c>
      <c r="T367" s="2" t="s">
        <v>33</v>
      </c>
      <c r="U367" s="2" t="s">
        <v>34</v>
      </c>
      <c r="V367" s="32" t="s">
        <v>2724</v>
      </c>
      <c r="W367" s="21">
        <v>12329839.5</v>
      </c>
      <c r="X367" s="11" t="s">
        <v>2646</v>
      </c>
      <c r="Y367" s="30">
        <f t="shared" si="10"/>
        <v>0</v>
      </c>
      <c r="Z367" s="41">
        <f t="shared" si="11"/>
        <v>1</v>
      </c>
    </row>
    <row r="368" spans="1:26" ht="26.25">
      <c r="A368" s="2">
        <v>366</v>
      </c>
      <c r="B368" s="2">
        <v>2034938</v>
      </c>
      <c r="C368" s="2">
        <v>51711006540037</v>
      </c>
      <c r="D368" s="2" t="s">
        <v>45</v>
      </c>
      <c r="E368" s="2">
        <v>5458681</v>
      </c>
      <c r="F368" s="2">
        <v>909685219</v>
      </c>
      <c r="G368" s="3">
        <v>36847</v>
      </c>
      <c r="H368" s="2" t="s">
        <v>1077</v>
      </c>
      <c r="I368" s="2" t="s">
        <v>1078</v>
      </c>
      <c r="J368" s="2" t="s">
        <v>377</v>
      </c>
      <c r="K368" s="2" t="s">
        <v>26</v>
      </c>
      <c r="L368" s="2" t="s">
        <v>57</v>
      </c>
      <c r="M368" s="2">
        <v>5340202</v>
      </c>
      <c r="N368" s="2" t="s">
        <v>499</v>
      </c>
      <c r="O368" s="2">
        <v>105</v>
      </c>
      <c r="P368" s="2" t="s">
        <v>224</v>
      </c>
      <c r="Q368" s="4">
        <v>22251</v>
      </c>
      <c r="R368" s="2" t="s">
        <v>93</v>
      </c>
      <c r="S368" s="2">
        <v>8</v>
      </c>
      <c r="T368" s="2" t="s">
        <v>33</v>
      </c>
      <c r="U368" s="2" t="s">
        <v>34</v>
      </c>
      <c r="V368" s="32">
        <v>56735520</v>
      </c>
      <c r="W368" s="21">
        <v>28367760</v>
      </c>
      <c r="X368" s="11" t="s">
        <v>2630</v>
      </c>
      <c r="Y368" s="30">
        <f t="shared" si="10"/>
        <v>28367760</v>
      </c>
      <c r="Z368" s="41">
        <f t="shared" si="11"/>
        <v>0.5</v>
      </c>
    </row>
    <row r="369" spans="1:26" ht="26.25">
      <c r="A369" s="2">
        <v>367</v>
      </c>
      <c r="B369" s="2">
        <v>3500965</v>
      </c>
      <c r="C369" s="2">
        <v>50604037170036</v>
      </c>
      <c r="D369" s="2" t="s">
        <v>22</v>
      </c>
      <c r="E369" s="2">
        <v>2922646</v>
      </c>
      <c r="F369" s="2">
        <v>932236553</v>
      </c>
      <c r="G369" s="3">
        <v>37717</v>
      </c>
      <c r="H369" s="2" t="s">
        <v>89</v>
      </c>
      <c r="I369" s="2" t="s">
        <v>1079</v>
      </c>
      <c r="J369" s="2" t="s">
        <v>1080</v>
      </c>
      <c r="K369" s="2" t="s">
        <v>39</v>
      </c>
      <c r="L369" s="2" t="s">
        <v>27</v>
      </c>
      <c r="M369" s="2">
        <v>5620701</v>
      </c>
      <c r="N369" s="2" t="s">
        <v>218</v>
      </c>
      <c r="O369" s="2" t="s">
        <v>154</v>
      </c>
      <c r="P369" s="2" t="s">
        <v>219</v>
      </c>
      <c r="Q369" s="2" t="s">
        <v>124</v>
      </c>
      <c r="R369" s="2" t="s">
        <v>62</v>
      </c>
      <c r="S369" s="2">
        <v>8</v>
      </c>
      <c r="T369" s="2" t="s">
        <v>33</v>
      </c>
      <c r="U369" s="2" t="s">
        <v>34</v>
      </c>
      <c r="V369" s="29">
        <v>53802936</v>
      </c>
      <c r="W369" s="22">
        <v>30000000</v>
      </c>
      <c r="X369" s="17" t="s">
        <v>2678</v>
      </c>
      <c r="Y369" s="30">
        <f t="shared" si="10"/>
        <v>23802936</v>
      </c>
      <c r="Z369" s="41">
        <f t="shared" si="11"/>
        <v>0.55759038874755829</v>
      </c>
    </row>
    <row r="370" spans="1:26" ht="26.25">
      <c r="A370" s="2">
        <v>368</v>
      </c>
      <c r="B370" s="2">
        <v>3578618</v>
      </c>
      <c r="C370" s="2">
        <v>31512975910049</v>
      </c>
      <c r="D370" s="2" t="s">
        <v>45</v>
      </c>
      <c r="E370" s="2">
        <v>754906</v>
      </c>
      <c r="F370" s="2">
        <v>913691512</v>
      </c>
      <c r="G370" s="3">
        <v>35779</v>
      </c>
      <c r="H370" s="2" t="s">
        <v>1081</v>
      </c>
      <c r="I370" s="2" t="s">
        <v>1082</v>
      </c>
      <c r="J370" s="2" t="s">
        <v>966</v>
      </c>
      <c r="K370" s="2" t="s">
        <v>39</v>
      </c>
      <c r="L370" s="2" t="s">
        <v>27</v>
      </c>
      <c r="M370" s="2">
        <v>5340602</v>
      </c>
      <c r="N370" s="2" t="s">
        <v>628</v>
      </c>
      <c r="O370" s="2" t="s">
        <v>175</v>
      </c>
      <c r="P370" s="2" t="s">
        <v>629</v>
      </c>
      <c r="Q370" s="4">
        <v>11110</v>
      </c>
      <c r="R370" s="2" t="s">
        <v>44</v>
      </c>
      <c r="S370" s="2">
        <v>8</v>
      </c>
      <c r="T370" s="2" t="s">
        <v>508</v>
      </c>
      <c r="U370" s="2" t="s">
        <v>34</v>
      </c>
      <c r="V370" s="32">
        <v>65759144</v>
      </c>
      <c r="Y370" s="30">
        <f t="shared" si="10"/>
        <v>65759144</v>
      </c>
      <c r="Z370" s="41">
        <f t="shared" si="11"/>
        <v>0</v>
      </c>
    </row>
    <row r="371" spans="1:26">
      <c r="A371" s="2">
        <v>369</v>
      </c>
      <c r="B371" s="2">
        <v>1965188</v>
      </c>
      <c r="C371" s="2">
        <v>52607006800028</v>
      </c>
      <c r="D371" s="2" t="s">
        <v>45</v>
      </c>
      <c r="E371" s="2">
        <v>5452895</v>
      </c>
      <c r="F371" s="2">
        <v>909155368</v>
      </c>
      <c r="G371" s="3">
        <v>36733</v>
      </c>
      <c r="H371" s="2" t="s">
        <v>1083</v>
      </c>
      <c r="I371" s="2" t="s">
        <v>686</v>
      </c>
      <c r="J371" s="2" t="s">
        <v>1084</v>
      </c>
      <c r="K371" s="2" t="s">
        <v>26</v>
      </c>
      <c r="L371" s="2" t="s">
        <v>27</v>
      </c>
      <c r="M371" s="2">
        <v>5240109</v>
      </c>
      <c r="N371" s="2" t="s">
        <v>28</v>
      </c>
      <c r="O371" s="2" t="s">
        <v>225</v>
      </c>
      <c r="P371" s="2" t="s">
        <v>30</v>
      </c>
      <c r="Q371" s="2" t="s">
        <v>345</v>
      </c>
      <c r="R371" s="2" t="s">
        <v>32</v>
      </c>
      <c r="S371" s="2">
        <v>25</v>
      </c>
      <c r="T371" s="2" t="s">
        <v>33</v>
      </c>
      <c r="U371" s="2" t="s">
        <v>34</v>
      </c>
      <c r="V371" s="32">
        <v>245231500</v>
      </c>
      <c r="Y371" s="30">
        <f t="shared" si="10"/>
        <v>245231500</v>
      </c>
      <c r="Z371" s="41">
        <f t="shared" si="11"/>
        <v>0</v>
      </c>
    </row>
    <row r="372" spans="1:26" ht="26.25">
      <c r="A372" s="2">
        <v>370</v>
      </c>
      <c r="B372" s="2">
        <v>1805820</v>
      </c>
      <c r="C372" s="2">
        <v>50509006030051</v>
      </c>
      <c r="D372" s="2" t="s">
        <v>45</v>
      </c>
      <c r="E372" s="2">
        <v>6567171</v>
      </c>
      <c r="F372" s="2">
        <v>993792215</v>
      </c>
      <c r="G372" s="3">
        <v>36774</v>
      </c>
      <c r="H372" s="2" t="s">
        <v>821</v>
      </c>
      <c r="I372" s="2" t="s">
        <v>1085</v>
      </c>
      <c r="J372" s="2" t="s">
        <v>1086</v>
      </c>
      <c r="K372" s="2" t="s">
        <v>39</v>
      </c>
      <c r="L372" s="2" t="s">
        <v>27</v>
      </c>
      <c r="M372" s="2">
        <v>5620701</v>
      </c>
      <c r="N372" s="2" t="s">
        <v>218</v>
      </c>
      <c r="O372" s="2" t="s">
        <v>198</v>
      </c>
      <c r="P372" s="2" t="s">
        <v>219</v>
      </c>
      <c r="Q372" s="2" t="s">
        <v>310</v>
      </c>
      <c r="R372" s="2" t="s">
        <v>62</v>
      </c>
      <c r="S372" s="2">
        <v>8</v>
      </c>
      <c r="T372" s="2" t="s">
        <v>33</v>
      </c>
      <c r="U372" s="2" t="s">
        <v>34</v>
      </c>
      <c r="V372" s="32">
        <v>59781040</v>
      </c>
      <c r="Y372" s="30">
        <f t="shared" si="10"/>
        <v>59781040</v>
      </c>
      <c r="Z372" s="41">
        <f t="shared" si="11"/>
        <v>0</v>
      </c>
    </row>
    <row r="373" spans="1:26" ht="26.25">
      <c r="A373" s="2">
        <v>371</v>
      </c>
      <c r="B373" s="2">
        <v>3425881</v>
      </c>
      <c r="C373" s="2">
        <v>50104035580012</v>
      </c>
      <c r="D373" s="2" t="s">
        <v>22</v>
      </c>
      <c r="E373" s="2">
        <v>1934282</v>
      </c>
      <c r="F373" s="2">
        <v>943340401</v>
      </c>
      <c r="G373" s="3">
        <v>37712</v>
      </c>
      <c r="H373" s="2" t="s">
        <v>1087</v>
      </c>
      <c r="I373" s="2" t="s">
        <v>520</v>
      </c>
      <c r="J373" s="2" t="s">
        <v>1088</v>
      </c>
      <c r="K373" s="2" t="s">
        <v>26</v>
      </c>
      <c r="L373" s="2" t="s">
        <v>27</v>
      </c>
      <c r="M373" s="2">
        <v>5340602</v>
      </c>
      <c r="N373" s="2" t="s">
        <v>628</v>
      </c>
      <c r="O373" s="2" t="s">
        <v>187</v>
      </c>
      <c r="P373" s="2" t="s">
        <v>1089</v>
      </c>
      <c r="Q373" s="4">
        <v>18537</v>
      </c>
      <c r="R373" s="2" t="s">
        <v>93</v>
      </c>
      <c r="S373" s="2">
        <v>8</v>
      </c>
      <c r="T373" s="2" t="s">
        <v>508</v>
      </c>
      <c r="U373" s="2" t="s">
        <v>34</v>
      </c>
      <c r="V373" s="32">
        <v>56735520</v>
      </c>
      <c r="Y373" s="30">
        <f t="shared" si="10"/>
        <v>56735520</v>
      </c>
      <c r="Z373" s="41">
        <f t="shared" si="11"/>
        <v>0</v>
      </c>
    </row>
    <row r="374" spans="1:26" ht="26.25">
      <c r="A374" s="2">
        <v>372</v>
      </c>
      <c r="B374" s="2">
        <v>3632880</v>
      </c>
      <c r="C374" s="2">
        <v>31211924210024</v>
      </c>
      <c r="D374" s="2" t="s">
        <v>145</v>
      </c>
      <c r="E374" s="2">
        <v>4873621</v>
      </c>
      <c r="F374" s="2">
        <v>911149615</v>
      </c>
      <c r="G374" s="3">
        <v>33920</v>
      </c>
      <c r="H374" s="2" t="s">
        <v>1090</v>
      </c>
      <c r="I374" s="2" t="s">
        <v>1091</v>
      </c>
      <c r="J374" s="2" t="s">
        <v>1092</v>
      </c>
      <c r="K374" s="2" t="s">
        <v>39</v>
      </c>
      <c r="L374" s="2" t="s">
        <v>27</v>
      </c>
      <c r="M374" s="2">
        <v>5340602</v>
      </c>
      <c r="N374" s="2" t="s">
        <v>628</v>
      </c>
      <c r="O374" s="2" t="s">
        <v>639</v>
      </c>
      <c r="P374" s="2" t="s">
        <v>629</v>
      </c>
      <c r="Q374" s="2" t="s">
        <v>340</v>
      </c>
      <c r="R374" s="2" t="s">
        <v>44</v>
      </c>
      <c r="S374" s="2">
        <v>8</v>
      </c>
      <c r="T374" s="2" t="s">
        <v>33</v>
      </c>
      <c r="U374" s="2" t="s">
        <v>34</v>
      </c>
      <c r="V374" s="32">
        <v>131518288</v>
      </c>
      <c r="Y374" s="30">
        <f t="shared" si="10"/>
        <v>131518288</v>
      </c>
      <c r="Z374" s="41">
        <f t="shared" si="11"/>
        <v>0</v>
      </c>
    </row>
    <row r="375" spans="1:26" ht="26.25">
      <c r="A375" s="2">
        <v>373</v>
      </c>
      <c r="B375" s="2">
        <v>3704709</v>
      </c>
      <c r="C375" s="2">
        <v>30312831140039</v>
      </c>
      <c r="D375" s="2" t="s">
        <v>145</v>
      </c>
      <c r="E375" s="2">
        <v>3360551</v>
      </c>
      <c r="F375" s="2">
        <v>936269339</v>
      </c>
      <c r="G375" s="3">
        <v>30653</v>
      </c>
      <c r="H375" s="2" t="s">
        <v>46</v>
      </c>
      <c r="I375" s="2" t="s">
        <v>1011</v>
      </c>
      <c r="J375" s="2" t="s">
        <v>1093</v>
      </c>
      <c r="K375" s="2" t="s">
        <v>39</v>
      </c>
      <c r="L375" s="2" t="s">
        <v>27</v>
      </c>
      <c r="M375" s="2">
        <v>5310605</v>
      </c>
      <c r="N375" s="2" t="s">
        <v>97</v>
      </c>
      <c r="O375" s="2" t="s">
        <v>149</v>
      </c>
      <c r="P375" s="2" t="s">
        <v>79</v>
      </c>
      <c r="Q375" s="2" t="s">
        <v>43</v>
      </c>
      <c r="R375" s="2" t="s">
        <v>62</v>
      </c>
      <c r="S375" s="2">
        <v>8</v>
      </c>
      <c r="T375" s="2" t="s">
        <v>33</v>
      </c>
      <c r="U375" s="2" t="s">
        <v>34</v>
      </c>
      <c r="V375" s="32">
        <v>59781040</v>
      </c>
      <c r="Y375" s="30">
        <f t="shared" si="10"/>
        <v>59781040</v>
      </c>
      <c r="Z375" s="41">
        <f t="shared" si="11"/>
        <v>0</v>
      </c>
    </row>
    <row r="376" spans="1:26">
      <c r="A376" s="2">
        <v>374</v>
      </c>
      <c r="B376" s="2">
        <v>1253708</v>
      </c>
      <c r="C376" s="2">
        <v>32106976080022</v>
      </c>
      <c r="D376" s="2" t="s">
        <v>145</v>
      </c>
      <c r="E376" s="2">
        <v>6917214</v>
      </c>
      <c r="F376" s="2">
        <v>933449725</v>
      </c>
      <c r="G376" s="3">
        <v>35602</v>
      </c>
      <c r="H376" s="2" t="s">
        <v>1094</v>
      </c>
      <c r="I376" s="2" t="s">
        <v>451</v>
      </c>
      <c r="J376" s="2" t="s">
        <v>121</v>
      </c>
      <c r="K376" s="2" t="s">
        <v>39</v>
      </c>
      <c r="L376" s="2" t="s">
        <v>27</v>
      </c>
      <c r="M376" s="2">
        <v>5340603</v>
      </c>
      <c r="N376" s="2" t="s">
        <v>174</v>
      </c>
      <c r="O376" s="2" t="s">
        <v>154</v>
      </c>
      <c r="P376" s="2" t="s">
        <v>175</v>
      </c>
      <c r="Q376" s="4">
        <v>11110</v>
      </c>
      <c r="R376" s="2" t="s">
        <v>44</v>
      </c>
      <c r="S376" s="2">
        <v>8</v>
      </c>
      <c r="T376" s="2" t="s">
        <v>33</v>
      </c>
      <c r="U376" s="2" t="s">
        <v>34</v>
      </c>
      <c r="V376" s="32">
        <v>65759144</v>
      </c>
      <c r="Y376" s="30">
        <f t="shared" si="10"/>
        <v>65759144</v>
      </c>
      <c r="Z376" s="41">
        <f t="shared" si="11"/>
        <v>0</v>
      </c>
    </row>
    <row r="377" spans="1:26" ht="26.25">
      <c r="A377" s="2">
        <v>375</v>
      </c>
      <c r="B377" s="2">
        <v>1396451</v>
      </c>
      <c r="C377" s="2">
        <v>60104016640011</v>
      </c>
      <c r="D377" s="2" t="s">
        <v>45</v>
      </c>
      <c r="E377" s="2">
        <v>7005870</v>
      </c>
      <c r="F377" s="2">
        <v>946533396</v>
      </c>
      <c r="G377" s="3">
        <v>36982</v>
      </c>
      <c r="H377" s="2" t="s">
        <v>1095</v>
      </c>
      <c r="I377" s="2" t="s">
        <v>1096</v>
      </c>
      <c r="J377" s="2" t="s">
        <v>1097</v>
      </c>
      <c r="K377" s="2" t="s">
        <v>26</v>
      </c>
      <c r="L377" s="2" t="s">
        <v>57</v>
      </c>
      <c r="M377" s="2">
        <v>5310701</v>
      </c>
      <c r="N377" s="2" t="s">
        <v>118</v>
      </c>
      <c r="O377" s="2" t="s">
        <v>296</v>
      </c>
      <c r="P377" s="2">
        <v>63</v>
      </c>
      <c r="Q377" s="4">
        <v>42064</v>
      </c>
      <c r="R377" s="2" t="s">
        <v>53</v>
      </c>
      <c r="S377" s="2">
        <v>8</v>
      </c>
      <c r="T377" s="2" t="s">
        <v>33</v>
      </c>
      <c r="U377" s="2" t="s">
        <v>34</v>
      </c>
      <c r="V377" s="32">
        <v>19237830</v>
      </c>
      <c r="W377" s="23">
        <v>19237830</v>
      </c>
      <c r="X377" s="13" t="s">
        <v>2624</v>
      </c>
      <c r="Y377" s="30">
        <f t="shared" si="10"/>
        <v>0</v>
      </c>
      <c r="Z377" s="41">
        <f t="shared" si="11"/>
        <v>1</v>
      </c>
    </row>
    <row r="378" spans="1:26" ht="39">
      <c r="A378" s="2">
        <v>376</v>
      </c>
      <c r="B378" s="2">
        <v>2057189</v>
      </c>
      <c r="C378" s="2">
        <v>51008015520034</v>
      </c>
      <c r="D378" s="2" t="s">
        <v>45</v>
      </c>
      <c r="E378" s="2">
        <v>8359982</v>
      </c>
      <c r="F378" s="2">
        <v>933097797</v>
      </c>
      <c r="G378" s="3">
        <v>37113</v>
      </c>
      <c r="H378" s="2" t="s">
        <v>1098</v>
      </c>
      <c r="I378" s="2" t="s">
        <v>1099</v>
      </c>
      <c r="J378" s="2" t="s">
        <v>1100</v>
      </c>
      <c r="K378" s="2" t="s">
        <v>39</v>
      </c>
      <c r="L378" s="2" t="s">
        <v>27</v>
      </c>
      <c r="M378" s="2">
        <v>5311003</v>
      </c>
      <c r="N378" s="2" t="s">
        <v>144</v>
      </c>
      <c r="O378" s="2" t="s">
        <v>139</v>
      </c>
      <c r="P378" s="2" t="s">
        <v>79</v>
      </c>
      <c r="Q378" s="2" t="s">
        <v>277</v>
      </c>
      <c r="R378" s="2" t="s">
        <v>62</v>
      </c>
      <c r="S378" s="2">
        <v>8</v>
      </c>
      <c r="T378" s="2" t="s">
        <v>33</v>
      </c>
      <c r="U378" s="2" t="s">
        <v>34</v>
      </c>
      <c r="V378" s="32">
        <v>59781040</v>
      </c>
      <c r="Y378" s="30">
        <f t="shared" si="10"/>
        <v>59781040</v>
      </c>
      <c r="Z378" s="41">
        <f t="shared" si="11"/>
        <v>0</v>
      </c>
    </row>
    <row r="379" spans="1:26" ht="26.25">
      <c r="A379" s="2">
        <v>377</v>
      </c>
      <c r="B379" s="2">
        <v>3337254</v>
      </c>
      <c r="C379" s="2">
        <v>51809038660020</v>
      </c>
      <c r="D379" s="2" t="s">
        <v>22</v>
      </c>
      <c r="E379" s="2">
        <v>2294439</v>
      </c>
      <c r="F379" s="2">
        <v>935158812</v>
      </c>
      <c r="G379" s="3">
        <v>37882</v>
      </c>
      <c r="H379" s="2" t="s">
        <v>916</v>
      </c>
      <c r="I379" s="2" t="s">
        <v>678</v>
      </c>
      <c r="J379" s="2" t="s">
        <v>235</v>
      </c>
      <c r="K379" s="2" t="s">
        <v>26</v>
      </c>
      <c r="L379" s="2" t="s">
        <v>27</v>
      </c>
      <c r="M379" s="2">
        <v>5330202</v>
      </c>
      <c r="N379" s="2" t="s">
        <v>164</v>
      </c>
      <c r="O379" s="2" t="s">
        <v>225</v>
      </c>
      <c r="P379" s="2" t="s">
        <v>165</v>
      </c>
      <c r="Q379" s="2" t="s">
        <v>391</v>
      </c>
      <c r="R379" s="2" t="s">
        <v>93</v>
      </c>
      <c r="S379" s="2">
        <v>10</v>
      </c>
      <c r="T379" s="2" t="s">
        <v>33</v>
      </c>
      <c r="U379" s="2" t="s">
        <v>34</v>
      </c>
      <c r="V379" s="32">
        <v>70919400</v>
      </c>
      <c r="Y379" s="30">
        <f t="shared" si="10"/>
        <v>70919400</v>
      </c>
      <c r="Z379" s="41">
        <f t="shared" si="11"/>
        <v>0</v>
      </c>
    </row>
    <row r="380" spans="1:26" ht="26.25">
      <c r="A380" s="2">
        <v>378</v>
      </c>
      <c r="B380" s="2">
        <v>3033679</v>
      </c>
      <c r="C380" s="2">
        <v>42406881000072</v>
      </c>
      <c r="D380" s="2" t="s">
        <v>145</v>
      </c>
      <c r="E380" s="2">
        <v>1890707</v>
      </c>
      <c r="F380" s="2">
        <v>914169897</v>
      </c>
      <c r="G380" s="3">
        <v>32318</v>
      </c>
      <c r="H380" s="2" t="s">
        <v>1101</v>
      </c>
      <c r="I380" s="2" t="s">
        <v>1102</v>
      </c>
      <c r="J380" s="2" t="s">
        <v>1103</v>
      </c>
      <c r="K380" s="2" t="s">
        <v>39</v>
      </c>
      <c r="L380" s="2" t="s">
        <v>57</v>
      </c>
      <c r="M380" s="2">
        <v>5310605</v>
      </c>
      <c r="N380" s="2" t="s">
        <v>97</v>
      </c>
      <c r="O380" s="2" t="s">
        <v>225</v>
      </c>
      <c r="P380" s="2" t="s">
        <v>154</v>
      </c>
      <c r="Q380" s="5">
        <v>44471</v>
      </c>
      <c r="R380" s="2" t="s">
        <v>62</v>
      </c>
      <c r="S380" s="2">
        <v>8</v>
      </c>
      <c r="T380" s="2" t="s">
        <v>33</v>
      </c>
      <c r="U380" s="2" t="s">
        <v>34</v>
      </c>
      <c r="V380" s="32">
        <v>18681575</v>
      </c>
      <c r="W380" s="20">
        <v>9340000</v>
      </c>
      <c r="X380" s="2" t="s">
        <v>2640</v>
      </c>
      <c r="Y380" s="30">
        <f t="shared" si="10"/>
        <v>9341575</v>
      </c>
      <c r="Z380" s="41">
        <f t="shared" si="11"/>
        <v>0.49995784616661071</v>
      </c>
    </row>
    <row r="381" spans="1:26" ht="39">
      <c r="A381" s="2">
        <v>379</v>
      </c>
      <c r="B381" s="2">
        <v>2421826</v>
      </c>
      <c r="C381" s="2">
        <v>51807026610019</v>
      </c>
      <c r="D381" s="2" t="s">
        <v>45</v>
      </c>
      <c r="E381" s="2">
        <v>9975216</v>
      </c>
      <c r="F381" s="2">
        <v>946062339</v>
      </c>
      <c r="G381" s="3">
        <v>37455</v>
      </c>
      <c r="H381" s="2" t="s">
        <v>1104</v>
      </c>
      <c r="I381" s="2" t="s">
        <v>1105</v>
      </c>
      <c r="J381" s="2" t="s">
        <v>780</v>
      </c>
      <c r="K381" s="2" t="s">
        <v>26</v>
      </c>
      <c r="L381" s="2" t="s">
        <v>57</v>
      </c>
      <c r="M381" s="2">
        <v>5340401</v>
      </c>
      <c r="N381" s="2" t="s">
        <v>349</v>
      </c>
      <c r="O381" s="2" t="s">
        <v>211</v>
      </c>
      <c r="P381" s="2" t="s">
        <v>60</v>
      </c>
      <c r="Q381" s="5">
        <v>44471</v>
      </c>
      <c r="R381" s="2" t="s">
        <v>93</v>
      </c>
      <c r="S381" s="2">
        <v>8</v>
      </c>
      <c r="T381" s="2" t="s">
        <v>33</v>
      </c>
      <c r="U381" s="2" t="s">
        <v>34</v>
      </c>
      <c r="V381" s="32">
        <v>113471040</v>
      </c>
      <c r="W381" s="21">
        <v>8865000</v>
      </c>
      <c r="X381" s="12" t="s">
        <v>2624</v>
      </c>
      <c r="Y381" s="30">
        <f t="shared" si="10"/>
        <v>104606040</v>
      </c>
      <c r="Z381" s="41">
        <f t="shared" si="11"/>
        <v>7.8125660961598661E-2</v>
      </c>
    </row>
    <row r="382" spans="1:26" ht="26.25">
      <c r="A382" s="2">
        <v>380</v>
      </c>
      <c r="B382" s="2">
        <v>3784173</v>
      </c>
      <c r="C382" s="2">
        <v>50202036320023</v>
      </c>
      <c r="D382" s="2" t="s">
        <v>22</v>
      </c>
      <c r="E382" s="2">
        <v>1944387</v>
      </c>
      <c r="F382" s="2">
        <v>993449065</v>
      </c>
      <c r="G382" s="3">
        <v>37654</v>
      </c>
      <c r="H382" s="2" t="s">
        <v>1106</v>
      </c>
      <c r="I382" s="2" t="s">
        <v>1107</v>
      </c>
      <c r="J382" s="2" t="s">
        <v>1108</v>
      </c>
      <c r="K382" s="2" t="s">
        <v>26</v>
      </c>
      <c r="L382" s="2" t="s">
        <v>27</v>
      </c>
      <c r="M382" s="2">
        <v>5310602</v>
      </c>
      <c r="N382" s="2" t="s">
        <v>518</v>
      </c>
      <c r="O382" s="2">
        <v>63</v>
      </c>
      <c r="P382" s="2" t="s">
        <v>88</v>
      </c>
      <c r="Q382" s="5">
        <v>44317</v>
      </c>
      <c r="R382" s="2" t="s">
        <v>53</v>
      </c>
      <c r="S382" s="2">
        <v>8</v>
      </c>
      <c r="T382" s="2" t="s">
        <v>33</v>
      </c>
      <c r="U382" s="2" t="s">
        <v>34</v>
      </c>
      <c r="V382" s="32">
        <v>9618915</v>
      </c>
      <c r="W382" s="21">
        <f>4025895+974105</f>
        <v>5000000</v>
      </c>
      <c r="X382" s="10" t="s">
        <v>2637</v>
      </c>
      <c r="Y382" s="30">
        <f t="shared" si="10"/>
        <v>4618915</v>
      </c>
      <c r="Z382" s="41">
        <f t="shared" si="11"/>
        <v>0.51980914687363389</v>
      </c>
    </row>
    <row r="383" spans="1:26" ht="26.25">
      <c r="A383" s="2">
        <v>381</v>
      </c>
      <c r="B383" s="2">
        <v>2442313</v>
      </c>
      <c r="C383" s="2">
        <v>30511966530049</v>
      </c>
      <c r="D383" s="2" t="s">
        <v>145</v>
      </c>
      <c r="E383" s="2">
        <v>531526</v>
      </c>
      <c r="F383" s="2">
        <v>909407880</v>
      </c>
      <c r="G383" s="3">
        <v>35374</v>
      </c>
      <c r="H383" s="2" t="s">
        <v>180</v>
      </c>
      <c r="I383" s="2" t="s">
        <v>1109</v>
      </c>
      <c r="J383" s="2" t="s">
        <v>71</v>
      </c>
      <c r="K383" s="2" t="s">
        <v>39</v>
      </c>
      <c r="L383" s="2" t="s">
        <v>27</v>
      </c>
      <c r="M383" s="2">
        <v>5340606</v>
      </c>
      <c r="N383" s="2" t="s">
        <v>191</v>
      </c>
      <c r="O383" s="2" t="s">
        <v>175</v>
      </c>
      <c r="P383" s="2" t="s">
        <v>42</v>
      </c>
      <c r="Q383" s="4">
        <v>43922</v>
      </c>
      <c r="R383" s="2" t="s">
        <v>44</v>
      </c>
      <c r="S383" s="2">
        <v>8</v>
      </c>
      <c r="T383" s="2" t="s">
        <v>33</v>
      </c>
      <c r="U383" s="2" t="s">
        <v>34</v>
      </c>
      <c r="V383" s="32">
        <v>65759144</v>
      </c>
      <c r="Y383" s="30">
        <f t="shared" si="10"/>
        <v>65759144</v>
      </c>
      <c r="Z383" s="41">
        <f t="shared" si="11"/>
        <v>0</v>
      </c>
    </row>
    <row r="384" spans="1:26" ht="26.25">
      <c r="A384" s="2">
        <v>382</v>
      </c>
      <c r="B384" s="2">
        <v>3704002</v>
      </c>
      <c r="C384" s="2">
        <v>51411027110036</v>
      </c>
      <c r="D384" s="2" t="s">
        <v>74</v>
      </c>
      <c r="E384" s="2">
        <v>433592</v>
      </c>
      <c r="F384" s="2">
        <v>930033089</v>
      </c>
      <c r="G384" s="3">
        <v>37574</v>
      </c>
      <c r="H384" s="2" t="s">
        <v>94</v>
      </c>
      <c r="I384" s="2" t="s">
        <v>788</v>
      </c>
      <c r="J384" s="2" t="s">
        <v>379</v>
      </c>
      <c r="K384" s="2" t="s">
        <v>26</v>
      </c>
      <c r="L384" s="2" t="s">
        <v>27</v>
      </c>
      <c r="M384" s="2">
        <v>5350701</v>
      </c>
      <c r="N384" s="2" t="s">
        <v>338</v>
      </c>
      <c r="O384" s="2" t="s">
        <v>149</v>
      </c>
      <c r="P384" s="2" t="s">
        <v>339</v>
      </c>
      <c r="Q384" s="2" t="s">
        <v>61</v>
      </c>
      <c r="R384" s="2" t="s">
        <v>93</v>
      </c>
      <c r="S384" s="2">
        <v>8</v>
      </c>
      <c r="T384" s="2" t="s">
        <v>33</v>
      </c>
      <c r="U384" s="2" t="s">
        <v>34</v>
      </c>
      <c r="V384" s="32">
        <v>56735520</v>
      </c>
      <c r="W384" s="20">
        <v>28367760</v>
      </c>
      <c r="X384" s="2" t="s">
        <v>2680</v>
      </c>
      <c r="Y384" s="30">
        <f t="shared" si="10"/>
        <v>28367760</v>
      </c>
      <c r="Z384" s="41">
        <f t="shared" si="11"/>
        <v>0.5</v>
      </c>
    </row>
    <row r="385" spans="1:26">
      <c r="A385" s="2">
        <v>383</v>
      </c>
      <c r="B385" s="2">
        <v>2646311</v>
      </c>
      <c r="C385" s="2">
        <v>50110025940016</v>
      </c>
      <c r="D385" s="2" t="s">
        <v>22</v>
      </c>
      <c r="E385" s="2">
        <v>460405</v>
      </c>
      <c r="F385" s="2">
        <v>950215606</v>
      </c>
      <c r="G385" s="3">
        <v>37530</v>
      </c>
      <c r="H385" s="2" t="s">
        <v>1110</v>
      </c>
      <c r="I385" s="2" t="s">
        <v>1111</v>
      </c>
      <c r="J385" s="2" t="s">
        <v>1112</v>
      </c>
      <c r="K385" s="2" t="s">
        <v>26</v>
      </c>
      <c r="L385" s="2" t="s">
        <v>27</v>
      </c>
      <c r="M385" s="2">
        <v>5230406</v>
      </c>
      <c r="N385" s="2" t="s">
        <v>635</v>
      </c>
      <c r="O385" s="2" t="s">
        <v>1113</v>
      </c>
      <c r="P385" s="2" t="s">
        <v>68</v>
      </c>
      <c r="Q385" s="2" t="s">
        <v>223</v>
      </c>
      <c r="R385" s="2" t="s">
        <v>134</v>
      </c>
      <c r="S385" s="2">
        <v>10</v>
      </c>
      <c r="T385" s="2" t="s">
        <v>33</v>
      </c>
      <c r="U385" s="2" t="s">
        <v>34</v>
      </c>
      <c r="V385" s="32">
        <v>182598600</v>
      </c>
      <c r="Y385" s="30">
        <f t="shared" si="10"/>
        <v>182598600</v>
      </c>
      <c r="Z385" s="41">
        <f t="shared" si="11"/>
        <v>0</v>
      </c>
    </row>
    <row r="386" spans="1:26" ht="26.25">
      <c r="A386" s="2">
        <v>384</v>
      </c>
      <c r="B386" s="2">
        <v>1887570</v>
      </c>
      <c r="C386" s="2">
        <v>30506906500013</v>
      </c>
      <c r="D386" s="2" t="s">
        <v>145</v>
      </c>
      <c r="E386" s="2">
        <v>5024858</v>
      </c>
      <c r="F386" s="2">
        <v>946334823</v>
      </c>
      <c r="G386" s="3">
        <v>33029</v>
      </c>
      <c r="H386" s="2" t="s">
        <v>1114</v>
      </c>
      <c r="I386" s="2" t="s">
        <v>1115</v>
      </c>
      <c r="J386" s="2" t="s">
        <v>1116</v>
      </c>
      <c r="K386" s="2" t="s">
        <v>39</v>
      </c>
      <c r="L386" s="2" t="s">
        <v>27</v>
      </c>
      <c r="M386" s="2">
        <v>5340605</v>
      </c>
      <c r="N386" s="2" t="s">
        <v>40</v>
      </c>
      <c r="O386" s="2" t="s">
        <v>792</v>
      </c>
      <c r="P386" s="2" t="s">
        <v>42</v>
      </c>
      <c r="Q386" s="2" t="s">
        <v>420</v>
      </c>
      <c r="R386" s="2" t="s">
        <v>44</v>
      </c>
      <c r="S386" s="2">
        <v>8</v>
      </c>
      <c r="T386" s="2" t="s">
        <v>33</v>
      </c>
      <c r="U386" s="2" t="s">
        <v>34</v>
      </c>
      <c r="V386" s="32">
        <v>131518288</v>
      </c>
      <c r="Y386" s="30">
        <f t="shared" si="10"/>
        <v>131518288</v>
      </c>
      <c r="Z386" s="41">
        <f t="shared" si="11"/>
        <v>0</v>
      </c>
    </row>
    <row r="387" spans="1:26" ht="26.25">
      <c r="A387" s="2">
        <v>385</v>
      </c>
      <c r="B387" s="2">
        <v>3596550</v>
      </c>
      <c r="C387" s="2">
        <v>51707037150035</v>
      </c>
      <c r="D387" s="2" t="s">
        <v>22</v>
      </c>
      <c r="E387" s="2">
        <v>2583458</v>
      </c>
      <c r="F387" s="2">
        <v>974510928</v>
      </c>
      <c r="G387" s="3">
        <v>37819</v>
      </c>
      <c r="H387" s="2" t="s">
        <v>1117</v>
      </c>
      <c r="I387" s="2" t="s">
        <v>451</v>
      </c>
      <c r="J387" s="2" t="s">
        <v>1118</v>
      </c>
      <c r="K387" s="2" t="s">
        <v>39</v>
      </c>
      <c r="L387" s="2" t="s">
        <v>27</v>
      </c>
      <c r="M387" s="2">
        <v>5620701</v>
      </c>
      <c r="N387" s="2" t="s">
        <v>218</v>
      </c>
      <c r="O387" s="2" t="s">
        <v>179</v>
      </c>
      <c r="P387" s="2" t="s">
        <v>219</v>
      </c>
      <c r="Q387" s="2" t="s">
        <v>602</v>
      </c>
      <c r="R387" s="2" t="s">
        <v>62</v>
      </c>
      <c r="S387" s="2">
        <v>8</v>
      </c>
      <c r="T387" s="2" t="s">
        <v>33</v>
      </c>
      <c r="U387" s="2" t="s">
        <v>34</v>
      </c>
      <c r="V387" s="32">
        <v>59781040</v>
      </c>
      <c r="Y387" s="30">
        <f t="shared" si="10"/>
        <v>59781040</v>
      </c>
      <c r="Z387" s="41">
        <f t="shared" si="11"/>
        <v>0</v>
      </c>
    </row>
    <row r="388" spans="1:26">
      <c r="A388" s="2">
        <v>386</v>
      </c>
      <c r="B388" s="2">
        <v>3486475</v>
      </c>
      <c r="C388" s="2">
        <v>52102036330025</v>
      </c>
      <c r="D388" s="2" t="s">
        <v>22</v>
      </c>
      <c r="E388" s="2">
        <v>2282620</v>
      </c>
      <c r="F388" s="2">
        <v>996210304</v>
      </c>
      <c r="G388" s="3">
        <v>37673</v>
      </c>
      <c r="H388" s="2" t="s">
        <v>636</v>
      </c>
      <c r="I388" s="2" t="s">
        <v>1119</v>
      </c>
      <c r="J388" s="2" t="s">
        <v>555</v>
      </c>
      <c r="K388" s="2" t="s">
        <v>26</v>
      </c>
      <c r="L388" s="2" t="s">
        <v>27</v>
      </c>
      <c r="M388" s="2">
        <v>5620400</v>
      </c>
      <c r="N388" s="2" t="s">
        <v>103</v>
      </c>
      <c r="O388" s="2" t="s">
        <v>122</v>
      </c>
      <c r="P388" s="2" t="s">
        <v>105</v>
      </c>
      <c r="Q388" s="2" t="s">
        <v>223</v>
      </c>
      <c r="R388" s="2" t="s">
        <v>53</v>
      </c>
      <c r="S388" s="2">
        <v>8</v>
      </c>
      <c r="T388" s="2" t="s">
        <v>33</v>
      </c>
      <c r="U388" s="2" t="s">
        <v>34</v>
      </c>
      <c r="V388" s="32">
        <v>51300880</v>
      </c>
      <c r="Y388" s="30">
        <f t="shared" ref="Y388:Y451" si="12">V388-W388</f>
        <v>51300880</v>
      </c>
      <c r="Z388" s="41">
        <f t="shared" ref="Z388:Z451" si="13">W388/V388</f>
        <v>0</v>
      </c>
    </row>
    <row r="389" spans="1:26">
      <c r="A389" s="2">
        <v>387</v>
      </c>
      <c r="B389" s="2">
        <v>1021318</v>
      </c>
      <c r="C389" s="2">
        <v>51407017120013</v>
      </c>
      <c r="D389" s="2" t="s">
        <v>45</v>
      </c>
      <c r="E389" s="2">
        <v>7331969</v>
      </c>
      <c r="F389" s="2">
        <v>990250009</v>
      </c>
      <c r="G389" s="3">
        <v>37086</v>
      </c>
      <c r="H389" s="2" t="s">
        <v>1120</v>
      </c>
      <c r="I389" s="2" t="s">
        <v>1115</v>
      </c>
      <c r="J389" s="2" t="s">
        <v>1121</v>
      </c>
      <c r="K389" s="2" t="s">
        <v>39</v>
      </c>
      <c r="L389" s="2" t="s">
        <v>27</v>
      </c>
      <c r="M389" s="2">
        <v>5314000</v>
      </c>
      <c r="N389" s="2" t="s">
        <v>522</v>
      </c>
      <c r="O389" s="2" t="s">
        <v>149</v>
      </c>
      <c r="P389" s="2" t="s">
        <v>523</v>
      </c>
      <c r="Q389" s="2" t="s">
        <v>1122</v>
      </c>
      <c r="R389" s="2" t="s">
        <v>62</v>
      </c>
      <c r="S389" s="2">
        <v>8</v>
      </c>
      <c r="T389" s="2" t="s">
        <v>33</v>
      </c>
      <c r="U389" s="2" t="s">
        <v>34</v>
      </c>
      <c r="V389" s="32">
        <v>59781040</v>
      </c>
      <c r="Y389" s="30">
        <f t="shared" si="12"/>
        <v>59781040</v>
      </c>
      <c r="Z389" s="41">
        <f t="shared" si="13"/>
        <v>0</v>
      </c>
    </row>
    <row r="390" spans="1:26">
      <c r="A390" s="2">
        <v>388</v>
      </c>
      <c r="B390" s="2">
        <v>3441061</v>
      </c>
      <c r="C390" s="2">
        <v>51504036280033</v>
      </c>
      <c r="D390" s="2" t="s">
        <v>22</v>
      </c>
      <c r="E390" s="2">
        <v>2353422</v>
      </c>
      <c r="F390" s="2">
        <v>942047007</v>
      </c>
      <c r="G390" s="3">
        <v>37726</v>
      </c>
      <c r="H390" s="2" t="s">
        <v>358</v>
      </c>
      <c r="I390" s="2" t="s">
        <v>1123</v>
      </c>
      <c r="J390" s="2" t="s">
        <v>763</v>
      </c>
      <c r="K390" s="2" t="s">
        <v>26</v>
      </c>
      <c r="L390" s="2" t="s">
        <v>27</v>
      </c>
      <c r="M390" s="2">
        <v>5620400</v>
      </c>
      <c r="N390" s="2" t="s">
        <v>103</v>
      </c>
      <c r="O390" s="2" t="s">
        <v>263</v>
      </c>
      <c r="P390" s="2" t="s">
        <v>105</v>
      </c>
      <c r="Q390" s="2" t="s">
        <v>709</v>
      </c>
      <c r="R390" s="2" t="s">
        <v>53</v>
      </c>
      <c r="S390" s="2">
        <v>8</v>
      </c>
      <c r="T390" s="2" t="s">
        <v>33</v>
      </c>
      <c r="U390" s="2" t="s">
        <v>34</v>
      </c>
      <c r="V390" s="32">
        <v>92341584</v>
      </c>
      <c r="W390" s="20">
        <v>46180000</v>
      </c>
      <c r="X390" s="2" t="s">
        <v>2686</v>
      </c>
      <c r="Y390" s="30">
        <f t="shared" si="12"/>
        <v>46161584</v>
      </c>
      <c r="Z390" s="41">
        <f t="shared" si="13"/>
        <v>0.5000997167213419</v>
      </c>
    </row>
    <row r="391" spans="1:26" ht="26.25">
      <c r="A391" s="2">
        <v>389</v>
      </c>
      <c r="B391" s="2">
        <v>3628193</v>
      </c>
      <c r="C391" s="2">
        <v>52112035830031</v>
      </c>
      <c r="D391" s="2" t="s">
        <v>22</v>
      </c>
      <c r="E391" s="2">
        <v>2752514</v>
      </c>
      <c r="F391" s="2">
        <v>883690002</v>
      </c>
      <c r="G391" s="3">
        <v>37976</v>
      </c>
      <c r="H391" s="2" t="s">
        <v>54</v>
      </c>
      <c r="I391" s="2" t="s">
        <v>1124</v>
      </c>
      <c r="J391" s="2" t="s">
        <v>1125</v>
      </c>
      <c r="K391" s="2" t="s">
        <v>39</v>
      </c>
      <c r="L391" s="2" t="s">
        <v>27</v>
      </c>
      <c r="M391" s="2">
        <v>5310601</v>
      </c>
      <c r="N391" s="2" t="s">
        <v>153</v>
      </c>
      <c r="O391" s="2" t="s">
        <v>194</v>
      </c>
      <c r="P391" s="2" t="s">
        <v>79</v>
      </c>
      <c r="Q391" s="4">
        <v>22251</v>
      </c>
      <c r="R391" s="2" t="s">
        <v>62</v>
      </c>
      <c r="S391" s="2">
        <v>8</v>
      </c>
      <c r="T391" s="2" t="s">
        <v>33</v>
      </c>
      <c r="U391" s="2" t="s">
        <v>34</v>
      </c>
      <c r="V391" s="29">
        <v>53802936</v>
      </c>
      <c r="W391" s="20">
        <v>26935000</v>
      </c>
      <c r="X391" s="2" t="s">
        <v>2706</v>
      </c>
      <c r="Y391" s="30">
        <f t="shared" si="12"/>
        <v>26867936</v>
      </c>
      <c r="Z391" s="41">
        <f t="shared" si="13"/>
        <v>0.50062323736384939</v>
      </c>
    </row>
    <row r="392" spans="1:26" ht="15.75">
      <c r="A392" s="2">
        <v>390</v>
      </c>
      <c r="B392" s="2">
        <v>3720858</v>
      </c>
      <c r="C392" s="2">
        <v>50503017170045</v>
      </c>
      <c r="D392" s="2" t="s">
        <v>45</v>
      </c>
      <c r="E392" s="2">
        <v>8709492</v>
      </c>
      <c r="F392" s="2">
        <v>904355452</v>
      </c>
      <c r="G392" s="3">
        <v>36955</v>
      </c>
      <c r="H392" s="2" t="s">
        <v>1126</v>
      </c>
      <c r="I392" s="2" t="s">
        <v>1127</v>
      </c>
      <c r="J392" s="2" t="s">
        <v>1080</v>
      </c>
      <c r="K392" s="2" t="s">
        <v>39</v>
      </c>
      <c r="L392" s="2" t="s">
        <v>57</v>
      </c>
      <c r="M392" s="2">
        <v>5314000</v>
      </c>
      <c r="N392" s="2" t="s">
        <v>522</v>
      </c>
      <c r="O392" s="2" t="s">
        <v>139</v>
      </c>
      <c r="P392" s="2" t="s">
        <v>149</v>
      </c>
      <c r="Q392" s="5">
        <v>44471</v>
      </c>
      <c r="R392" s="2" t="s">
        <v>62</v>
      </c>
      <c r="S392" s="2">
        <v>8</v>
      </c>
      <c r="T392" s="2" t="s">
        <v>33</v>
      </c>
      <c r="U392" s="2" t="s">
        <v>34</v>
      </c>
      <c r="V392" s="32" t="s">
        <v>2723</v>
      </c>
      <c r="W392" s="21">
        <v>18682000</v>
      </c>
      <c r="X392" s="10" t="s">
        <v>2648</v>
      </c>
      <c r="Y392" s="30">
        <f t="shared" si="12"/>
        <v>-1868582.5</v>
      </c>
      <c r="Z392" s="41">
        <f t="shared" si="13"/>
        <v>1.1111363885420678</v>
      </c>
    </row>
    <row r="393" spans="1:26" ht="39">
      <c r="A393" s="2">
        <v>391</v>
      </c>
      <c r="B393" s="2">
        <v>1876079</v>
      </c>
      <c r="C393" s="2">
        <v>32309940560032</v>
      </c>
      <c r="D393" s="2" t="s">
        <v>45</v>
      </c>
      <c r="E393" s="2">
        <v>1064724</v>
      </c>
      <c r="F393" s="2">
        <v>998442341</v>
      </c>
      <c r="G393" s="3">
        <v>34600</v>
      </c>
      <c r="H393" s="2" t="s">
        <v>670</v>
      </c>
      <c r="I393" s="2" t="s">
        <v>788</v>
      </c>
      <c r="J393" s="2" t="s">
        <v>1128</v>
      </c>
      <c r="K393" s="2" t="s">
        <v>39</v>
      </c>
      <c r="L393" s="2" t="s">
        <v>27</v>
      </c>
      <c r="M393" s="2">
        <v>5310601</v>
      </c>
      <c r="N393" s="2" t="s">
        <v>153</v>
      </c>
      <c r="O393" s="2" t="s">
        <v>88</v>
      </c>
      <c r="P393" s="2" t="s">
        <v>79</v>
      </c>
      <c r="Q393" s="5">
        <v>44338</v>
      </c>
      <c r="R393" s="2" t="s">
        <v>62</v>
      </c>
      <c r="S393" s="2">
        <v>8</v>
      </c>
      <c r="T393" s="2" t="s">
        <v>33</v>
      </c>
      <c r="U393" s="2" t="s">
        <v>34</v>
      </c>
      <c r="V393" s="29">
        <v>53802936</v>
      </c>
      <c r="W393" s="20">
        <f>30000000+19803000+4000000</f>
        <v>53803000</v>
      </c>
      <c r="X393" s="2" t="s">
        <v>2861</v>
      </c>
      <c r="Y393" s="30">
        <f t="shared" si="12"/>
        <v>-64</v>
      </c>
      <c r="Z393" s="41">
        <f t="shared" si="13"/>
        <v>1.0000011895261627</v>
      </c>
    </row>
    <row r="394" spans="1:26" ht="39">
      <c r="A394" s="2">
        <v>392</v>
      </c>
      <c r="B394" s="2">
        <v>2256773</v>
      </c>
      <c r="C394" s="2">
        <v>61205016920093</v>
      </c>
      <c r="D394" s="2" t="s">
        <v>45</v>
      </c>
      <c r="E394" s="2">
        <v>9310824</v>
      </c>
      <c r="F394" s="2">
        <v>990479054</v>
      </c>
      <c r="G394" s="3">
        <v>37023</v>
      </c>
      <c r="H394" s="2" t="s">
        <v>1129</v>
      </c>
      <c r="I394" s="2" t="s">
        <v>1130</v>
      </c>
      <c r="J394" s="2" t="s">
        <v>1131</v>
      </c>
      <c r="K394" s="2" t="s">
        <v>26</v>
      </c>
      <c r="L394" s="2" t="s">
        <v>27</v>
      </c>
      <c r="M394" s="2">
        <v>5311003</v>
      </c>
      <c r="N394" s="2" t="s">
        <v>144</v>
      </c>
      <c r="O394" s="2" t="s">
        <v>67</v>
      </c>
      <c r="P394" s="2" t="s">
        <v>490</v>
      </c>
      <c r="Q394" s="5">
        <v>44492</v>
      </c>
      <c r="R394" s="2" t="s">
        <v>53</v>
      </c>
      <c r="S394" s="2">
        <v>8</v>
      </c>
      <c r="T394" s="2" t="s">
        <v>508</v>
      </c>
      <c r="U394" s="2" t="s">
        <v>34</v>
      </c>
      <c r="V394" s="32">
        <v>51300880</v>
      </c>
      <c r="Y394" s="30">
        <f t="shared" si="12"/>
        <v>51300880</v>
      </c>
      <c r="Z394" s="41">
        <f t="shared" si="13"/>
        <v>0</v>
      </c>
    </row>
    <row r="395" spans="1:26">
      <c r="A395" s="2">
        <v>393</v>
      </c>
      <c r="B395" s="2">
        <v>1833877</v>
      </c>
      <c r="C395" s="2">
        <v>52001017020037</v>
      </c>
      <c r="D395" s="2" t="s">
        <v>22</v>
      </c>
      <c r="E395" s="2">
        <v>402023</v>
      </c>
      <c r="F395" s="2">
        <v>905675188</v>
      </c>
      <c r="G395" s="3">
        <v>36911</v>
      </c>
      <c r="H395" s="2" t="s">
        <v>1132</v>
      </c>
      <c r="I395" s="2" t="s">
        <v>347</v>
      </c>
      <c r="J395" s="2" t="s">
        <v>1133</v>
      </c>
      <c r="K395" s="2" t="s">
        <v>26</v>
      </c>
      <c r="L395" s="2" t="s">
        <v>27</v>
      </c>
      <c r="M395" s="2">
        <v>5620101</v>
      </c>
      <c r="N395" s="2" t="s">
        <v>49</v>
      </c>
      <c r="O395" s="2" t="s">
        <v>225</v>
      </c>
      <c r="P395" s="2" t="s">
        <v>51</v>
      </c>
      <c r="Q395" s="2" t="s">
        <v>149</v>
      </c>
      <c r="R395" s="2" t="s">
        <v>53</v>
      </c>
      <c r="S395" s="2">
        <v>8</v>
      </c>
      <c r="T395" s="2" t="s">
        <v>33</v>
      </c>
      <c r="U395" s="2" t="s">
        <v>34</v>
      </c>
      <c r="V395" s="32">
        <v>56735520</v>
      </c>
      <c r="Y395" s="30">
        <f t="shared" si="12"/>
        <v>56735520</v>
      </c>
      <c r="Z395" s="41">
        <f t="shared" si="13"/>
        <v>0</v>
      </c>
    </row>
    <row r="396" spans="1:26" ht="26.25">
      <c r="A396" s="2">
        <v>394</v>
      </c>
      <c r="B396" s="2">
        <v>2047409</v>
      </c>
      <c r="C396" s="2">
        <v>30210880570015</v>
      </c>
      <c r="D396" s="2" t="s">
        <v>145</v>
      </c>
      <c r="E396" s="2">
        <v>3178081</v>
      </c>
      <c r="F396" s="2">
        <v>983626166</v>
      </c>
      <c r="G396" s="3">
        <v>32418</v>
      </c>
      <c r="H396" s="2" t="s">
        <v>183</v>
      </c>
      <c r="I396" s="2" t="s">
        <v>1134</v>
      </c>
      <c r="J396" s="2" t="s">
        <v>1135</v>
      </c>
      <c r="K396" s="2" t="s">
        <v>39</v>
      </c>
      <c r="L396" s="2" t="s">
        <v>27</v>
      </c>
      <c r="M396" s="2">
        <v>5230903</v>
      </c>
      <c r="N396" s="2" t="s">
        <v>314</v>
      </c>
      <c r="O396" s="2" t="s">
        <v>160</v>
      </c>
      <c r="P396" s="2" t="s">
        <v>298</v>
      </c>
      <c r="Q396" s="2" t="s">
        <v>1001</v>
      </c>
      <c r="R396" s="2" t="s">
        <v>82</v>
      </c>
      <c r="S396" s="2">
        <v>10</v>
      </c>
      <c r="T396" s="2" t="s">
        <v>33</v>
      </c>
      <c r="U396" s="2" t="s">
        <v>34</v>
      </c>
      <c r="V396" s="32">
        <v>209233640</v>
      </c>
      <c r="Y396" s="30">
        <f t="shared" si="12"/>
        <v>209233640</v>
      </c>
      <c r="Z396" s="41">
        <f t="shared" si="13"/>
        <v>0</v>
      </c>
    </row>
    <row r="397" spans="1:26" ht="26.25">
      <c r="A397" s="2">
        <v>395</v>
      </c>
      <c r="B397" s="2">
        <v>2643054</v>
      </c>
      <c r="C397" s="2">
        <v>52106026590017</v>
      </c>
      <c r="D397" s="2" t="s">
        <v>22</v>
      </c>
      <c r="E397" s="2">
        <v>573194</v>
      </c>
      <c r="F397" s="2">
        <v>998104711</v>
      </c>
      <c r="G397" s="3">
        <v>37428</v>
      </c>
      <c r="H397" s="2" t="s">
        <v>1136</v>
      </c>
      <c r="I397" s="2" t="s">
        <v>1137</v>
      </c>
      <c r="J397" s="2" t="s">
        <v>158</v>
      </c>
      <c r="K397" s="2" t="s">
        <v>39</v>
      </c>
      <c r="L397" s="2" t="s">
        <v>27</v>
      </c>
      <c r="M397" s="2">
        <v>5310601</v>
      </c>
      <c r="N397" s="2" t="s">
        <v>153</v>
      </c>
      <c r="O397" s="2" t="s">
        <v>439</v>
      </c>
      <c r="P397" s="2" t="s">
        <v>79</v>
      </c>
      <c r="Q397" s="2" t="s">
        <v>59</v>
      </c>
      <c r="R397" s="2" t="s">
        <v>62</v>
      </c>
      <c r="S397" s="2">
        <v>8</v>
      </c>
      <c r="T397" s="2" t="s">
        <v>33</v>
      </c>
      <c r="U397" s="2" t="s">
        <v>34</v>
      </c>
      <c r="V397" s="32">
        <v>119562080</v>
      </c>
      <c r="W397" s="20">
        <v>59781040</v>
      </c>
      <c r="X397" s="2" t="s">
        <v>2671</v>
      </c>
      <c r="Y397" s="30">
        <f t="shared" si="12"/>
        <v>59781040</v>
      </c>
      <c r="Z397" s="41">
        <f t="shared" si="13"/>
        <v>0.5</v>
      </c>
    </row>
    <row r="398" spans="1:26" ht="26.25">
      <c r="A398" s="2">
        <v>396</v>
      </c>
      <c r="B398" s="2">
        <v>3574752</v>
      </c>
      <c r="C398" s="2">
        <v>50410035260051</v>
      </c>
      <c r="D398" s="2" t="s">
        <v>22</v>
      </c>
      <c r="E398" s="2">
        <v>2287854</v>
      </c>
      <c r="F398" s="2">
        <v>974872324</v>
      </c>
      <c r="G398" s="3">
        <v>37898</v>
      </c>
      <c r="H398" s="2" t="s">
        <v>1138</v>
      </c>
      <c r="I398" s="2" t="s">
        <v>1139</v>
      </c>
      <c r="J398" s="2" t="s">
        <v>1140</v>
      </c>
      <c r="K398" s="2" t="s">
        <v>39</v>
      </c>
      <c r="L398" s="2" t="s">
        <v>27</v>
      </c>
      <c r="M398" s="2">
        <v>5230902</v>
      </c>
      <c r="N398" s="2" t="s">
        <v>251</v>
      </c>
      <c r="O398" s="2" t="s">
        <v>68</v>
      </c>
      <c r="P398" s="2" t="s">
        <v>252</v>
      </c>
      <c r="Q398" s="2" t="s">
        <v>81</v>
      </c>
      <c r="R398" s="2" t="s">
        <v>82</v>
      </c>
      <c r="S398" s="2">
        <v>10</v>
      </c>
      <c r="T398" s="2" t="s">
        <v>33</v>
      </c>
      <c r="U398" s="2" t="s">
        <v>34</v>
      </c>
      <c r="V398" s="32">
        <v>94155138</v>
      </c>
      <c r="W398" s="20">
        <v>52308500</v>
      </c>
      <c r="X398" s="2" t="s">
        <v>2663</v>
      </c>
      <c r="Y398" s="30">
        <f t="shared" si="12"/>
        <v>41846638</v>
      </c>
      <c r="Z398" s="41">
        <f t="shared" si="13"/>
        <v>0.55555651142479345</v>
      </c>
    </row>
    <row r="399" spans="1:26" ht="39">
      <c r="A399" s="2">
        <v>397</v>
      </c>
      <c r="B399" s="2">
        <v>1861922</v>
      </c>
      <c r="C399" s="2">
        <v>40101900252314</v>
      </c>
      <c r="D399" s="2" t="s">
        <v>145</v>
      </c>
      <c r="E399" s="2">
        <v>8565661</v>
      </c>
      <c r="F399" s="2">
        <v>903151461</v>
      </c>
      <c r="G399" s="3">
        <v>32874</v>
      </c>
      <c r="H399" s="2" t="s">
        <v>326</v>
      </c>
      <c r="I399" s="2" t="s">
        <v>1141</v>
      </c>
      <c r="J399" s="2" t="s">
        <v>1142</v>
      </c>
      <c r="K399" s="2" t="s">
        <v>39</v>
      </c>
      <c r="L399" s="2" t="s">
        <v>27</v>
      </c>
      <c r="M399" s="2">
        <v>5311003</v>
      </c>
      <c r="N399" s="2" t="s">
        <v>144</v>
      </c>
      <c r="O399" s="2" t="s">
        <v>198</v>
      </c>
      <c r="P399" s="2" t="s">
        <v>79</v>
      </c>
      <c r="Q399" s="2" t="s">
        <v>500</v>
      </c>
      <c r="R399" s="2" t="s">
        <v>62</v>
      </c>
      <c r="S399" s="2">
        <v>8</v>
      </c>
      <c r="T399" s="2" t="s">
        <v>33</v>
      </c>
      <c r="U399" s="2" t="s">
        <v>34</v>
      </c>
      <c r="V399" s="32">
        <v>59781040</v>
      </c>
      <c r="Y399" s="30">
        <f t="shared" si="12"/>
        <v>59781040</v>
      </c>
      <c r="Z399" s="41">
        <f t="shared" si="13"/>
        <v>0</v>
      </c>
    </row>
    <row r="400" spans="1:26">
      <c r="A400" s="2">
        <v>398</v>
      </c>
      <c r="B400" s="2">
        <v>3343320</v>
      </c>
      <c r="C400" s="2">
        <v>52402026560017</v>
      </c>
      <c r="D400" s="2" t="s">
        <v>45</v>
      </c>
      <c r="E400" s="2">
        <v>9073274</v>
      </c>
      <c r="F400" s="2">
        <v>901217745</v>
      </c>
      <c r="G400" s="3">
        <v>37311</v>
      </c>
      <c r="H400" s="2" t="s">
        <v>1143</v>
      </c>
      <c r="I400" s="2" t="s">
        <v>1144</v>
      </c>
      <c r="J400" s="2" t="s">
        <v>1145</v>
      </c>
      <c r="K400" s="2" t="s">
        <v>39</v>
      </c>
      <c r="L400" s="2" t="s">
        <v>57</v>
      </c>
      <c r="M400" s="2">
        <v>5310400</v>
      </c>
      <c r="N400" s="2" t="s">
        <v>232</v>
      </c>
      <c r="O400" s="2" t="s">
        <v>154</v>
      </c>
      <c r="P400" s="2" t="s">
        <v>139</v>
      </c>
      <c r="Q400" s="5">
        <v>44471</v>
      </c>
      <c r="R400" s="2" t="s">
        <v>62</v>
      </c>
      <c r="S400" s="2">
        <v>8</v>
      </c>
      <c r="T400" s="2" t="s">
        <v>33</v>
      </c>
      <c r="U400" s="2" t="s">
        <v>34</v>
      </c>
      <c r="V400" s="32">
        <v>18681575</v>
      </c>
      <c r="Y400" s="30">
        <f t="shared" si="12"/>
        <v>18681575</v>
      </c>
      <c r="Z400" s="41">
        <f t="shared" si="13"/>
        <v>0</v>
      </c>
    </row>
    <row r="401" spans="1:26">
      <c r="A401" s="2">
        <v>399</v>
      </c>
      <c r="B401" s="2">
        <v>1300313</v>
      </c>
      <c r="C401" s="2">
        <v>51202006150024</v>
      </c>
      <c r="D401" s="2" t="s">
        <v>45</v>
      </c>
      <c r="E401" s="2">
        <v>4622957</v>
      </c>
      <c r="F401" s="2">
        <v>978984848</v>
      </c>
      <c r="G401" s="3">
        <v>36568</v>
      </c>
      <c r="H401" s="2" t="s">
        <v>695</v>
      </c>
      <c r="I401" s="2" t="s">
        <v>1011</v>
      </c>
      <c r="J401" s="2" t="s">
        <v>1146</v>
      </c>
      <c r="K401" s="2" t="s">
        <v>39</v>
      </c>
      <c r="L401" s="2" t="s">
        <v>57</v>
      </c>
      <c r="M401" s="2">
        <v>5310606</v>
      </c>
      <c r="N401" s="2" t="s">
        <v>72</v>
      </c>
      <c r="O401" s="2" t="s">
        <v>198</v>
      </c>
      <c r="P401" s="2" t="s">
        <v>225</v>
      </c>
      <c r="Q401" s="4">
        <v>12966</v>
      </c>
      <c r="R401" s="2" t="s">
        <v>62</v>
      </c>
      <c r="S401" s="2">
        <v>8</v>
      </c>
      <c r="T401" s="2" t="s">
        <v>33</v>
      </c>
      <c r="U401" s="2" t="s">
        <v>34</v>
      </c>
      <c r="V401" s="32">
        <v>59781040</v>
      </c>
      <c r="Y401" s="30">
        <f t="shared" si="12"/>
        <v>59781040</v>
      </c>
      <c r="Z401" s="41">
        <f t="shared" si="13"/>
        <v>0</v>
      </c>
    </row>
    <row r="402" spans="1:26">
      <c r="A402" s="2">
        <v>400</v>
      </c>
      <c r="B402" s="2">
        <v>3635893</v>
      </c>
      <c r="C402" s="2">
        <v>62812037360013</v>
      </c>
      <c r="D402" s="2" t="s">
        <v>35</v>
      </c>
      <c r="E402" s="2">
        <v>1305792</v>
      </c>
      <c r="F402" s="2">
        <v>937172001</v>
      </c>
      <c r="G402" s="3">
        <v>37983</v>
      </c>
      <c r="H402" s="2" t="s">
        <v>1147</v>
      </c>
      <c r="I402" s="2" t="s">
        <v>1148</v>
      </c>
      <c r="J402" s="2" t="s">
        <v>1149</v>
      </c>
      <c r="K402" s="2" t="s">
        <v>39</v>
      </c>
      <c r="L402" s="2" t="s">
        <v>27</v>
      </c>
      <c r="M402" s="2">
        <v>5310606</v>
      </c>
      <c r="N402" s="2" t="s">
        <v>72</v>
      </c>
      <c r="O402" s="2" t="s">
        <v>175</v>
      </c>
      <c r="P402" s="2" t="s">
        <v>73</v>
      </c>
      <c r="Q402" s="4">
        <v>45778</v>
      </c>
      <c r="R402" s="2" t="s">
        <v>62</v>
      </c>
      <c r="S402" s="2">
        <v>8</v>
      </c>
      <c r="T402" s="2" t="s">
        <v>33</v>
      </c>
      <c r="U402" s="2" t="s">
        <v>34</v>
      </c>
      <c r="V402" s="32">
        <v>59781040</v>
      </c>
      <c r="Y402" s="30">
        <f t="shared" si="12"/>
        <v>59781040</v>
      </c>
      <c r="Z402" s="41">
        <f t="shared" si="13"/>
        <v>0</v>
      </c>
    </row>
    <row r="403" spans="1:26" ht="15.75">
      <c r="A403" s="2">
        <v>401</v>
      </c>
      <c r="B403" s="2">
        <v>3450290</v>
      </c>
      <c r="C403" s="2">
        <v>52612037230012</v>
      </c>
      <c r="D403" s="2" t="s">
        <v>35</v>
      </c>
      <c r="E403" s="2">
        <v>1299424</v>
      </c>
      <c r="F403" s="2">
        <v>948430302</v>
      </c>
      <c r="G403" s="3">
        <v>37981</v>
      </c>
      <c r="H403" s="2" t="s">
        <v>112</v>
      </c>
      <c r="I403" s="2" t="s">
        <v>1150</v>
      </c>
      <c r="J403" s="2" t="s">
        <v>1010</v>
      </c>
      <c r="K403" s="2" t="s">
        <v>39</v>
      </c>
      <c r="L403" s="2" t="s">
        <v>57</v>
      </c>
      <c r="M403" s="2">
        <v>5310202</v>
      </c>
      <c r="N403" s="2" t="s">
        <v>86</v>
      </c>
      <c r="O403" s="2" t="s">
        <v>41</v>
      </c>
      <c r="P403" s="2" t="s">
        <v>154</v>
      </c>
      <c r="Q403" s="4">
        <v>42064</v>
      </c>
      <c r="R403" s="2" t="s">
        <v>62</v>
      </c>
      <c r="S403" s="2">
        <v>8</v>
      </c>
      <c r="T403" s="2" t="s">
        <v>33</v>
      </c>
      <c r="U403" s="2" t="s">
        <v>34</v>
      </c>
      <c r="V403" s="32">
        <v>22417890</v>
      </c>
      <c r="W403" s="21">
        <v>11418000</v>
      </c>
      <c r="X403" s="11" t="s">
        <v>2642</v>
      </c>
      <c r="Y403" s="30">
        <f t="shared" si="12"/>
        <v>10999890</v>
      </c>
      <c r="Z403" s="41">
        <f t="shared" si="13"/>
        <v>0.50932536469756962</v>
      </c>
    </row>
    <row r="404" spans="1:26" ht="39">
      <c r="A404" s="2">
        <v>402</v>
      </c>
      <c r="B404" s="2">
        <v>3349094</v>
      </c>
      <c r="C404" s="2">
        <v>52908036130074</v>
      </c>
      <c r="D404" s="2" t="s">
        <v>22</v>
      </c>
      <c r="E404" s="2">
        <v>3094144</v>
      </c>
      <c r="F404" s="2">
        <v>994495506</v>
      </c>
      <c r="G404" s="3">
        <v>37862</v>
      </c>
      <c r="H404" s="2" t="s">
        <v>1151</v>
      </c>
      <c r="I404" s="2" t="s">
        <v>506</v>
      </c>
      <c r="J404" s="2" t="s">
        <v>1152</v>
      </c>
      <c r="K404" s="2" t="s">
        <v>26</v>
      </c>
      <c r="L404" s="2" t="s">
        <v>57</v>
      </c>
      <c r="M404" s="2">
        <v>5340401</v>
      </c>
      <c r="N404" s="2" t="s">
        <v>349</v>
      </c>
      <c r="O404" s="2" t="s">
        <v>211</v>
      </c>
      <c r="P404" s="2" t="s">
        <v>60</v>
      </c>
      <c r="Q404" s="5">
        <v>44471</v>
      </c>
      <c r="R404" s="2" t="s">
        <v>93</v>
      </c>
      <c r="S404" s="2">
        <v>8</v>
      </c>
      <c r="T404" s="2" t="s">
        <v>33</v>
      </c>
      <c r="U404" s="2" t="s">
        <v>34</v>
      </c>
      <c r="V404" s="32">
        <v>113471040</v>
      </c>
      <c r="Y404" s="30">
        <f t="shared" si="12"/>
        <v>113471040</v>
      </c>
      <c r="Z404" s="41">
        <f t="shared" si="13"/>
        <v>0</v>
      </c>
    </row>
    <row r="405" spans="1:26">
      <c r="A405" s="2">
        <v>403</v>
      </c>
      <c r="B405" s="2">
        <v>2179125</v>
      </c>
      <c r="C405" s="2">
        <v>53005025260040</v>
      </c>
      <c r="D405" s="2" t="s">
        <v>22</v>
      </c>
      <c r="E405" s="2">
        <v>188336</v>
      </c>
      <c r="F405" s="2">
        <v>914065772</v>
      </c>
      <c r="G405" s="3">
        <v>37406</v>
      </c>
      <c r="H405" s="2" t="s">
        <v>358</v>
      </c>
      <c r="I405" s="2" t="s">
        <v>1153</v>
      </c>
      <c r="J405" s="2" t="s">
        <v>1045</v>
      </c>
      <c r="K405" s="2" t="s">
        <v>26</v>
      </c>
      <c r="L405" s="2" t="s">
        <v>27</v>
      </c>
      <c r="M405" s="2">
        <v>5240109</v>
      </c>
      <c r="N405" s="2" t="s">
        <v>28</v>
      </c>
      <c r="O405" s="2" t="s">
        <v>1154</v>
      </c>
      <c r="P405" s="2" t="s">
        <v>30</v>
      </c>
      <c r="Q405" s="2" t="s">
        <v>775</v>
      </c>
      <c r="R405" s="2" t="s">
        <v>32</v>
      </c>
      <c r="S405" s="2">
        <v>25</v>
      </c>
      <c r="T405" s="2" t="s">
        <v>33</v>
      </c>
      <c r="U405" s="2" t="s">
        <v>34</v>
      </c>
      <c r="V405" s="32">
        <v>245231500</v>
      </c>
      <c r="Y405" s="30">
        <f t="shared" si="12"/>
        <v>245231500</v>
      </c>
      <c r="Z405" s="41">
        <f t="shared" si="13"/>
        <v>0</v>
      </c>
    </row>
    <row r="406" spans="1:26" ht="26.25">
      <c r="A406" s="2">
        <v>404</v>
      </c>
      <c r="B406" s="2">
        <v>2015583</v>
      </c>
      <c r="C406" s="2">
        <v>31506977140012</v>
      </c>
      <c r="D406" s="2" t="s">
        <v>145</v>
      </c>
      <c r="E406" s="2">
        <v>2540363</v>
      </c>
      <c r="F406" s="2">
        <v>999646445</v>
      </c>
      <c r="G406" s="3">
        <v>35596</v>
      </c>
      <c r="H406" s="2" t="s">
        <v>974</v>
      </c>
      <c r="I406" s="2" t="s">
        <v>1155</v>
      </c>
      <c r="J406" s="2" t="s">
        <v>555</v>
      </c>
      <c r="K406" s="2" t="s">
        <v>39</v>
      </c>
      <c r="L406" s="2" t="s">
        <v>57</v>
      </c>
      <c r="M406" s="2">
        <v>5310601</v>
      </c>
      <c r="N406" s="2" t="s">
        <v>153</v>
      </c>
      <c r="O406" s="2" t="s">
        <v>41</v>
      </c>
      <c r="P406" s="2" t="s">
        <v>155</v>
      </c>
      <c r="Q406" s="4">
        <v>11110</v>
      </c>
      <c r="R406" s="2" t="s">
        <v>62</v>
      </c>
      <c r="S406" s="2">
        <v>8</v>
      </c>
      <c r="T406" s="2" t="s">
        <v>33</v>
      </c>
      <c r="U406" s="2" t="s">
        <v>34</v>
      </c>
      <c r="V406" s="32">
        <v>59781040</v>
      </c>
      <c r="Y406" s="30">
        <f t="shared" si="12"/>
        <v>59781040</v>
      </c>
      <c r="Z406" s="41">
        <f t="shared" si="13"/>
        <v>0</v>
      </c>
    </row>
    <row r="407" spans="1:26" ht="26.25">
      <c r="A407" s="2">
        <v>405</v>
      </c>
      <c r="B407" s="2">
        <v>2079334</v>
      </c>
      <c r="C407" s="2">
        <v>30303986540023</v>
      </c>
      <c r="D407" s="2" t="s">
        <v>145</v>
      </c>
      <c r="E407" s="2">
        <v>4767635</v>
      </c>
      <c r="F407" s="2">
        <v>974441171</v>
      </c>
      <c r="G407" s="3">
        <v>35857</v>
      </c>
      <c r="H407" s="2" t="s">
        <v>1156</v>
      </c>
      <c r="I407" s="2" t="s">
        <v>1157</v>
      </c>
      <c r="J407" s="2" t="s">
        <v>878</v>
      </c>
      <c r="K407" s="2" t="s">
        <v>39</v>
      </c>
      <c r="L407" s="2" t="s">
        <v>57</v>
      </c>
      <c r="M407" s="2">
        <v>5620701</v>
      </c>
      <c r="N407" s="2" t="s">
        <v>218</v>
      </c>
      <c r="O407" s="2" t="s">
        <v>149</v>
      </c>
      <c r="P407" s="2" t="s">
        <v>194</v>
      </c>
      <c r="Q407" s="5">
        <v>44317</v>
      </c>
      <c r="R407" s="2" t="s">
        <v>62</v>
      </c>
      <c r="S407" s="2">
        <v>8</v>
      </c>
      <c r="T407" s="2" t="s">
        <v>508</v>
      </c>
      <c r="U407" s="2" t="s">
        <v>34</v>
      </c>
      <c r="V407" s="32">
        <v>11208945</v>
      </c>
      <c r="Y407" s="30">
        <f t="shared" si="12"/>
        <v>11208945</v>
      </c>
      <c r="Z407" s="41">
        <f t="shared" si="13"/>
        <v>0</v>
      </c>
    </row>
    <row r="408" spans="1:26" ht="26.25">
      <c r="A408" s="2">
        <v>406</v>
      </c>
      <c r="B408" s="2">
        <v>3533873</v>
      </c>
      <c r="C408" s="2">
        <v>50404036270032</v>
      </c>
      <c r="D408" s="2" t="s">
        <v>22</v>
      </c>
      <c r="E408" s="2">
        <v>2153915</v>
      </c>
      <c r="F408" s="2">
        <v>997507732</v>
      </c>
      <c r="G408" s="3">
        <v>37715</v>
      </c>
      <c r="H408" s="2" t="s">
        <v>115</v>
      </c>
      <c r="I408" s="2" t="s">
        <v>1158</v>
      </c>
      <c r="J408" s="2" t="s">
        <v>1159</v>
      </c>
      <c r="K408" s="2" t="s">
        <v>26</v>
      </c>
      <c r="L408" s="2" t="s">
        <v>27</v>
      </c>
      <c r="M408" s="2">
        <v>5310605</v>
      </c>
      <c r="N408" s="2" t="s">
        <v>97</v>
      </c>
      <c r="O408" s="2" t="s">
        <v>42</v>
      </c>
      <c r="P408" s="2" t="s">
        <v>98</v>
      </c>
      <c r="Q408" s="2" t="s">
        <v>124</v>
      </c>
      <c r="R408" s="2" t="s">
        <v>53</v>
      </c>
      <c r="S408" s="2">
        <v>8</v>
      </c>
      <c r="T408" s="2" t="s">
        <v>33</v>
      </c>
      <c r="U408" s="2" t="s">
        <v>34</v>
      </c>
      <c r="V408" s="32">
        <v>51300880</v>
      </c>
      <c r="Y408" s="30">
        <f t="shared" si="12"/>
        <v>51300880</v>
      </c>
      <c r="Z408" s="41">
        <f t="shared" si="13"/>
        <v>0</v>
      </c>
    </row>
    <row r="409" spans="1:26" ht="26.25">
      <c r="A409" s="2">
        <v>407</v>
      </c>
      <c r="B409" s="2">
        <v>1600539</v>
      </c>
      <c r="C409" s="2">
        <v>31908965550034</v>
      </c>
      <c r="D409" s="2" t="s">
        <v>22</v>
      </c>
      <c r="E409" s="2">
        <v>419786</v>
      </c>
      <c r="F409" s="2">
        <v>990745505</v>
      </c>
      <c r="G409" s="3">
        <v>35296</v>
      </c>
      <c r="H409" s="2" t="s">
        <v>195</v>
      </c>
      <c r="I409" s="2" t="s">
        <v>970</v>
      </c>
      <c r="J409" s="2" t="s">
        <v>1160</v>
      </c>
      <c r="K409" s="2" t="s">
        <v>39</v>
      </c>
      <c r="L409" s="2" t="s">
        <v>57</v>
      </c>
      <c r="M409" s="2">
        <v>5310605</v>
      </c>
      <c r="N409" s="2" t="s">
        <v>97</v>
      </c>
      <c r="O409" s="2" t="s">
        <v>225</v>
      </c>
      <c r="P409" s="2" t="s">
        <v>154</v>
      </c>
      <c r="Q409" s="5">
        <v>44471</v>
      </c>
      <c r="R409" s="2" t="s">
        <v>62</v>
      </c>
      <c r="S409" s="2">
        <v>8</v>
      </c>
      <c r="T409" s="2" t="s">
        <v>33</v>
      </c>
      <c r="U409" s="2" t="s">
        <v>34</v>
      </c>
      <c r="V409" s="32">
        <v>18681575</v>
      </c>
      <c r="W409" s="21">
        <v>9400000</v>
      </c>
      <c r="X409" s="11" t="s">
        <v>2643</v>
      </c>
      <c r="Y409" s="30">
        <f t="shared" si="12"/>
        <v>9281575</v>
      </c>
      <c r="Z409" s="41">
        <f t="shared" si="13"/>
        <v>0.50316956680579661</v>
      </c>
    </row>
    <row r="410" spans="1:26" ht="26.25">
      <c r="A410" s="2">
        <v>408</v>
      </c>
      <c r="B410" s="2">
        <v>2976725</v>
      </c>
      <c r="C410" s="2">
        <v>32409942720110</v>
      </c>
      <c r="D410" s="2" t="s">
        <v>145</v>
      </c>
      <c r="E410" s="2">
        <v>1983620</v>
      </c>
      <c r="F410" s="2">
        <v>943363300</v>
      </c>
      <c r="G410" s="3">
        <v>34601</v>
      </c>
      <c r="H410" s="2" t="s">
        <v>46</v>
      </c>
      <c r="I410" s="2" t="s">
        <v>1161</v>
      </c>
      <c r="J410" s="2" t="s">
        <v>1162</v>
      </c>
      <c r="K410" s="2" t="s">
        <v>39</v>
      </c>
      <c r="L410" s="2" t="s">
        <v>27</v>
      </c>
      <c r="M410" s="2">
        <v>5320102</v>
      </c>
      <c r="N410" s="2" t="s">
        <v>138</v>
      </c>
      <c r="O410" s="2" t="s">
        <v>175</v>
      </c>
      <c r="P410" s="2" t="s">
        <v>140</v>
      </c>
      <c r="Q410" s="5">
        <v>44317</v>
      </c>
      <c r="R410" s="2" t="s">
        <v>62</v>
      </c>
      <c r="S410" s="2">
        <v>8</v>
      </c>
      <c r="T410" s="2" t="s">
        <v>33</v>
      </c>
      <c r="U410" s="2" t="s">
        <v>34</v>
      </c>
      <c r="V410" s="32">
        <v>11208945</v>
      </c>
      <c r="W410" s="21">
        <f>6000000+4090000</f>
        <v>10090000</v>
      </c>
      <c r="X410" s="11" t="s">
        <v>2973</v>
      </c>
      <c r="Y410" s="30">
        <f t="shared" si="12"/>
        <v>1118945</v>
      </c>
      <c r="Z410" s="41">
        <f t="shared" si="13"/>
        <v>0.90017392359405812</v>
      </c>
    </row>
    <row r="411" spans="1:26" ht="26.25">
      <c r="A411" s="2">
        <v>409</v>
      </c>
      <c r="B411" s="2">
        <v>3337427</v>
      </c>
      <c r="C411" s="2">
        <v>50201045710014</v>
      </c>
      <c r="D411" s="2" t="s">
        <v>22</v>
      </c>
      <c r="E411" s="2">
        <v>2712202</v>
      </c>
      <c r="F411" s="2">
        <v>977299224</v>
      </c>
      <c r="G411" s="3">
        <v>37988</v>
      </c>
      <c r="H411" s="2" t="s">
        <v>1163</v>
      </c>
      <c r="I411" s="2" t="s">
        <v>1164</v>
      </c>
      <c r="J411" s="2" t="s">
        <v>1165</v>
      </c>
      <c r="K411" s="2" t="s">
        <v>26</v>
      </c>
      <c r="L411" s="2" t="s">
        <v>57</v>
      </c>
      <c r="M411" s="2">
        <v>5340606</v>
      </c>
      <c r="N411" s="2" t="s">
        <v>191</v>
      </c>
      <c r="O411" s="2" t="s">
        <v>60</v>
      </c>
      <c r="P411" s="2" t="s">
        <v>179</v>
      </c>
      <c r="Q411" s="5">
        <v>44317</v>
      </c>
      <c r="R411" s="2" t="s">
        <v>93</v>
      </c>
      <c r="S411" s="2">
        <v>8</v>
      </c>
      <c r="T411" s="2" t="s">
        <v>33</v>
      </c>
      <c r="U411" s="2" t="s">
        <v>34</v>
      </c>
      <c r="V411" s="32">
        <v>10637910</v>
      </c>
      <c r="W411" s="21">
        <v>5319000</v>
      </c>
      <c r="X411" s="11" t="s">
        <v>2627</v>
      </c>
      <c r="Y411" s="30">
        <f t="shared" si="12"/>
        <v>5318910</v>
      </c>
      <c r="Z411" s="41">
        <f t="shared" si="13"/>
        <v>0.50000423015423145</v>
      </c>
    </row>
    <row r="412" spans="1:26" ht="26.25">
      <c r="A412" s="2">
        <v>410</v>
      </c>
      <c r="B412" s="2">
        <v>3263881</v>
      </c>
      <c r="C412" s="2">
        <v>52402046610055</v>
      </c>
      <c r="D412" s="2" t="s">
        <v>22</v>
      </c>
      <c r="E412" s="2">
        <v>2771125</v>
      </c>
      <c r="F412" s="2">
        <v>998595890</v>
      </c>
      <c r="G412" s="3">
        <v>38041</v>
      </c>
      <c r="H412" s="2" t="s">
        <v>1166</v>
      </c>
      <c r="I412" s="2" t="s">
        <v>1167</v>
      </c>
      <c r="J412" s="2" t="s">
        <v>1168</v>
      </c>
      <c r="K412" s="2" t="s">
        <v>39</v>
      </c>
      <c r="L412" s="2" t="s">
        <v>27</v>
      </c>
      <c r="M412" s="2">
        <v>5340202</v>
      </c>
      <c r="N412" s="2" t="s">
        <v>499</v>
      </c>
      <c r="O412" s="2" t="s">
        <v>344</v>
      </c>
      <c r="P412" s="2" t="s">
        <v>490</v>
      </c>
      <c r="Q412" s="4">
        <v>45778</v>
      </c>
      <c r="R412" s="2" t="s">
        <v>44</v>
      </c>
      <c r="S412" s="2">
        <v>8</v>
      </c>
      <c r="T412" s="2" t="s">
        <v>33</v>
      </c>
      <c r="U412" s="2" t="s">
        <v>34</v>
      </c>
      <c r="V412" s="32">
        <v>65759144</v>
      </c>
      <c r="Y412" s="30">
        <f t="shared" si="12"/>
        <v>65759144</v>
      </c>
      <c r="Z412" s="41">
        <f t="shared" si="13"/>
        <v>0</v>
      </c>
    </row>
    <row r="413" spans="1:26">
      <c r="A413" s="2">
        <v>411</v>
      </c>
      <c r="B413" s="2">
        <v>3250935</v>
      </c>
      <c r="C413" s="2">
        <v>52504045590016</v>
      </c>
      <c r="D413" s="2" t="s">
        <v>74</v>
      </c>
      <c r="E413" s="2">
        <v>183777</v>
      </c>
      <c r="F413" s="2">
        <v>885857677</v>
      </c>
      <c r="G413" s="3">
        <v>38102</v>
      </c>
      <c r="H413" s="2" t="s">
        <v>1169</v>
      </c>
      <c r="I413" s="2" t="s">
        <v>1170</v>
      </c>
      <c r="J413" s="2" t="s">
        <v>1171</v>
      </c>
      <c r="K413" s="2" t="s">
        <v>26</v>
      </c>
      <c r="L413" s="2" t="s">
        <v>27</v>
      </c>
      <c r="M413" s="2">
        <v>5240109</v>
      </c>
      <c r="N413" s="2" t="s">
        <v>28</v>
      </c>
      <c r="O413" s="2" t="s">
        <v>207</v>
      </c>
      <c r="P413" s="2" t="s">
        <v>30</v>
      </c>
      <c r="Q413" s="2" t="s">
        <v>1172</v>
      </c>
      <c r="R413" s="2" t="s">
        <v>32</v>
      </c>
      <c r="S413" s="2">
        <v>25</v>
      </c>
      <c r="T413" s="2" t="s">
        <v>33</v>
      </c>
      <c r="U413" s="2" t="s">
        <v>34</v>
      </c>
      <c r="V413" s="32">
        <v>245231500</v>
      </c>
      <c r="Y413" s="30">
        <f t="shared" si="12"/>
        <v>245231500</v>
      </c>
      <c r="Z413" s="41">
        <f t="shared" si="13"/>
        <v>0</v>
      </c>
    </row>
    <row r="414" spans="1:26" ht="26.25">
      <c r="A414" s="2">
        <v>412</v>
      </c>
      <c r="B414" s="2">
        <v>2786375</v>
      </c>
      <c r="C414" s="2">
        <v>32712966590028</v>
      </c>
      <c r="D414" s="2" t="s">
        <v>145</v>
      </c>
      <c r="E414" s="2">
        <v>683679</v>
      </c>
      <c r="F414" s="2">
        <v>903469799</v>
      </c>
      <c r="G414" s="3">
        <v>35426</v>
      </c>
      <c r="H414" s="2" t="s">
        <v>274</v>
      </c>
      <c r="I414" s="2" t="s">
        <v>162</v>
      </c>
      <c r="J414" s="2" t="s">
        <v>1173</v>
      </c>
      <c r="K414" s="2" t="s">
        <v>39</v>
      </c>
      <c r="L414" s="2" t="s">
        <v>27</v>
      </c>
      <c r="M414" s="2">
        <v>5340605</v>
      </c>
      <c r="N414" s="2" t="s">
        <v>40</v>
      </c>
      <c r="O414" s="2" t="s">
        <v>281</v>
      </c>
      <c r="P414" s="2" t="s">
        <v>42</v>
      </c>
      <c r="Q414" s="5">
        <v>44492</v>
      </c>
      <c r="R414" s="2" t="s">
        <v>44</v>
      </c>
      <c r="S414" s="2">
        <v>8</v>
      </c>
      <c r="T414" s="2" t="s">
        <v>33</v>
      </c>
      <c r="U414" s="2" t="s">
        <v>34</v>
      </c>
      <c r="V414" s="32">
        <v>131518288</v>
      </c>
      <c r="Y414" s="30">
        <f t="shared" si="12"/>
        <v>131518288</v>
      </c>
      <c r="Z414" s="41">
        <f t="shared" si="13"/>
        <v>0</v>
      </c>
    </row>
    <row r="415" spans="1:26">
      <c r="A415" s="2">
        <v>413</v>
      </c>
      <c r="B415" s="2">
        <v>3437566</v>
      </c>
      <c r="C415" s="2">
        <v>52206035600010</v>
      </c>
      <c r="D415" s="2" t="s">
        <v>22</v>
      </c>
      <c r="E415" s="2">
        <v>2358978</v>
      </c>
      <c r="F415" s="2">
        <v>903426015</v>
      </c>
      <c r="G415" s="3">
        <v>37794</v>
      </c>
      <c r="H415" s="2" t="s">
        <v>94</v>
      </c>
      <c r="I415" s="2" t="s">
        <v>1174</v>
      </c>
      <c r="J415" s="2" t="s">
        <v>1175</v>
      </c>
      <c r="K415" s="2" t="s">
        <v>26</v>
      </c>
      <c r="L415" s="2" t="s">
        <v>27</v>
      </c>
      <c r="M415" s="2">
        <v>5620400</v>
      </c>
      <c r="N415" s="2" t="s">
        <v>103</v>
      </c>
      <c r="O415" s="2" t="s">
        <v>439</v>
      </c>
      <c r="P415" s="2" t="s">
        <v>105</v>
      </c>
      <c r="Q415" s="2" t="s">
        <v>296</v>
      </c>
      <c r="R415" s="2" t="s">
        <v>53</v>
      </c>
      <c r="S415" s="2">
        <v>8</v>
      </c>
      <c r="T415" s="2" t="s">
        <v>33</v>
      </c>
      <c r="U415" s="2" t="s">
        <v>34</v>
      </c>
      <c r="V415" s="32">
        <v>102601760</v>
      </c>
      <c r="Y415" s="30">
        <f t="shared" si="12"/>
        <v>102601760</v>
      </c>
      <c r="Z415" s="41">
        <f t="shared" si="13"/>
        <v>0</v>
      </c>
    </row>
    <row r="416" spans="1:26" ht="39">
      <c r="A416" s="2">
        <v>414</v>
      </c>
      <c r="B416" s="2">
        <v>3434665</v>
      </c>
      <c r="C416" s="2">
        <v>51703036590032</v>
      </c>
      <c r="D416" s="2" t="s">
        <v>22</v>
      </c>
      <c r="E416" s="2">
        <v>1824814</v>
      </c>
      <c r="F416" s="2">
        <v>998228604</v>
      </c>
      <c r="G416" s="3">
        <v>37697</v>
      </c>
      <c r="H416" s="2" t="s">
        <v>1176</v>
      </c>
      <c r="I416" s="2" t="s">
        <v>1177</v>
      </c>
      <c r="J416" s="2" t="s">
        <v>1178</v>
      </c>
      <c r="K416" s="2" t="s">
        <v>39</v>
      </c>
      <c r="L416" s="2" t="s">
        <v>27</v>
      </c>
      <c r="M416" s="2">
        <v>5320200</v>
      </c>
      <c r="N416" s="2" t="s">
        <v>66</v>
      </c>
      <c r="O416" s="2" t="s">
        <v>155</v>
      </c>
      <c r="P416" s="2" t="s">
        <v>68</v>
      </c>
      <c r="Q416" s="2" t="s">
        <v>43</v>
      </c>
      <c r="R416" s="2" t="s">
        <v>62</v>
      </c>
      <c r="S416" s="2">
        <v>8</v>
      </c>
      <c r="T416" s="2" t="s">
        <v>33</v>
      </c>
      <c r="U416" s="2" t="s">
        <v>34</v>
      </c>
      <c r="V416" s="32">
        <v>59781040</v>
      </c>
      <c r="Y416" s="30">
        <f t="shared" si="12"/>
        <v>59781040</v>
      </c>
      <c r="Z416" s="41">
        <f t="shared" si="13"/>
        <v>0</v>
      </c>
    </row>
    <row r="417" spans="1:27" ht="26.25">
      <c r="A417" s="2">
        <v>415</v>
      </c>
      <c r="B417" s="2">
        <v>3683393</v>
      </c>
      <c r="C417" s="2">
        <v>50804037230024</v>
      </c>
      <c r="D417" s="2" t="s">
        <v>74</v>
      </c>
      <c r="E417" s="2">
        <v>35931</v>
      </c>
      <c r="F417" s="2">
        <v>913820442</v>
      </c>
      <c r="G417" s="3">
        <v>37719</v>
      </c>
      <c r="H417" s="2" t="s">
        <v>282</v>
      </c>
      <c r="I417" s="2" t="s">
        <v>1179</v>
      </c>
      <c r="J417" s="2" t="s">
        <v>77</v>
      </c>
      <c r="K417" s="2" t="s">
        <v>39</v>
      </c>
      <c r="L417" s="2" t="s">
        <v>27</v>
      </c>
      <c r="M417" s="2">
        <v>5320102</v>
      </c>
      <c r="N417" s="2" t="s">
        <v>138</v>
      </c>
      <c r="O417" s="2" t="s">
        <v>155</v>
      </c>
      <c r="P417" s="2" t="s">
        <v>140</v>
      </c>
      <c r="Q417" s="4">
        <v>43922</v>
      </c>
      <c r="R417" s="2" t="s">
        <v>62</v>
      </c>
      <c r="S417" s="2">
        <v>8</v>
      </c>
      <c r="T417" s="2" t="s">
        <v>33</v>
      </c>
      <c r="U417" s="2" t="s">
        <v>34</v>
      </c>
      <c r="V417" s="29" t="s">
        <v>2748</v>
      </c>
      <c r="W417" s="20">
        <f>30000000+1800000</f>
        <v>31800000</v>
      </c>
      <c r="X417" s="2" t="s">
        <v>2839</v>
      </c>
      <c r="Y417" s="30">
        <f t="shared" si="12"/>
        <v>22002936</v>
      </c>
      <c r="Z417" s="41">
        <f t="shared" si="13"/>
        <v>0.5910458120724118</v>
      </c>
      <c r="AA417" s="42" t="s">
        <v>2798</v>
      </c>
    </row>
    <row r="418" spans="1:27" ht="26.25">
      <c r="A418" s="2">
        <v>416</v>
      </c>
      <c r="B418" s="2">
        <v>1554321</v>
      </c>
      <c r="C418" s="2">
        <v>31905997210017</v>
      </c>
      <c r="D418" s="2" t="s">
        <v>45</v>
      </c>
      <c r="E418" s="2">
        <v>5034717</v>
      </c>
      <c r="F418" s="2">
        <v>975255427</v>
      </c>
      <c r="G418" s="3">
        <v>36299</v>
      </c>
      <c r="H418" s="2" t="s">
        <v>585</v>
      </c>
      <c r="I418" s="2" t="s">
        <v>1180</v>
      </c>
      <c r="J418" s="2" t="s">
        <v>1181</v>
      </c>
      <c r="K418" s="2" t="s">
        <v>39</v>
      </c>
      <c r="L418" s="2" t="s">
        <v>27</v>
      </c>
      <c r="M418" s="2">
        <v>5340605</v>
      </c>
      <c r="N418" s="2" t="s">
        <v>40</v>
      </c>
      <c r="O418" s="2" t="s">
        <v>41</v>
      </c>
      <c r="P418" s="2" t="s">
        <v>42</v>
      </c>
      <c r="Q418" s="2" t="s">
        <v>43</v>
      </c>
      <c r="R418" s="2" t="s">
        <v>44</v>
      </c>
      <c r="S418" s="2">
        <v>8</v>
      </c>
      <c r="T418" s="2" t="s">
        <v>33</v>
      </c>
      <c r="U418" s="2" t="s">
        <v>34</v>
      </c>
      <c r="V418" s="32" t="s">
        <v>2722</v>
      </c>
      <c r="W418" s="20">
        <v>32880000</v>
      </c>
      <c r="X418" s="2" t="s">
        <v>2677</v>
      </c>
      <c r="Y418" s="30">
        <f t="shared" si="12"/>
        <v>26303229.600000001</v>
      </c>
      <c r="Z418" s="41">
        <f t="shared" si="13"/>
        <v>0.55556278733393083</v>
      </c>
    </row>
    <row r="419" spans="1:27" ht="26.25">
      <c r="A419" s="2">
        <v>417</v>
      </c>
      <c r="B419" s="2">
        <v>1979129</v>
      </c>
      <c r="C419" s="2">
        <v>32106956840028</v>
      </c>
      <c r="D419" s="2" t="s">
        <v>145</v>
      </c>
      <c r="E419" s="2">
        <v>2752343</v>
      </c>
      <c r="F419" s="2">
        <v>998036912</v>
      </c>
      <c r="G419" s="3">
        <v>34871</v>
      </c>
      <c r="H419" s="2" t="s">
        <v>1182</v>
      </c>
      <c r="I419" s="2" t="s">
        <v>1183</v>
      </c>
      <c r="J419" s="2" t="s">
        <v>1184</v>
      </c>
      <c r="K419" s="2" t="s">
        <v>39</v>
      </c>
      <c r="L419" s="2" t="s">
        <v>57</v>
      </c>
      <c r="M419" s="2">
        <v>5310601</v>
      </c>
      <c r="N419" s="2" t="s">
        <v>153</v>
      </c>
      <c r="O419" s="2" t="s">
        <v>41</v>
      </c>
      <c r="P419" s="2" t="s">
        <v>155</v>
      </c>
      <c r="Q419" s="4">
        <v>11110</v>
      </c>
      <c r="R419" s="2" t="s">
        <v>62</v>
      </c>
      <c r="S419" s="2">
        <v>8</v>
      </c>
      <c r="T419" s="2" t="s">
        <v>33</v>
      </c>
      <c r="U419" s="2" t="s">
        <v>34</v>
      </c>
      <c r="V419" s="32">
        <v>59781040</v>
      </c>
      <c r="W419" s="20">
        <v>29890500</v>
      </c>
      <c r="X419" s="2" t="s">
        <v>2663</v>
      </c>
      <c r="Y419" s="30">
        <f t="shared" si="12"/>
        <v>29890540</v>
      </c>
      <c r="Z419" s="41">
        <f t="shared" si="13"/>
        <v>0.49999966544576674</v>
      </c>
    </row>
    <row r="420" spans="1:27" ht="26.25">
      <c r="A420" s="2">
        <v>418</v>
      </c>
      <c r="B420" s="2">
        <v>3594368</v>
      </c>
      <c r="C420" s="2">
        <v>51908035170045</v>
      </c>
      <c r="D420" s="2" t="s">
        <v>22</v>
      </c>
      <c r="E420" s="2">
        <v>2486307</v>
      </c>
      <c r="F420" s="2">
        <v>932468778</v>
      </c>
      <c r="G420" s="3">
        <v>37852</v>
      </c>
      <c r="H420" s="2" t="s">
        <v>1185</v>
      </c>
      <c r="I420" s="2" t="s">
        <v>1186</v>
      </c>
      <c r="J420" s="2" t="s">
        <v>665</v>
      </c>
      <c r="K420" s="2" t="s">
        <v>39</v>
      </c>
      <c r="L420" s="2" t="s">
        <v>27</v>
      </c>
      <c r="M420" s="2">
        <v>5310601</v>
      </c>
      <c r="N420" s="2" t="s">
        <v>153</v>
      </c>
      <c r="O420" s="2" t="s">
        <v>179</v>
      </c>
      <c r="P420" s="2" t="s">
        <v>79</v>
      </c>
      <c r="Q420" s="2" t="s">
        <v>253</v>
      </c>
      <c r="R420" s="2" t="s">
        <v>62</v>
      </c>
      <c r="S420" s="2">
        <v>8</v>
      </c>
      <c r="T420" s="2" t="s">
        <v>33</v>
      </c>
      <c r="U420" s="2" t="s">
        <v>34</v>
      </c>
      <c r="V420" s="29">
        <v>53802936</v>
      </c>
      <c r="W420" s="20">
        <v>30000000</v>
      </c>
      <c r="X420" s="2" t="s">
        <v>2677</v>
      </c>
      <c r="Y420" s="30">
        <f t="shared" si="12"/>
        <v>23802936</v>
      </c>
      <c r="Z420" s="41">
        <f t="shared" si="13"/>
        <v>0.55759038874755829</v>
      </c>
      <c r="AA420" s="42" t="s">
        <v>2798</v>
      </c>
    </row>
    <row r="421" spans="1:27">
      <c r="A421" s="2">
        <v>419</v>
      </c>
      <c r="B421" s="2">
        <v>1151082</v>
      </c>
      <c r="C421" s="2">
        <v>50506006510015</v>
      </c>
      <c r="D421" s="2" t="s">
        <v>45</v>
      </c>
      <c r="E421" s="2">
        <v>4202603</v>
      </c>
      <c r="F421" s="2">
        <v>950299060</v>
      </c>
      <c r="G421" s="3">
        <v>36682</v>
      </c>
      <c r="H421" s="2" t="s">
        <v>1187</v>
      </c>
      <c r="I421" s="2" t="s">
        <v>1188</v>
      </c>
      <c r="J421" s="2" t="s">
        <v>419</v>
      </c>
      <c r="K421" s="2" t="s">
        <v>39</v>
      </c>
      <c r="L421" s="2" t="s">
        <v>27</v>
      </c>
      <c r="M421" s="2">
        <v>5310606</v>
      </c>
      <c r="N421" s="2" t="s">
        <v>72</v>
      </c>
      <c r="O421" s="2" t="s">
        <v>179</v>
      </c>
      <c r="P421" s="2" t="s">
        <v>73</v>
      </c>
      <c r="Q421" s="5">
        <v>44338</v>
      </c>
      <c r="R421" s="2" t="s">
        <v>62</v>
      </c>
      <c r="S421" s="2">
        <v>8</v>
      </c>
      <c r="T421" s="2" t="s">
        <v>33</v>
      </c>
      <c r="U421" s="2" t="s">
        <v>34</v>
      </c>
      <c r="V421" s="32">
        <v>53802936</v>
      </c>
      <c r="W421" s="20">
        <v>28021896</v>
      </c>
      <c r="X421" s="2" t="s">
        <v>2662</v>
      </c>
      <c r="Y421" s="30">
        <f t="shared" si="12"/>
        <v>25781040</v>
      </c>
      <c r="Z421" s="41">
        <f t="shared" si="13"/>
        <v>0.52082466280278827</v>
      </c>
    </row>
    <row r="422" spans="1:27" ht="26.25">
      <c r="A422" s="2">
        <v>420</v>
      </c>
      <c r="B422" s="2">
        <v>3058837</v>
      </c>
      <c r="C422" s="2">
        <v>51407006350016</v>
      </c>
      <c r="D422" s="2" t="s">
        <v>45</v>
      </c>
      <c r="E422" s="2">
        <v>4659120</v>
      </c>
      <c r="F422" s="2">
        <v>938714858</v>
      </c>
      <c r="G422" s="3">
        <v>36721</v>
      </c>
      <c r="H422" s="2" t="s">
        <v>1090</v>
      </c>
      <c r="I422" s="2" t="s">
        <v>1189</v>
      </c>
      <c r="J422" s="2" t="s">
        <v>1190</v>
      </c>
      <c r="K422" s="2" t="s">
        <v>39</v>
      </c>
      <c r="L422" s="2" t="s">
        <v>57</v>
      </c>
      <c r="M422" s="2">
        <v>5620701</v>
      </c>
      <c r="N422" s="2" t="s">
        <v>218</v>
      </c>
      <c r="O422" s="2" t="s">
        <v>88</v>
      </c>
      <c r="P422" s="2" t="s">
        <v>194</v>
      </c>
      <c r="Q422" s="4">
        <v>16681</v>
      </c>
      <c r="R422" s="2" t="s">
        <v>62</v>
      </c>
      <c r="S422" s="2">
        <v>8</v>
      </c>
      <c r="T422" s="2" t="s">
        <v>33</v>
      </c>
      <c r="U422" s="2" t="s">
        <v>34</v>
      </c>
      <c r="V422" s="32">
        <v>53802936</v>
      </c>
      <c r="W422" s="20">
        <f>26902000+26902000</f>
        <v>53804000</v>
      </c>
      <c r="X422" s="2" t="s">
        <v>2951</v>
      </c>
      <c r="Y422" s="30">
        <f t="shared" si="12"/>
        <v>-1064</v>
      </c>
      <c r="Z422" s="41">
        <f t="shared" si="13"/>
        <v>1.0000197758724543</v>
      </c>
    </row>
    <row r="423" spans="1:27" ht="26.25">
      <c r="A423" s="2">
        <v>421</v>
      </c>
      <c r="B423" s="2">
        <v>3378459</v>
      </c>
      <c r="C423" s="2">
        <v>51208035660015</v>
      </c>
      <c r="D423" s="2" t="s">
        <v>22</v>
      </c>
      <c r="E423" s="2">
        <v>2387762</v>
      </c>
      <c r="F423" s="2">
        <v>908662003</v>
      </c>
      <c r="G423" s="3">
        <v>37845</v>
      </c>
      <c r="H423" s="2" t="s">
        <v>282</v>
      </c>
      <c r="I423" s="2" t="s">
        <v>147</v>
      </c>
      <c r="J423" s="2" t="s">
        <v>1191</v>
      </c>
      <c r="K423" s="2" t="s">
        <v>39</v>
      </c>
      <c r="L423" s="2" t="s">
        <v>27</v>
      </c>
      <c r="M423" s="2">
        <v>5340605</v>
      </c>
      <c r="N423" s="2" t="s">
        <v>40</v>
      </c>
      <c r="O423" s="2" t="s">
        <v>139</v>
      </c>
      <c r="P423" s="2" t="s">
        <v>42</v>
      </c>
      <c r="Q423" s="4">
        <v>14824</v>
      </c>
      <c r="R423" s="2" t="s">
        <v>44</v>
      </c>
      <c r="S423" s="2">
        <v>8</v>
      </c>
      <c r="T423" s="2" t="s">
        <v>33</v>
      </c>
      <c r="U423" s="2" t="s">
        <v>34</v>
      </c>
      <c r="V423" s="32">
        <v>65759144</v>
      </c>
      <c r="Y423" s="30">
        <f t="shared" si="12"/>
        <v>65759144</v>
      </c>
      <c r="Z423" s="41">
        <f t="shared" si="13"/>
        <v>0</v>
      </c>
    </row>
    <row r="424" spans="1:27" ht="26.25">
      <c r="A424" s="2">
        <v>422</v>
      </c>
      <c r="B424" s="2">
        <v>1594628</v>
      </c>
      <c r="C424" s="2">
        <v>52901006980013</v>
      </c>
      <c r="D424" s="2" t="s">
        <v>45</v>
      </c>
      <c r="E424" s="2">
        <v>5780779</v>
      </c>
      <c r="F424" s="2">
        <v>905085285</v>
      </c>
      <c r="G424" s="3">
        <v>36554</v>
      </c>
      <c r="H424" s="2" t="s">
        <v>1192</v>
      </c>
      <c r="I424" s="2" t="s">
        <v>1193</v>
      </c>
      <c r="J424" s="2" t="s">
        <v>448</v>
      </c>
      <c r="K424" s="2" t="s">
        <v>39</v>
      </c>
      <c r="L424" s="2" t="s">
        <v>27</v>
      </c>
      <c r="M424" s="2">
        <v>5310701</v>
      </c>
      <c r="N424" s="2" t="s">
        <v>118</v>
      </c>
      <c r="O424" s="2">
        <v>63</v>
      </c>
      <c r="P424" s="2" t="s">
        <v>123</v>
      </c>
      <c r="Q424" s="2" t="s">
        <v>253</v>
      </c>
      <c r="R424" s="2" t="s">
        <v>62</v>
      </c>
      <c r="S424" s="2">
        <v>8</v>
      </c>
      <c r="T424" s="2" t="s">
        <v>33</v>
      </c>
      <c r="U424" s="2" t="s">
        <v>34</v>
      </c>
      <c r="V424" s="32">
        <v>59781040</v>
      </c>
      <c r="Y424" s="30">
        <f t="shared" si="12"/>
        <v>59781040</v>
      </c>
      <c r="Z424" s="41">
        <f t="shared" si="13"/>
        <v>0</v>
      </c>
    </row>
    <row r="425" spans="1:27" ht="26.25">
      <c r="A425" s="2">
        <v>423</v>
      </c>
      <c r="B425" s="2">
        <v>3283314</v>
      </c>
      <c r="C425" s="2">
        <v>60103045380028</v>
      </c>
      <c r="D425" s="2" t="s">
        <v>22</v>
      </c>
      <c r="E425" s="2">
        <v>2773514</v>
      </c>
      <c r="F425" s="2">
        <v>937041405</v>
      </c>
      <c r="G425" s="3">
        <v>38047</v>
      </c>
      <c r="H425" s="2" t="s">
        <v>1194</v>
      </c>
      <c r="I425" s="2" t="s">
        <v>1195</v>
      </c>
      <c r="J425" s="2" t="s">
        <v>1196</v>
      </c>
      <c r="K425" s="2" t="s">
        <v>39</v>
      </c>
      <c r="L425" s="2" t="s">
        <v>27</v>
      </c>
      <c r="M425" s="2">
        <v>5350701</v>
      </c>
      <c r="N425" s="2" t="s">
        <v>338</v>
      </c>
      <c r="O425" s="2" t="s">
        <v>67</v>
      </c>
      <c r="P425" s="2" t="s">
        <v>73</v>
      </c>
      <c r="Q425" s="4">
        <v>42064</v>
      </c>
      <c r="R425" s="2" t="s">
        <v>44</v>
      </c>
      <c r="S425" s="2">
        <v>8</v>
      </c>
      <c r="T425" s="2" t="s">
        <v>508</v>
      </c>
      <c r="U425" s="2" t="s">
        <v>34</v>
      </c>
      <c r="V425" s="32">
        <v>24659679</v>
      </c>
      <c r="Y425" s="30">
        <f t="shared" si="12"/>
        <v>24659679</v>
      </c>
      <c r="Z425" s="41">
        <f t="shared" si="13"/>
        <v>0</v>
      </c>
    </row>
    <row r="426" spans="1:27" ht="26.25">
      <c r="A426" s="2">
        <v>424</v>
      </c>
      <c r="B426" s="2">
        <v>2881268</v>
      </c>
      <c r="C426" s="2">
        <v>31112995490019</v>
      </c>
      <c r="D426" s="2" t="s">
        <v>145</v>
      </c>
      <c r="E426" s="2">
        <v>9116712</v>
      </c>
      <c r="F426" s="2">
        <v>941966336</v>
      </c>
      <c r="G426" s="3">
        <v>36505</v>
      </c>
      <c r="H426" s="2" t="s">
        <v>46</v>
      </c>
      <c r="I426" s="2" t="s">
        <v>1197</v>
      </c>
      <c r="J426" s="2" t="s">
        <v>1198</v>
      </c>
      <c r="K426" s="2" t="s">
        <v>39</v>
      </c>
      <c r="L426" s="2" t="s">
        <v>27</v>
      </c>
      <c r="M426" s="2">
        <v>5310701</v>
      </c>
      <c r="N426" s="2" t="s">
        <v>118</v>
      </c>
      <c r="O426" s="2" t="s">
        <v>155</v>
      </c>
      <c r="P426" s="2" t="s">
        <v>123</v>
      </c>
      <c r="Q426" s="2" t="s">
        <v>775</v>
      </c>
      <c r="R426" s="2" t="s">
        <v>62</v>
      </c>
      <c r="S426" s="2">
        <v>8</v>
      </c>
      <c r="T426" s="2" t="s">
        <v>33</v>
      </c>
      <c r="U426" s="2" t="s">
        <v>34</v>
      </c>
      <c r="V426" s="32">
        <v>53802936</v>
      </c>
      <c r="W426" s="20">
        <v>27000000</v>
      </c>
      <c r="X426" s="2" t="s">
        <v>2668</v>
      </c>
      <c r="Y426" s="30">
        <f t="shared" si="12"/>
        <v>26802936</v>
      </c>
      <c r="Z426" s="41">
        <f t="shared" si="13"/>
        <v>0.50183134987280253</v>
      </c>
    </row>
    <row r="427" spans="1:27" ht="26.25">
      <c r="A427" s="2">
        <v>425</v>
      </c>
      <c r="B427" s="2">
        <v>2504098</v>
      </c>
      <c r="C427" s="2">
        <v>62702026860027</v>
      </c>
      <c r="D427" s="2" t="s">
        <v>45</v>
      </c>
      <c r="E427" s="2">
        <v>9080185</v>
      </c>
      <c r="F427" s="2">
        <v>998225561</v>
      </c>
      <c r="G427" s="3">
        <v>37314</v>
      </c>
      <c r="H427" s="2" t="s">
        <v>1199</v>
      </c>
      <c r="I427" s="2" t="s">
        <v>1200</v>
      </c>
      <c r="J427" s="2" t="s">
        <v>1201</v>
      </c>
      <c r="K427" s="2" t="s">
        <v>26</v>
      </c>
      <c r="L427" s="2" t="s">
        <v>57</v>
      </c>
      <c r="M427" s="2">
        <v>5310701</v>
      </c>
      <c r="N427" s="2" t="s">
        <v>118</v>
      </c>
      <c r="O427" s="2" t="s">
        <v>296</v>
      </c>
      <c r="P427" s="2">
        <v>63</v>
      </c>
      <c r="Q427" s="4">
        <v>42064</v>
      </c>
      <c r="R427" s="2" t="s">
        <v>53</v>
      </c>
      <c r="S427" s="2">
        <v>8</v>
      </c>
      <c r="T427" s="2" t="s">
        <v>33</v>
      </c>
      <c r="U427" s="2" t="s">
        <v>34</v>
      </c>
      <c r="V427" s="32">
        <v>19237830</v>
      </c>
      <c r="W427" s="23">
        <v>9618915</v>
      </c>
      <c r="X427" s="13" t="s">
        <v>2644</v>
      </c>
      <c r="Y427" s="30">
        <f t="shared" si="12"/>
        <v>9618915</v>
      </c>
      <c r="Z427" s="41">
        <f t="shared" si="13"/>
        <v>0.5</v>
      </c>
    </row>
    <row r="428" spans="1:27" ht="26.25">
      <c r="A428" s="2">
        <v>426</v>
      </c>
      <c r="B428" s="2">
        <v>3632294</v>
      </c>
      <c r="C428" s="2">
        <v>51212035720024</v>
      </c>
      <c r="D428" s="2" t="s">
        <v>22</v>
      </c>
      <c r="E428" s="2">
        <v>2966803</v>
      </c>
      <c r="F428" s="2">
        <v>903224745</v>
      </c>
      <c r="G428" s="3">
        <v>37967</v>
      </c>
      <c r="H428" s="2" t="s">
        <v>1202</v>
      </c>
      <c r="I428" s="2" t="s">
        <v>1203</v>
      </c>
      <c r="J428" s="2" t="s">
        <v>794</v>
      </c>
      <c r="K428" s="2" t="s">
        <v>26</v>
      </c>
      <c r="L428" s="2" t="s">
        <v>27</v>
      </c>
      <c r="M428" s="2">
        <v>5640202</v>
      </c>
      <c r="N428" s="2" t="s">
        <v>240</v>
      </c>
      <c r="O428" s="2" t="s">
        <v>122</v>
      </c>
      <c r="P428" s="2" t="s">
        <v>132</v>
      </c>
      <c r="Q428" s="2" t="s">
        <v>440</v>
      </c>
      <c r="R428" s="2" t="s">
        <v>53</v>
      </c>
      <c r="S428" s="2">
        <v>8</v>
      </c>
      <c r="T428" s="2" t="s">
        <v>33</v>
      </c>
      <c r="U428" s="2" t="s">
        <v>34</v>
      </c>
      <c r="V428" s="32">
        <v>51300880</v>
      </c>
      <c r="W428" s="21">
        <f>23000000+2500000+300000</f>
        <v>25800000</v>
      </c>
      <c r="X428" s="11" t="s">
        <v>2751</v>
      </c>
      <c r="Y428" s="30">
        <f t="shared" si="12"/>
        <v>25500880</v>
      </c>
      <c r="Z428" s="41">
        <f t="shared" si="13"/>
        <v>0.50291534960024076</v>
      </c>
    </row>
    <row r="429" spans="1:27">
      <c r="A429" s="2">
        <v>427</v>
      </c>
      <c r="B429" s="2">
        <v>1524967</v>
      </c>
      <c r="C429" s="2">
        <v>30905873420030</v>
      </c>
      <c r="D429" s="2" t="s">
        <v>35</v>
      </c>
      <c r="E429" s="2">
        <v>334279</v>
      </c>
      <c r="F429" s="2">
        <v>945945401</v>
      </c>
      <c r="G429" s="3">
        <v>31906</v>
      </c>
      <c r="H429" s="2" t="s">
        <v>1204</v>
      </c>
      <c r="I429" s="2" t="s">
        <v>1205</v>
      </c>
      <c r="J429" s="2" t="s">
        <v>1206</v>
      </c>
      <c r="K429" s="2" t="s">
        <v>39</v>
      </c>
      <c r="L429" s="2" t="s">
        <v>27</v>
      </c>
      <c r="M429" s="2">
        <v>5620400</v>
      </c>
      <c r="N429" s="2" t="s">
        <v>103</v>
      </c>
      <c r="O429" s="2" t="s">
        <v>629</v>
      </c>
      <c r="P429" s="2" t="s">
        <v>123</v>
      </c>
      <c r="Q429" s="4">
        <v>18537</v>
      </c>
      <c r="R429" s="2" t="s">
        <v>62</v>
      </c>
      <c r="S429" s="2">
        <v>8</v>
      </c>
      <c r="T429" s="2" t="s">
        <v>508</v>
      </c>
      <c r="U429" s="2" t="s">
        <v>34</v>
      </c>
      <c r="V429" s="29">
        <v>53802936</v>
      </c>
      <c r="W429" s="20">
        <v>30000000</v>
      </c>
      <c r="X429" s="2" t="s">
        <v>2696</v>
      </c>
      <c r="Y429" s="30">
        <f t="shared" si="12"/>
        <v>23802936</v>
      </c>
      <c r="Z429" s="41">
        <f t="shared" si="13"/>
        <v>0.55759038874755829</v>
      </c>
    </row>
    <row r="430" spans="1:27" ht="26.25">
      <c r="A430" s="2">
        <v>428</v>
      </c>
      <c r="B430" s="2">
        <v>2208756</v>
      </c>
      <c r="C430" s="2">
        <v>52912016040051</v>
      </c>
      <c r="D430" s="2" t="s">
        <v>45</v>
      </c>
      <c r="E430" s="2">
        <v>8696319</v>
      </c>
      <c r="F430" s="2">
        <v>930035700</v>
      </c>
      <c r="G430" s="3">
        <v>37254</v>
      </c>
      <c r="H430" s="2" t="s">
        <v>1207</v>
      </c>
      <c r="I430" s="2" t="s">
        <v>721</v>
      </c>
      <c r="J430" s="2" t="s">
        <v>1208</v>
      </c>
      <c r="K430" s="2" t="s">
        <v>39</v>
      </c>
      <c r="L430" s="2" t="s">
        <v>27</v>
      </c>
      <c r="M430" s="2">
        <v>5310701</v>
      </c>
      <c r="N430" s="2" t="s">
        <v>118</v>
      </c>
      <c r="O430" s="2" t="s">
        <v>41</v>
      </c>
      <c r="P430" s="2" t="s">
        <v>123</v>
      </c>
      <c r="Q430" s="2" t="s">
        <v>133</v>
      </c>
      <c r="R430" s="2" t="s">
        <v>62</v>
      </c>
      <c r="S430" s="2">
        <v>8</v>
      </c>
      <c r="T430" s="2" t="s">
        <v>33</v>
      </c>
      <c r="U430" s="2" t="s">
        <v>34</v>
      </c>
      <c r="V430" s="32">
        <v>53802936</v>
      </c>
      <c r="W430" s="20">
        <v>29891000</v>
      </c>
      <c r="X430" s="2" t="s">
        <v>2626</v>
      </c>
      <c r="Y430" s="30">
        <f t="shared" si="12"/>
        <v>23911936</v>
      </c>
      <c r="Z430" s="41">
        <f t="shared" si="13"/>
        <v>0.55556447700177547</v>
      </c>
    </row>
    <row r="431" spans="1:27" ht="26.25">
      <c r="A431" s="2">
        <v>429</v>
      </c>
      <c r="B431" s="2">
        <v>3235692</v>
      </c>
      <c r="C431" s="2">
        <v>53001035780020</v>
      </c>
      <c r="D431" s="2" t="s">
        <v>22</v>
      </c>
      <c r="E431" s="2">
        <v>3078614</v>
      </c>
      <c r="F431" s="2">
        <v>900868899</v>
      </c>
      <c r="G431" s="3">
        <v>37651</v>
      </c>
      <c r="H431" s="2" t="s">
        <v>1209</v>
      </c>
      <c r="I431" s="2" t="s">
        <v>1210</v>
      </c>
      <c r="J431" s="2" t="s">
        <v>1211</v>
      </c>
      <c r="K431" s="2" t="s">
        <v>26</v>
      </c>
      <c r="L431" s="2" t="s">
        <v>27</v>
      </c>
      <c r="M431" s="2">
        <v>5330202</v>
      </c>
      <c r="N431" s="2" t="s">
        <v>164</v>
      </c>
      <c r="O431" s="2" t="s">
        <v>88</v>
      </c>
      <c r="P431" s="2" t="s">
        <v>165</v>
      </c>
      <c r="Q431" s="2" t="s">
        <v>420</v>
      </c>
      <c r="R431" s="2" t="s">
        <v>93</v>
      </c>
      <c r="S431" s="2">
        <v>10</v>
      </c>
      <c r="T431" s="2" t="s">
        <v>33</v>
      </c>
      <c r="U431" s="2" t="s">
        <v>34</v>
      </c>
      <c r="V431" s="29">
        <v>63827460</v>
      </c>
      <c r="W431" s="20">
        <f>36000000+20000000</f>
        <v>56000000</v>
      </c>
      <c r="X431" s="2" t="s">
        <v>2917</v>
      </c>
      <c r="Y431" s="30">
        <f t="shared" si="12"/>
        <v>7827460</v>
      </c>
      <c r="Z431" s="41">
        <f t="shared" si="13"/>
        <v>0.87736532207297613</v>
      </c>
      <c r="AA431" s="42" t="s">
        <v>2798</v>
      </c>
    </row>
    <row r="432" spans="1:27" ht="15.75">
      <c r="A432" s="2">
        <v>430</v>
      </c>
      <c r="B432" s="2">
        <v>3405585</v>
      </c>
      <c r="C432" s="2">
        <v>50805036770010</v>
      </c>
      <c r="D432" s="2" t="s">
        <v>74</v>
      </c>
      <c r="E432" s="2">
        <v>356350</v>
      </c>
      <c r="F432" s="2">
        <v>993032078</v>
      </c>
      <c r="G432" s="3">
        <v>37749</v>
      </c>
      <c r="H432" s="2" t="s">
        <v>1212</v>
      </c>
      <c r="I432" s="2" t="s">
        <v>1213</v>
      </c>
      <c r="J432" s="2" t="s">
        <v>1214</v>
      </c>
      <c r="K432" s="2" t="s">
        <v>26</v>
      </c>
      <c r="L432" s="2" t="s">
        <v>27</v>
      </c>
      <c r="M432" s="2">
        <v>5340603</v>
      </c>
      <c r="N432" s="2" t="s">
        <v>174</v>
      </c>
      <c r="O432" s="2" t="s">
        <v>139</v>
      </c>
      <c r="P432" s="2" t="s">
        <v>155</v>
      </c>
      <c r="Q432" s="5">
        <v>44317</v>
      </c>
      <c r="R432" s="2" t="s">
        <v>93</v>
      </c>
      <c r="S432" s="2">
        <v>8</v>
      </c>
      <c r="T432" s="2" t="s">
        <v>33</v>
      </c>
      <c r="U432" s="2" t="s">
        <v>34</v>
      </c>
      <c r="V432" s="32">
        <v>10637910</v>
      </c>
      <c r="W432" s="21">
        <v>10638000</v>
      </c>
      <c r="X432" s="10" t="s">
        <v>2642</v>
      </c>
      <c r="Y432" s="30">
        <f t="shared" si="12"/>
        <v>-90</v>
      </c>
      <c r="Z432" s="41">
        <f t="shared" si="13"/>
        <v>1.0000084603084629</v>
      </c>
    </row>
    <row r="433" spans="1:26" ht="26.25">
      <c r="A433" s="2">
        <v>431</v>
      </c>
      <c r="B433" s="2">
        <v>2120306</v>
      </c>
      <c r="C433" s="2">
        <v>61709015380017</v>
      </c>
      <c r="D433" s="2" t="s">
        <v>45</v>
      </c>
      <c r="E433" s="2">
        <v>7878857</v>
      </c>
      <c r="F433" s="2">
        <v>914152747</v>
      </c>
      <c r="G433" s="3">
        <v>37151</v>
      </c>
      <c r="H433" s="2" t="s">
        <v>364</v>
      </c>
      <c r="I433" s="2" t="s">
        <v>1215</v>
      </c>
      <c r="J433" s="2" t="s">
        <v>1216</v>
      </c>
      <c r="K433" s="2" t="s">
        <v>39</v>
      </c>
      <c r="L433" s="2" t="s">
        <v>27</v>
      </c>
      <c r="M433" s="2">
        <v>5330202</v>
      </c>
      <c r="N433" s="2" t="s">
        <v>164</v>
      </c>
      <c r="O433" s="2" t="s">
        <v>198</v>
      </c>
      <c r="P433" s="2" t="s">
        <v>123</v>
      </c>
      <c r="Q433" s="2" t="s">
        <v>59</v>
      </c>
      <c r="R433" s="2" t="s">
        <v>44</v>
      </c>
      <c r="S433" s="2">
        <v>10</v>
      </c>
      <c r="T433" s="2" t="s">
        <v>33</v>
      </c>
      <c r="U433" s="2" t="s">
        <v>34</v>
      </c>
      <c r="V433" s="32">
        <v>82198930</v>
      </c>
      <c r="Y433" s="30">
        <f t="shared" si="12"/>
        <v>82198930</v>
      </c>
      <c r="Z433" s="41">
        <f t="shared" si="13"/>
        <v>0</v>
      </c>
    </row>
    <row r="434" spans="1:26" ht="26.25">
      <c r="A434" s="2">
        <v>432</v>
      </c>
      <c r="B434" s="2">
        <v>3734653</v>
      </c>
      <c r="C434" s="2">
        <v>52011035820030</v>
      </c>
      <c r="D434" s="2" t="s">
        <v>22</v>
      </c>
      <c r="E434" s="2">
        <v>2775385</v>
      </c>
      <c r="F434" s="2">
        <v>997527023</v>
      </c>
      <c r="G434" s="3">
        <v>37945</v>
      </c>
      <c r="H434" s="2" t="s">
        <v>701</v>
      </c>
      <c r="I434" s="2" t="s">
        <v>718</v>
      </c>
      <c r="J434" s="2" t="s">
        <v>1217</v>
      </c>
      <c r="K434" s="2" t="s">
        <v>39</v>
      </c>
      <c r="L434" s="2" t="s">
        <v>27</v>
      </c>
      <c r="M434" s="2">
        <v>5310601</v>
      </c>
      <c r="N434" s="2" t="s">
        <v>153</v>
      </c>
      <c r="O434" s="2" t="s">
        <v>60</v>
      </c>
      <c r="P434" s="2" t="s">
        <v>79</v>
      </c>
      <c r="Q434" s="2" t="s">
        <v>124</v>
      </c>
      <c r="R434" s="2" t="s">
        <v>62</v>
      </c>
      <c r="S434" s="2">
        <v>8</v>
      </c>
      <c r="T434" s="2" t="s">
        <v>33</v>
      </c>
      <c r="U434" s="2" t="s">
        <v>34</v>
      </c>
      <c r="V434" s="32">
        <v>53802936</v>
      </c>
      <c r="W434" s="21">
        <v>30000000</v>
      </c>
      <c r="X434" s="10" t="s">
        <v>2640</v>
      </c>
      <c r="Y434" s="30">
        <f t="shared" si="12"/>
        <v>23802936</v>
      </c>
      <c r="Z434" s="41">
        <f t="shared" si="13"/>
        <v>0.55759038874755829</v>
      </c>
    </row>
    <row r="435" spans="1:26" ht="26.25">
      <c r="A435" s="2">
        <v>433</v>
      </c>
      <c r="B435" s="2">
        <v>1651966</v>
      </c>
      <c r="C435" s="2">
        <v>31802871090049</v>
      </c>
      <c r="D435" s="2" t="s">
        <v>22</v>
      </c>
      <c r="E435" s="2">
        <v>2898891</v>
      </c>
      <c r="F435" s="2">
        <v>914480220</v>
      </c>
      <c r="G435" s="3">
        <v>31826</v>
      </c>
      <c r="H435" s="2" t="s">
        <v>1218</v>
      </c>
      <c r="I435" s="2" t="s">
        <v>1219</v>
      </c>
      <c r="J435" s="2" t="s">
        <v>1220</v>
      </c>
      <c r="K435" s="2" t="s">
        <v>39</v>
      </c>
      <c r="L435" s="2" t="s">
        <v>27</v>
      </c>
      <c r="M435" s="2">
        <v>5310601</v>
      </c>
      <c r="N435" s="2" t="s">
        <v>153</v>
      </c>
      <c r="O435" s="2" t="s">
        <v>179</v>
      </c>
      <c r="P435" s="2" t="s">
        <v>79</v>
      </c>
      <c r="Q435" s="2" t="s">
        <v>253</v>
      </c>
      <c r="R435" s="2" t="s">
        <v>62</v>
      </c>
      <c r="S435" s="2">
        <v>8</v>
      </c>
      <c r="T435" s="2" t="s">
        <v>33</v>
      </c>
      <c r="U435" s="2" t="s">
        <v>34</v>
      </c>
      <c r="V435" s="32">
        <v>59781040</v>
      </c>
      <c r="W435" s="20">
        <v>30000000</v>
      </c>
      <c r="X435" s="2" t="s">
        <v>2686</v>
      </c>
      <c r="Y435" s="30">
        <f t="shared" si="12"/>
        <v>29781040</v>
      </c>
      <c r="Z435" s="41">
        <f t="shared" si="13"/>
        <v>0.50183134987280253</v>
      </c>
    </row>
    <row r="436" spans="1:26" ht="26.25">
      <c r="A436" s="2">
        <v>434</v>
      </c>
      <c r="B436" s="2">
        <v>3434472</v>
      </c>
      <c r="C436" s="2">
        <v>51205035280016</v>
      </c>
      <c r="D436" s="2" t="s">
        <v>22</v>
      </c>
      <c r="E436" s="2">
        <v>2241170</v>
      </c>
      <c r="F436" s="2">
        <v>907119299</v>
      </c>
      <c r="G436" s="3">
        <v>37753</v>
      </c>
      <c r="H436" s="2" t="s">
        <v>1221</v>
      </c>
      <c r="I436" s="2" t="s">
        <v>1222</v>
      </c>
      <c r="J436" s="2" t="s">
        <v>1223</v>
      </c>
      <c r="K436" s="2" t="s">
        <v>39</v>
      </c>
      <c r="L436" s="2" t="s">
        <v>27</v>
      </c>
      <c r="M436" s="2">
        <v>5330202</v>
      </c>
      <c r="N436" s="2" t="s">
        <v>164</v>
      </c>
      <c r="O436" s="2" t="s">
        <v>296</v>
      </c>
      <c r="P436" s="2" t="s">
        <v>123</v>
      </c>
      <c r="Q436" s="2" t="s">
        <v>395</v>
      </c>
      <c r="R436" s="2" t="s">
        <v>44</v>
      </c>
      <c r="S436" s="2">
        <v>10</v>
      </c>
      <c r="T436" s="2" t="s">
        <v>33</v>
      </c>
      <c r="U436" s="2" t="s">
        <v>34</v>
      </c>
      <c r="V436" s="32">
        <v>82198930</v>
      </c>
      <c r="Y436" s="30">
        <f t="shared" si="12"/>
        <v>82198930</v>
      </c>
      <c r="Z436" s="41">
        <f t="shared" si="13"/>
        <v>0</v>
      </c>
    </row>
    <row r="437" spans="1:26" ht="39">
      <c r="A437" s="2">
        <v>435</v>
      </c>
      <c r="B437" s="2">
        <v>3299372</v>
      </c>
      <c r="C437" s="2">
        <v>52107035730014</v>
      </c>
      <c r="D437" s="2" t="s">
        <v>22</v>
      </c>
      <c r="E437" s="2">
        <v>904468</v>
      </c>
      <c r="F437" s="2">
        <v>886175051</v>
      </c>
      <c r="G437" s="3">
        <v>37823</v>
      </c>
      <c r="H437" s="2" t="s">
        <v>115</v>
      </c>
      <c r="I437" s="2" t="s">
        <v>1224</v>
      </c>
      <c r="J437" s="2" t="s">
        <v>1225</v>
      </c>
      <c r="K437" s="2" t="s">
        <v>39</v>
      </c>
      <c r="L437" s="2" t="s">
        <v>27</v>
      </c>
      <c r="M437" s="2">
        <v>5320200</v>
      </c>
      <c r="N437" s="2" t="s">
        <v>66</v>
      </c>
      <c r="O437" s="2" t="s">
        <v>104</v>
      </c>
      <c r="P437" s="2" t="s">
        <v>68</v>
      </c>
      <c r="Q437" s="2" t="s">
        <v>81</v>
      </c>
      <c r="R437" s="2" t="s">
        <v>62</v>
      </c>
      <c r="S437" s="2">
        <v>8</v>
      </c>
      <c r="T437" s="2" t="s">
        <v>33</v>
      </c>
      <c r="U437" s="2" t="s">
        <v>34</v>
      </c>
      <c r="V437" s="32">
        <v>59781040</v>
      </c>
      <c r="W437" s="21">
        <v>29891000</v>
      </c>
      <c r="X437" s="11" t="s">
        <v>2627</v>
      </c>
      <c r="Y437" s="30">
        <f t="shared" si="12"/>
        <v>29890040</v>
      </c>
      <c r="Z437" s="41">
        <f t="shared" si="13"/>
        <v>0.50000802930159793</v>
      </c>
    </row>
    <row r="438" spans="1:26" ht="26.25">
      <c r="A438" s="2">
        <v>436</v>
      </c>
      <c r="B438" s="2">
        <v>1476081</v>
      </c>
      <c r="C438" s="2">
        <v>51409015690031</v>
      </c>
      <c r="D438" s="2" t="s">
        <v>22</v>
      </c>
      <c r="E438" s="2">
        <v>1244960</v>
      </c>
      <c r="F438" s="2">
        <v>999577899</v>
      </c>
      <c r="G438" s="3">
        <v>37148</v>
      </c>
      <c r="H438" s="2" t="s">
        <v>1226</v>
      </c>
      <c r="I438" s="2" t="s">
        <v>1227</v>
      </c>
      <c r="J438" s="2" t="s">
        <v>822</v>
      </c>
      <c r="K438" s="2" t="s">
        <v>39</v>
      </c>
      <c r="L438" s="2" t="s">
        <v>57</v>
      </c>
      <c r="M438" s="2">
        <v>5310701</v>
      </c>
      <c r="N438" s="2" t="s">
        <v>118</v>
      </c>
      <c r="O438" s="2" t="s">
        <v>225</v>
      </c>
      <c r="P438" s="2" t="s">
        <v>207</v>
      </c>
      <c r="Q438" s="4">
        <v>42064</v>
      </c>
      <c r="R438" s="2" t="s">
        <v>62</v>
      </c>
      <c r="S438" s="2">
        <v>8</v>
      </c>
      <c r="T438" s="2" t="s">
        <v>33</v>
      </c>
      <c r="U438" s="2" t="s">
        <v>34</v>
      </c>
      <c r="V438" s="32">
        <v>20176101</v>
      </c>
      <c r="W438" s="20">
        <v>10088000</v>
      </c>
      <c r="X438" s="2" t="s">
        <v>2672</v>
      </c>
      <c r="Y438" s="30">
        <f t="shared" si="12"/>
        <v>10088101</v>
      </c>
      <c r="Z438" s="41">
        <f t="shared" si="13"/>
        <v>0.49999749703869939</v>
      </c>
    </row>
    <row r="439" spans="1:26" ht="26.25">
      <c r="A439" s="2">
        <v>437</v>
      </c>
      <c r="B439" s="2">
        <v>1179139</v>
      </c>
      <c r="C439" s="2">
        <v>32101900580025</v>
      </c>
      <c r="D439" s="2" t="s">
        <v>145</v>
      </c>
      <c r="E439" s="2">
        <v>6532022</v>
      </c>
      <c r="F439" s="2">
        <v>909087110</v>
      </c>
      <c r="G439" s="3">
        <v>32894</v>
      </c>
      <c r="H439" s="2" t="s">
        <v>1228</v>
      </c>
      <c r="I439" s="2" t="s">
        <v>1229</v>
      </c>
      <c r="J439" s="2" t="s">
        <v>1230</v>
      </c>
      <c r="K439" s="2" t="s">
        <v>39</v>
      </c>
      <c r="L439" s="2" t="s">
        <v>57</v>
      </c>
      <c r="M439" s="2">
        <v>5350701</v>
      </c>
      <c r="N439" s="2" t="s">
        <v>338</v>
      </c>
      <c r="O439" s="2" t="s">
        <v>296</v>
      </c>
      <c r="P439" s="2" t="s">
        <v>104</v>
      </c>
      <c r="Q439" s="4">
        <v>12966</v>
      </c>
      <c r="R439" s="2" t="s">
        <v>44</v>
      </c>
      <c r="S439" s="2">
        <v>8</v>
      </c>
      <c r="T439" s="2" t="s">
        <v>33</v>
      </c>
      <c r="U439" s="2" t="s">
        <v>34</v>
      </c>
      <c r="V439" s="32">
        <v>65759144</v>
      </c>
      <c r="Y439" s="30">
        <f t="shared" si="12"/>
        <v>65759144</v>
      </c>
      <c r="Z439" s="41">
        <f t="shared" si="13"/>
        <v>0</v>
      </c>
    </row>
    <row r="440" spans="1:26">
      <c r="A440" s="2">
        <v>438</v>
      </c>
      <c r="B440" s="2">
        <v>2334794</v>
      </c>
      <c r="C440" s="2">
        <v>51903016090097</v>
      </c>
      <c r="D440" s="2" t="s">
        <v>45</v>
      </c>
      <c r="E440" s="2">
        <v>6378601</v>
      </c>
      <c r="F440" s="2">
        <v>912997605</v>
      </c>
      <c r="G440" s="3">
        <v>36969</v>
      </c>
      <c r="H440" s="2" t="s">
        <v>457</v>
      </c>
      <c r="I440" s="2" t="s">
        <v>1231</v>
      </c>
      <c r="J440" s="2" t="s">
        <v>511</v>
      </c>
      <c r="K440" s="2" t="s">
        <v>39</v>
      </c>
      <c r="L440" s="2" t="s">
        <v>27</v>
      </c>
      <c r="M440" s="2">
        <v>5620400</v>
      </c>
      <c r="N440" s="2" t="s">
        <v>103</v>
      </c>
      <c r="O440" s="2">
        <v>63</v>
      </c>
      <c r="P440" s="2" t="s">
        <v>123</v>
      </c>
      <c r="Q440" s="2" t="s">
        <v>253</v>
      </c>
      <c r="R440" s="2" t="s">
        <v>62</v>
      </c>
      <c r="S440" s="2">
        <v>8</v>
      </c>
      <c r="T440" s="2" t="s">
        <v>33</v>
      </c>
      <c r="U440" s="2" t="s">
        <v>34</v>
      </c>
      <c r="V440" s="32">
        <v>59781040</v>
      </c>
      <c r="W440" s="20">
        <v>30000000</v>
      </c>
      <c r="X440" s="2" t="s">
        <v>2684</v>
      </c>
      <c r="Y440" s="30">
        <f t="shared" si="12"/>
        <v>29781040</v>
      </c>
      <c r="Z440" s="41">
        <f t="shared" si="13"/>
        <v>0.50183134987280253</v>
      </c>
    </row>
    <row r="441" spans="1:26" ht="26.25">
      <c r="A441" s="2">
        <v>439</v>
      </c>
      <c r="B441" s="2">
        <v>2460014</v>
      </c>
      <c r="C441" s="2">
        <v>51810037140028</v>
      </c>
      <c r="D441" s="2" t="s">
        <v>22</v>
      </c>
      <c r="E441" s="2">
        <v>2677627</v>
      </c>
      <c r="F441" s="2">
        <v>943133105</v>
      </c>
      <c r="G441" s="3">
        <v>37912</v>
      </c>
      <c r="H441" s="2" t="s">
        <v>1232</v>
      </c>
      <c r="I441" s="2" t="s">
        <v>664</v>
      </c>
      <c r="J441" s="2" t="s">
        <v>1233</v>
      </c>
      <c r="K441" s="2" t="s">
        <v>39</v>
      </c>
      <c r="L441" s="2" t="s">
        <v>27</v>
      </c>
      <c r="M441" s="2">
        <v>5320102</v>
      </c>
      <c r="N441" s="2" t="s">
        <v>138</v>
      </c>
      <c r="O441" s="2" t="s">
        <v>88</v>
      </c>
      <c r="P441" s="2" t="s">
        <v>140</v>
      </c>
      <c r="Q441" s="4">
        <v>20394</v>
      </c>
      <c r="R441" s="2" t="s">
        <v>62</v>
      </c>
      <c r="S441" s="2">
        <v>8</v>
      </c>
      <c r="T441" s="2" t="s">
        <v>33</v>
      </c>
      <c r="U441" s="2" t="s">
        <v>34</v>
      </c>
      <c r="V441" s="32">
        <v>59781040</v>
      </c>
      <c r="Y441" s="30">
        <f t="shared" si="12"/>
        <v>59781040</v>
      </c>
      <c r="Z441" s="41">
        <f t="shared" si="13"/>
        <v>0</v>
      </c>
    </row>
    <row r="442" spans="1:26" ht="26.25">
      <c r="A442" s="2">
        <v>440</v>
      </c>
      <c r="B442" s="2">
        <v>1880070</v>
      </c>
      <c r="C442" s="2">
        <v>32505986590022</v>
      </c>
      <c r="D442" s="2" t="s">
        <v>145</v>
      </c>
      <c r="E442" s="2">
        <v>6197230</v>
      </c>
      <c r="F442" s="2">
        <v>912700001</v>
      </c>
      <c r="G442" s="3">
        <v>35940</v>
      </c>
      <c r="H442" s="2" t="s">
        <v>1234</v>
      </c>
      <c r="I442" s="2" t="s">
        <v>1235</v>
      </c>
      <c r="J442" s="2" t="s">
        <v>1236</v>
      </c>
      <c r="K442" s="2" t="s">
        <v>39</v>
      </c>
      <c r="L442" s="2" t="s">
        <v>27</v>
      </c>
      <c r="M442" s="2">
        <v>5340202</v>
      </c>
      <c r="N442" s="2" t="s">
        <v>499</v>
      </c>
      <c r="O442" s="2" t="s">
        <v>241</v>
      </c>
      <c r="P442" s="2" t="s">
        <v>490</v>
      </c>
      <c r="Q442" s="2" t="s">
        <v>81</v>
      </c>
      <c r="R442" s="2" t="s">
        <v>44</v>
      </c>
      <c r="S442" s="2">
        <v>8</v>
      </c>
      <c r="T442" s="2" t="s">
        <v>33</v>
      </c>
      <c r="U442" s="2" t="s">
        <v>34</v>
      </c>
      <c r="V442" s="32">
        <v>65759144</v>
      </c>
      <c r="Y442" s="30">
        <f t="shared" si="12"/>
        <v>65759144</v>
      </c>
      <c r="Z442" s="41">
        <f t="shared" si="13"/>
        <v>0</v>
      </c>
    </row>
    <row r="443" spans="1:26" ht="26.25">
      <c r="A443" s="2">
        <v>441</v>
      </c>
      <c r="B443" s="2">
        <v>2940442</v>
      </c>
      <c r="C443" s="2">
        <v>31211942380091</v>
      </c>
      <c r="D443" s="2" t="s">
        <v>45</v>
      </c>
      <c r="E443" s="2">
        <v>4993244</v>
      </c>
      <c r="F443" s="2">
        <v>994175194</v>
      </c>
      <c r="G443" s="3">
        <v>34650</v>
      </c>
      <c r="H443" s="2" t="s">
        <v>1237</v>
      </c>
      <c r="I443" s="2" t="s">
        <v>1238</v>
      </c>
      <c r="J443" s="2" t="s">
        <v>1239</v>
      </c>
      <c r="K443" s="2" t="s">
        <v>39</v>
      </c>
      <c r="L443" s="2" t="s">
        <v>27</v>
      </c>
      <c r="M443" s="2">
        <v>5620701</v>
      </c>
      <c r="N443" s="2" t="s">
        <v>218</v>
      </c>
      <c r="O443" s="2" t="s">
        <v>60</v>
      </c>
      <c r="P443" s="2" t="s">
        <v>219</v>
      </c>
      <c r="Q443" s="2" t="s">
        <v>391</v>
      </c>
      <c r="R443" s="2" t="s">
        <v>62</v>
      </c>
      <c r="S443" s="2">
        <v>8</v>
      </c>
      <c r="T443" s="2" t="s">
        <v>33</v>
      </c>
      <c r="U443" s="2" t="s">
        <v>34</v>
      </c>
      <c r="V443" s="29">
        <v>53802936</v>
      </c>
      <c r="W443" s="21">
        <f>30000000+12000000</f>
        <v>42000000</v>
      </c>
      <c r="X443" s="10" t="s">
        <v>2892</v>
      </c>
      <c r="Y443" s="30">
        <f t="shared" si="12"/>
        <v>11802936</v>
      </c>
      <c r="Z443" s="41">
        <f t="shared" si="13"/>
        <v>0.78062654424658162</v>
      </c>
    </row>
    <row r="444" spans="1:26" ht="26.25">
      <c r="A444" s="2">
        <v>442</v>
      </c>
      <c r="B444" s="2">
        <v>3060368</v>
      </c>
      <c r="C444" s="2">
        <v>41005975700037</v>
      </c>
      <c r="D444" s="2" t="s">
        <v>45</v>
      </c>
      <c r="E444" s="2">
        <v>3365750</v>
      </c>
      <c r="F444" s="2">
        <v>901100221</v>
      </c>
      <c r="G444" s="3">
        <v>35560</v>
      </c>
      <c r="H444" s="2" t="s">
        <v>1240</v>
      </c>
      <c r="I444" s="2" t="s">
        <v>1241</v>
      </c>
      <c r="J444" s="2" t="s">
        <v>1076</v>
      </c>
      <c r="K444" s="2" t="s">
        <v>26</v>
      </c>
      <c r="L444" s="2" t="s">
        <v>27</v>
      </c>
      <c r="M444" s="2">
        <v>5640202</v>
      </c>
      <c r="N444" s="2" t="s">
        <v>240</v>
      </c>
      <c r="O444" s="2" t="s">
        <v>104</v>
      </c>
      <c r="P444" s="2" t="s">
        <v>132</v>
      </c>
      <c r="Q444" s="2" t="s">
        <v>775</v>
      </c>
      <c r="R444" s="2" t="s">
        <v>53</v>
      </c>
      <c r="S444" s="2">
        <v>8</v>
      </c>
      <c r="T444" s="2" t="s">
        <v>508</v>
      </c>
      <c r="U444" s="2" t="s">
        <v>34</v>
      </c>
      <c r="V444" s="32">
        <v>51300880</v>
      </c>
      <c r="Y444" s="30">
        <f t="shared" si="12"/>
        <v>51300880</v>
      </c>
      <c r="Z444" s="41">
        <f t="shared" si="13"/>
        <v>0</v>
      </c>
    </row>
    <row r="445" spans="1:26">
      <c r="A445" s="2">
        <v>443</v>
      </c>
      <c r="B445" s="2">
        <v>3649051</v>
      </c>
      <c r="C445" s="2">
        <v>51209037230033</v>
      </c>
      <c r="D445" s="2" t="s">
        <v>74</v>
      </c>
      <c r="E445" s="2">
        <v>33950</v>
      </c>
      <c r="F445" s="2">
        <v>994100141</v>
      </c>
      <c r="G445" s="3">
        <v>37876</v>
      </c>
      <c r="H445" s="2" t="s">
        <v>94</v>
      </c>
      <c r="I445" s="2" t="s">
        <v>1242</v>
      </c>
      <c r="J445" s="2" t="s">
        <v>1243</v>
      </c>
      <c r="K445" s="2" t="s">
        <v>26</v>
      </c>
      <c r="L445" s="2" t="s">
        <v>27</v>
      </c>
      <c r="M445" s="2">
        <v>5310606</v>
      </c>
      <c r="N445" s="2" t="s">
        <v>72</v>
      </c>
      <c r="O445" s="2" t="s">
        <v>104</v>
      </c>
      <c r="P445" s="2" t="s">
        <v>149</v>
      </c>
      <c r="Q445" s="4">
        <v>45778</v>
      </c>
      <c r="R445" s="2" t="s">
        <v>53</v>
      </c>
      <c r="S445" s="2">
        <v>8</v>
      </c>
      <c r="T445" s="2" t="s">
        <v>33</v>
      </c>
      <c r="U445" s="2" t="s">
        <v>34</v>
      </c>
      <c r="V445" s="32">
        <v>51300880</v>
      </c>
      <c r="Y445" s="30">
        <f t="shared" si="12"/>
        <v>51300880</v>
      </c>
      <c r="Z445" s="41">
        <f t="shared" si="13"/>
        <v>0</v>
      </c>
    </row>
    <row r="446" spans="1:26">
      <c r="A446" s="2">
        <v>444</v>
      </c>
      <c r="B446" s="2">
        <v>2020105</v>
      </c>
      <c r="C446" s="2">
        <v>30909952390034</v>
      </c>
      <c r="D446" s="2" t="s">
        <v>145</v>
      </c>
      <c r="E446" s="2">
        <v>4792262</v>
      </c>
      <c r="F446" s="2">
        <v>935221795</v>
      </c>
      <c r="G446" s="3">
        <v>34951</v>
      </c>
      <c r="H446" s="2" t="s">
        <v>1244</v>
      </c>
      <c r="I446" s="2" t="s">
        <v>1037</v>
      </c>
      <c r="J446" s="2" t="s">
        <v>1245</v>
      </c>
      <c r="K446" s="2" t="s">
        <v>39</v>
      </c>
      <c r="L446" s="2" t="s">
        <v>57</v>
      </c>
      <c r="M446" s="2">
        <v>5310202</v>
      </c>
      <c r="N446" s="2" t="s">
        <v>86</v>
      </c>
      <c r="O446" s="2" t="s">
        <v>88</v>
      </c>
      <c r="P446" s="2" t="s">
        <v>154</v>
      </c>
      <c r="Q446" s="4">
        <v>43922</v>
      </c>
      <c r="R446" s="2" t="s">
        <v>62</v>
      </c>
      <c r="S446" s="2">
        <v>8</v>
      </c>
      <c r="T446" s="2" t="s">
        <v>33</v>
      </c>
      <c r="U446" s="2" t="s">
        <v>34</v>
      </c>
      <c r="V446" s="32">
        <v>59781040</v>
      </c>
      <c r="Y446" s="30">
        <f t="shared" si="12"/>
        <v>59781040</v>
      </c>
      <c r="Z446" s="41">
        <f t="shared" si="13"/>
        <v>0</v>
      </c>
    </row>
    <row r="447" spans="1:26">
      <c r="A447" s="2">
        <v>445</v>
      </c>
      <c r="B447" s="2">
        <v>3561710</v>
      </c>
      <c r="C447" s="2">
        <v>52109036950019</v>
      </c>
      <c r="D447" s="2" t="s">
        <v>22</v>
      </c>
      <c r="E447" s="2">
        <v>2410403</v>
      </c>
      <c r="F447" s="2">
        <v>979661717</v>
      </c>
      <c r="G447" s="3">
        <v>37885</v>
      </c>
      <c r="H447" s="2" t="s">
        <v>1246</v>
      </c>
      <c r="I447" s="2" t="s">
        <v>318</v>
      </c>
      <c r="J447" s="2" t="s">
        <v>1247</v>
      </c>
      <c r="K447" s="2" t="s">
        <v>39</v>
      </c>
      <c r="L447" s="2" t="s">
        <v>27</v>
      </c>
      <c r="M447" s="2">
        <v>5620101</v>
      </c>
      <c r="N447" s="2" t="s">
        <v>49</v>
      </c>
      <c r="O447" s="2" t="s">
        <v>179</v>
      </c>
      <c r="P447" s="2" t="s">
        <v>264</v>
      </c>
      <c r="Q447" s="2" t="s">
        <v>31</v>
      </c>
      <c r="R447" s="2" t="s">
        <v>62</v>
      </c>
      <c r="S447" s="2">
        <v>8</v>
      </c>
      <c r="T447" s="2" t="s">
        <v>33</v>
      </c>
      <c r="U447" s="2" t="s">
        <v>34</v>
      </c>
      <c r="V447" s="32">
        <v>59781040</v>
      </c>
      <c r="Y447" s="30">
        <f t="shared" si="12"/>
        <v>59781040</v>
      </c>
      <c r="Z447" s="41">
        <f t="shared" si="13"/>
        <v>0</v>
      </c>
    </row>
    <row r="448" spans="1:26" ht="15.75">
      <c r="A448" s="2">
        <v>446</v>
      </c>
      <c r="B448" s="2">
        <v>3530768</v>
      </c>
      <c r="C448" s="2">
        <v>51206036020018</v>
      </c>
      <c r="D448" s="2" t="s">
        <v>22</v>
      </c>
      <c r="E448" s="2">
        <v>2856769</v>
      </c>
      <c r="F448" s="2">
        <v>993152425</v>
      </c>
      <c r="G448" s="3">
        <v>37784</v>
      </c>
      <c r="H448" s="2" t="s">
        <v>1132</v>
      </c>
      <c r="I448" s="2" t="s">
        <v>676</v>
      </c>
      <c r="J448" s="2" t="s">
        <v>448</v>
      </c>
      <c r="K448" s="2" t="s">
        <v>26</v>
      </c>
      <c r="L448" s="2" t="s">
        <v>27</v>
      </c>
      <c r="M448" s="2">
        <v>5240109</v>
      </c>
      <c r="N448" s="2" t="s">
        <v>28</v>
      </c>
      <c r="O448" s="2" t="s">
        <v>154</v>
      </c>
      <c r="P448" s="2" t="s">
        <v>30</v>
      </c>
      <c r="Q448" s="2" t="s">
        <v>402</v>
      </c>
      <c r="R448" s="2" t="s">
        <v>32</v>
      </c>
      <c r="S448" s="2">
        <v>25</v>
      </c>
      <c r="T448" s="2" t="s">
        <v>33</v>
      </c>
      <c r="U448" s="2" t="s">
        <v>34</v>
      </c>
      <c r="V448" s="32">
        <v>245231500</v>
      </c>
      <c r="W448" s="21">
        <v>122615750</v>
      </c>
      <c r="X448" s="10" t="s">
        <v>2626</v>
      </c>
      <c r="Y448" s="30">
        <f t="shared" si="12"/>
        <v>122615750</v>
      </c>
      <c r="Z448" s="41">
        <f t="shared" si="13"/>
        <v>0.5</v>
      </c>
    </row>
    <row r="449" spans="1:27" ht="26.25">
      <c r="A449" s="2">
        <v>447</v>
      </c>
      <c r="B449" s="2">
        <v>3527587</v>
      </c>
      <c r="C449" s="2">
        <v>30303871810015</v>
      </c>
      <c r="D449" s="2" t="s">
        <v>145</v>
      </c>
      <c r="E449" s="2">
        <v>5452765</v>
      </c>
      <c r="F449" s="2">
        <v>936766994</v>
      </c>
      <c r="G449" s="3">
        <v>31839</v>
      </c>
      <c r="H449" s="2" t="s">
        <v>1248</v>
      </c>
      <c r="I449" s="2" t="s">
        <v>1249</v>
      </c>
      <c r="J449" s="2" t="s">
        <v>1250</v>
      </c>
      <c r="K449" s="2" t="s">
        <v>39</v>
      </c>
      <c r="L449" s="2" t="s">
        <v>27</v>
      </c>
      <c r="M449" s="2">
        <v>5310605</v>
      </c>
      <c r="N449" s="2" t="s">
        <v>97</v>
      </c>
      <c r="O449" s="2" t="s">
        <v>87</v>
      </c>
      <c r="P449" s="2" t="s">
        <v>79</v>
      </c>
      <c r="Q449" s="2" t="s">
        <v>440</v>
      </c>
      <c r="R449" s="2" t="s">
        <v>62</v>
      </c>
      <c r="S449" s="2">
        <v>8</v>
      </c>
      <c r="T449" s="2" t="s">
        <v>33</v>
      </c>
      <c r="U449" s="2" t="s">
        <v>34</v>
      </c>
      <c r="V449" s="32">
        <v>59781040</v>
      </c>
      <c r="W449" s="20">
        <v>30000000</v>
      </c>
      <c r="X449" s="2" t="s">
        <v>2682</v>
      </c>
      <c r="Y449" s="30">
        <f t="shared" si="12"/>
        <v>29781040</v>
      </c>
      <c r="Z449" s="41">
        <f t="shared" si="13"/>
        <v>0.50183134987280253</v>
      </c>
    </row>
    <row r="450" spans="1:27" ht="26.25">
      <c r="A450" s="2">
        <v>448</v>
      </c>
      <c r="B450" s="2">
        <v>2795324</v>
      </c>
      <c r="C450" s="2">
        <v>60410025710013</v>
      </c>
      <c r="D450" s="2" t="s">
        <v>22</v>
      </c>
      <c r="E450" s="2">
        <v>1916722</v>
      </c>
      <c r="F450" s="2">
        <v>990654282</v>
      </c>
      <c r="G450" s="3">
        <v>37533</v>
      </c>
      <c r="H450" s="2" t="s">
        <v>1251</v>
      </c>
      <c r="I450" s="2" t="s">
        <v>1252</v>
      </c>
      <c r="J450" s="2" t="s">
        <v>1253</v>
      </c>
      <c r="K450" s="2" t="s">
        <v>26</v>
      </c>
      <c r="L450" s="2" t="s">
        <v>27</v>
      </c>
      <c r="M450" s="2">
        <v>5310607</v>
      </c>
      <c r="N450" s="2" t="s">
        <v>1041</v>
      </c>
      <c r="O450" s="2" t="s">
        <v>194</v>
      </c>
      <c r="P450" s="2" t="s">
        <v>350</v>
      </c>
      <c r="Q450" s="4">
        <v>43922</v>
      </c>
      <c r="R450" s="2" t="s">
        <v>53</v>
      </c>
      <c r="S450" s="2">
        <v>8</v>
      </c>
      <c r="T450" s="2" t="s">
        <v>33</v>
      </c>
      <c r="U450" s="2" t="s">
        <v>34</v>
      </c>
      <c r="V450" s="32">
        <v>51300880</v>
      </c>
      <c r="Y450" s="30">
        <f t="shared" si="12"/>
        <v>51300880</v>
      </c>
      <c r="Z450" s="41">
        <f t="shared" si="13"/>
        <v>0</v>
      </c>
    </row>
    <row r="451" spans="1:27" ht="15.75">
      <c r="A451" s="2">
        <v>449</v>
      </c>
      <c r="B451" s="2">
        <v>3300678</v>
      </c>
      <c r="C451" s="2">
        <v>51308046580019</v>
      </c>
      <c r="D451" s="2" t="s">
        <v>22</v>
      </c>
      <c r="E451" s="2">
        <v>2969230</v>
      </c>
      <c r="F451" s="2">
        <v>935777022</v>
      </c>
      <c r="G451" s="3">
        <v>38212</v>
      </c>
      <c r="H451" s="2" t="s">
        <v>695</v>
      </c>
      <c r="I451" s="2" t="s">
        <v>1254</v>
      </c>
      <c r="J451" s="2" t="s">
        <v>1255</v>
      </c>
      <c r="K451" s="2" t="s">
        <v>26</v>
      </c>
      <c r="L451" s="2" t="s">
        <v>27</v>
      </c>
      <c r="M451" s="2">
        <v>5240109</v>
      </c>
      <c r="N451" s="2" t="s">
        <v>28</v>
      </c>
      <c r="O451" s="2" t="s">
        <v>207</v>
      </c>
      <c r="P451" s="2" t="s">
        <v>30</v>
      </c>
      <c r="Q451" s="2" t="s">
        <v>1172</v>
      </c>
      <c r="R451" s="2" t="s">
        <v>32</v>
      </c>
      <c r="S451" s="2">
        <v>25</v>
      </c>
      <c r="T451" s="2" t="s">
        <v>33</v>
      </c>
      <c r="U451" s="2" t="s">
        <v>34</v>
      </c>
      <c r="V451" s="32">
        <v>245231500</v>
      </c>
      <c r="W451" s="21">
        <v>3000000</v>
      </c>
      <c r="X451" s="11" t="s">
        <v>2626</v>
      </c>
      <c r="Y451" s="30">
        <f t="shared" si="12"/>
        <v>242231500</v>
      </c>
      <c r="Z451" s="41">
        <f t="shared" si="13"/>
        <v>1.2233338702409764E-2</v>
      </c>
    </row>
    <row r="452" spans="1:27" ht="26.25">
      <c r="A452" s="2">
        <v>450</v>
      </c>
      <c r="B452" s="2">
        <v>2021170</v>
      </c>
      <c r="C452" s="2">
        <v>42807880251658</v>
      </c>
      <c r="D452" s="2" t="s">
        <v>145</v>
      </c>
      <c r="E452" s="2">
        <v>2829125</v>
      </c>
      <c r="F452" s="2">
        <v>977672428</v>
      </c>
      <c r="G452" s="3">
        <v>32352</v>
      </c>
      <c r="H452" s="2" t="s">
        <v>329</v>
      </c>
      <c r="I452" s="2" t="s">
        <v>1256</v>
      </c>
      <c r="J452" s="2" t="s">
        <v>1257</v>
      </c>
      <c r="K452" s="2" t="s">
        <v>39</v>
      </c>
      <c r="L452" s="2" t="s">
        <v>27</v>
      </c>
      <c r="M452" s="2">
        <v>5230902</v>
      </c>
      <c r="N452" s="2" t="s">
        <v>251</v>
      </c>
      <c r="O452" s="2" t="s">
        <v>88</v>
      </c>
      <c r="P452" s="2" t="s">
        <v>252</v>
      </c>
      <c r="Q452" s="2" t="s">
        <v>310</v>
      </c>
      <c r="R452" s="2" t="s">
        <v>82</v>
      </c>
      <c r="S452" s="2">
        <v>10</v>
      </c>
      <c r="T452" s="2" t="s">
        <v>33</v>
      </c>
      <c r="U452" s="2" t="s">
        <v>34</v>
      </c>
      <c r="V452" s="32">
        <v>104616820</v>
      </c>
      <c r="W452" s="20">
        <v>52308410</v>
      </c>
      <c r="X452" s="2" t="s">
        <v>2679</v>
      </c>
      <c r="Y452" s="30">
        <f t="shared" ref="Y452:Y515" si="14">V452-W452</f>
        <v>52308410</v>
      </c>
      <c r="Z452" s="41">
        <f t="shared" ref="Z452:Z515" si="15">W452/V452</f>
        <v>0.5</v>
      </c>
    </row>
    <row r="453" spans="1:27" ht="26.25">
      <c r="A453" s="2">
        <v>451</v>
      </c>
      <c r="B453" s="2">
        <v>1742813</v>
      </c>
      <c r="C453" s="2">
        <v>30105986460020</v>
      </c>
      <c r="D453" s="2" t="s">
        <v>145</v>
      </c>
      <c r="E453" s="2">
        <v>6076857</v>
      </c>
      <c r="F453" s="2">
        <v>916211009</v>
      </c>
      <c r="G453" s="3">
        <v>35916</v>
      </c>
      <c r="H453" s="2" t="s">
        <v>1258</v>
      </c>
      <c r="I453" s="2" t="s">
        <v>1259</v>
      </c>
      <c r="J453" s="2" t="s">
        <v>1260</v>
      </c>
      <c r="K453" s="2" t="s">
        <v>39</v>
      </c>
      <c r="L453" s="2" t="s">
        <v>27</v>
      </c>
      <c r="M453" s="2">
        <v>5620702</v>
      </c>
      <c r="N453" s="2" t="s">
        <v>159</v>
      </c>
      <c r="O453" s="2" t="s">
        <v>223</v>
      </c>
      <c r="P453" s="2" t="s">
        <v>629</v>
      </c>
      <c r="Q453" s="2" t="s">
        <v>124</v>
      </c>
      <c r="R453" s="2" t="s">
        <v>62</v>
      </c>
      <c r="S453" s="2">
        <v>8</v>
      </c>
      <c r="T453" s="2" t="s">
        <v>33</v>
      </c>
      <c r="U453" s="2" t="s">
        <v>34</v>
      </c>
      <c r="V453" s="32">
        <v>119562080</v>
      </c>
      <c r="Y453" s="30">
        <f t="shared" si="14"/>
        <v>119562080</v>
      </c>
      <c r="Z453" s="41">
        <f t="shared" si="15"/>
        <v>0</v>
      </c>
    </row>
    <row r="454" spans="1:27" ht="26.25">
      <c r="A454" s="2">
        <v>452</v>
      </c>
      <c r="B454" s="2">
        <v>3595417</v>
      </c>
      <c r="C454" s="2">
        <v>51011036260018</v>
      </c>
      <c r="D454" s="2" t="s">
        <v>22</v>
      </c>
      <c r="E454" s="2">
        <v>2440966</v>
      </c>
      <c r="F454" s="2">
        <v>909929289</v>
      </c>
      <c r="G454" s="3">
        <v>37935</v>
      </c>
      <c r="H454" s="2" t="s">
        <v>278</v>
      </c>
      <c r="I454" s="2" t="s">
        <v>1227</v>
      </c>
      <c r="J454" s="2" t="s">
        <v>1261</v>
      </c>
      <c r="K454" s="2" t="s">
        <v>26</v>
      </c>
      <c r="L454" s="2" t="s">
        <v>27</v>
      </c>
      <c r="M454" s="2">
        <v>5320102</v>
      </c>
      <c r="N454" s="2" t="s">
        <v>138</v>
      </c>
      <c r="O454" s="2" t="s">
        <v>41</v>
      </c>
      <c r="P454" s="2" t="s">
        <v>154</v>
      </c>
      <c r="Q454" s="4">
        <v>42064</v>
      </c>
      <c r="R454" s="2" t="s">
        <v>53</v>
      </c>
      <c r="S454" s="2">
        <v>8</v>
      </c>
      <c r="T454" s="2" t="s">
        <v>33</v>
      </c>
      <c r="U454" s="2" t="s">
        <v>34</v>
      </c>
      <c r="V454" s="32">
        <v>19237830</v>
      </c>
      <c r="Y454" s="30">
        <f t="shared" si="14"/>
        <v>19237830</v>
      </c>
      <c r="Z454" s="41">
        <f t="shared" si="15"/>
        <v>0</v>
      </c>
    </row>
    <row r="455" spans="1:27" ht="26.25">
      <c r="A455" s="2">
        <v>453</v>
      </c>
      <c r="B455" s="2">
        <v>3752558</v>
      </c>
      <c r="C455" s="2">
        <v>30806932870017</v>
      </c>
      <c r="D455" s="2" t="s">
        <v>145</v>
      </c>
      <c r="E455" s="2">
        <v>7763890</v>
      </c>
      <c r="F455" s="2">
        <v>904000892</v>
      </c>
      <c r="G455" s="3">
        <v>34128</v>
      </c>
      <c r="H455" s="2" t="s">
        <v>477</v>
      </c>
      <c r="I455" s="2" t="s">
        <v>1262</v>
      </c>
      <c r="J455" s="2" t="s">
        <v>1263</v>
      </c>
      <c r="K455" s="2" t="s">
        <v>39</v>
      </c>
      <c r="L455" s="2" t="s">
        <v>27</v>
      </c>
      <c r="M455" s="2">
        <v>5350701</v>
      </c>
      <c r="N455" s="2" t="s">
        <v>338</v>
      </c>
      <c r="O455" s="2" t="s">
        <v>67</v>
      </c>
      <c r="P455" s="2" t="s">
        <v>73</v>
      </c>
      <c r="Q455" s="4">
        <v>42064</v>
      </c>
      <c r="R455" s="2" t="s">
        <v>44</v>
      </c>
      <c r="S455" s="2">
        <v>8</v>
      </c>
      <c r="T455" s="2" t="s">
        <v>33</v>
      </c>
      <c r="U455" s="2" t="s">
        <v>34</v>
      </c>
      <c r="V455" s="32">
        <v>24659679</v>
      </c>
      <c r="Y455" s="30">
        <f t="shared" si="14"/>
        <v>24659679</v>
      </c>
      <c r="Z455" s="41">
        <f t="shared" si="15"/>
        <v>0</v>
      </c>
    </row>
    <row r="456" spans="1:27" ht="15.75">
      <c r="A456" s="2">
        <v>454</v>
      </c>
      <c r="B456" s="2">
        <v>2783361</v>
      </c>
      <c r="C456" s="2">
        <v>52302016860012</v>
      </c>
      <c r="D456" s="2" t="s">
        <v>45</v>
      </c>
      <c r="E456" s="2">
        <v>6117289</v>
      </c>
      <c r="F456" s="2">
        <v>978712871</v>
      </c>
      <c r="G456" s="3">
        <v>36945</v>
      </c>
      <c r="H456" s="2" t="s">
        <v>242</v>
      </c>
      <c r="I456" s="2" t="s">
        <v>1264</v>
      </c>
      <c r="J456" s="2" t="s">
        <v>1265</v>
      </c>
      <c r="K456" s="2" t="s">
        <v>26</v>
      </c>
      <c r="L456" s="2" t="s">
        <v>57</v>
      </c>
      <c r="M456" s="2">
        <v>5314000</v>
      </c>
      <c r="N456" s="2" t="s">
        <v>522</v>
      </c>
      <c r="O456" s="2" t="s">
        <v>122</v>
      </c>
      <c r="P456" s="2" t="s">
        <v>241</v>
      </c>
      <c r="Q456" s="2" t="s">
        <v>775</v>
      </c>
      <c r="R456" s="2" t="s">
        <v>53</v>
      </c>
      <c r="S456" s="2">
        <v>8</v>
      </c>
      <c r="T456" s="2" t="s">
        <v>33</v>
      </c>
      <c r="U456" s="2" t="s">
        <v>34</v>
      </c>
      <c r="V456" s="32">
        <v>46170792</v>
      </c>
      <c r="W456" s="23">
        <v>24000000</v>
      </c>
      <c r="X456" s="13" t="s">
        <v>2629</v>
      </c>
      <c r="Y456" s="30">
        <f t="shared" si="14"/>
        <v>22170792</v>
      </c>
      <c r="Z456" s="41">
        <f t="shared" si="15"/>
        <v>0.51980914687363389</v>
      </c>
    </row>
    <row r="457" spans="1:27" ht="26.25">
      <c r="A457" s="2">
        <v>455</v>
      </c>
      <c r="B457" s="2">
        <v>1182918</v>
      </c>
      <c r="C457" s="2">
        <v>30410975910018</v>
      </c>
      <c r="D457" s="2" t="s">
        <v>145</v>
      </c>
      <c r="E457" s="2">
        <v>9360433</v>
      </c>
      <c r="F457" s="2">
        <v>998351393</v>
      </c>
      <c r="G457" s="3">
        <v>35707</v>
      </c>
      <c r="H457" s="2" t="s">
        <v>1266</v>
      </c>
      <c r="I457" s="2" t="s">
        <v>1267</v>
      </c>
      <c r="J457" s="2" t="s">
        <v>768</v>
      </c>
      <c r="K457" s="2" t="s">
        <v>39</v>
      </c>
      <c r="L457" s="2" t="s">
        <v>27</v>
      </c>
      <c r="M457" s="2">
        <v>5310601</v>
      </c>
      <c r="N457" s="2" t="s">
        <v>153</v>
      </c>
      <c r="O457" s="2" t="s">
        <v>60</v>
      </c>
      <c r="P457" s="2" t="s">
        <v>79</v>
      </c>
      <c r="Q457" s="2" t="s">
        <v>124</v>
      </c>
      <c r="R457" s="2" t="s">
        <v>62</v>
      </c>
      <c r="S457" s="2">
        <v>8</v>
      </c>
      <c r="T457" s="2" t="s">
        <v>33</v>
      </c>
      <c r="U457" s="2" t="s">
        <v>34</v>
      </c>
      <c r="V457" s="32">
        <v>53802936</v>
      </c>
      <c r="W457" s="21">
        <f>20000000+6400000+600000</f>
        <v>27000000</v>
      </c>
      <c r="X457" s="10" t="s">
        <v>2753</v>
      </c>
      <c r="Y457" s="30">
        <f t="shared" si="14"/>
        <v>26802936</v>
      </c>
      <c r="Z457" s="41">
        <f t="shared" si="15"/>
        <v>0.50183134987280253</v>
      </c>
    </row>
    <row r="458" spans="1:27" ht="39">
      <c r="A458" s="2">
        <v>456</v>
      </c>
      <c r="B458" s="2">
        <v>2918325</v>
      </c>
      <c r="C458" s="2">
        <v>31611985450016</v>
      </c>
      <c r="D458" s="2" t="s">
        <v>45</v>
      </c>
      <c r="E458" s="2">
        <v>641030</v>
      </c>
      <c r="F458" s="2">
        <v>932909204</v>
      </c>
      <c r="G458" s="3">
        <v>36115</v>
      </c>
      <c r="H458" s="2" t="s">
        <v>125</v>
      </c>
      <c r="I458" s="2" t="s">
        <v>1268</v>
      </c>
      <c r="J458" s="2" t="s">
        <v>1269</v>
      </c>
      <c r="K458" s="2" t="s">
        <v>39</v>
      </c>
      <c r="L458" s="2" t="s">
        <v>27</v>
      </c>
      <c r="M458" s="2">
        <v>5340401</v>
      </c>
      <c r="N458" s="2" t="s">
        <v>349</v>
      </c>
      <c r="O458" s="2" t="s">
        <v>122</v>
      </c>
      <c r="P458" s="2" t="s">
        <v>350</v>
      </c>
      <c r="Q458" s="2" t="s">
        <v>277</v>
      </c>
      <c r="R458" s="2" t="s">
        <v>44</v>
      </c>
      <c r="S458" s="2">
        <v>8</v>
      </c>
      <c r="T458" s="2" t="s">
        <v>33</v>
      </c>
      <c r="U458" s="2" t="s">
        <v>34</v>
      </c>
      <c r="V458" s="32">
        <v>65759144</v>
      </c>
      <c r="Y458" s="30">
        <f t="shared" si="14"/>
        <v>65759144</v>
      </c>
      <c r="Z458" s="41">
        <f t="shared" si="15"/>
        <v>0</v>
      </c>
    </row>
    <row r="459" spans="1:27" ht="26.25">
      <c r="A459" s="2">
        <v>457</v>
      </c>
      <c r="B459" s="2">
        <v>3593711</v>
      </c>
      <c r="C459" s="2">
        <v>32008995850032</v>
      </c>
      <c r="D459" s="2" t="s">
        <v>45</v>
      </c>
      <c r="E459" s="2">
        <v>2722579</v>
      </c>
      <c r="F459" s="2">
        <v>974230623</v>
      </c>
      <c r="G459" s="3">
        <v>36392</v>
      </c>
      <c r="H459" s="2" t="s">
        <v>1270</v>
      </c>
      <c r="I459" s="2" t="s">
        <v>752</v>
      </c>
      <c r="J459" s="2" t="s">
        <v>1271</v>
      </c>
      <c r="K459" s="2" t="s">
        <v>39</v>
      </c>
      <c r="L459" s="2" t="s">
        <v>27</v>
      </c>
      <c r="M459" s="2">
        <v>5640202</v>
      </c>
      <c r="N459" s="2" t="s">
        <v>240</v>
      </c>
      <c r="O459" s="2" t="s">
        <v>88</v>
      </c>
      <c r="P459" s="2" t="s">
        <v>241</v>
      </c>
      <c r="Q459" s="2" t="s">
        <v>81</v>
      </c>
      <c r="R459" s="2" t="s">
        <v>62</v>
      </c>
      <c r="S459" s="2">
        <v>8</v>
      </c>
      <c r="T459" s="2" t="s">
        <v>33</v>
      </c>
      <c r="U459" s="2" t="s">
        <v>34</v>
      </c>
      <c r="V459" s="32">
        <v>59781040</v>
      </c>
      <c r="W459" s="21">
        <f>30000000+29781040</f>
        <v>59781040</v>
      </c>
      <c r="X459" s="10" t="s">
        <v>2848</v>
      </c>
      <c r="Y459" s="30">
        <f t="shared" si="14"/>
        <v>0</v>
      </c>
      <c r="Z459" s="41">
        <f t="shared" si="15"/>
        <v>1</v>
      </c>
    </row>
    <row r="460" spans="1:27">
      <c r="A460" s="2">
        <v>458</v>
      </c>
      <c r="B460" s="2">
        <v>1108015</v>
      </c>
      <c r="C460" s="2">
        <v>52604017050026</v>
      </c>
      <c r="D460" s="2" t="s">
        <v>45</v>
      </c>
      <c r="E460" s="2">
        <v>6705192</v>
      </c>
      <c r="F460" s="2">
        <v>971790077</v>
      </c>
      <c r="G460" s="3">
        <v>37007</v>
      </c>
      <c r="H460" s="2" t="s">
        <v>1272</v>
      </c>
      <c r="I460" s="2" t="s">
        <v>1273</v>
      </c>
      <c r="J460" s="2" t="s">
        <v>1274</v>
      </c>
      <c r="K460" s="2" t="s">
        <v>39</v>
      </c>
      <c r="L460" s="2" t="s">
        <v>57</v>
      </c>
      <c r="M460" s="2">
        <v>5310202</v>
      </c>
      <c r="N460" s="2" t="s">
        <v>86</v>
      </c>
      <c r="O460" s="2" t="s">
        <v>122</v>
      </c>
      <c r="P460" s="2" t="s">
        <v>154</v>
      </c>
      <c r="Q460" s="4">
        <v>11110</v>
      </c>
      <c r="R460" s="2" t="s">
        <v>62</v>
      </c>
      <c r="S460" s="2">
        <v>8</v>
      </c>
      <c r="T460" s="2" t="s">
        <v>33</v>
      </c>
      <c r="U460" s="2" t="s">
        <v>34</v>
      </c>
      <c r="V460" s="32">
        <v>59781040</v>
      </c>
      <c r="Y460" s="30">
        <f t="shared" si="14"/>
        <v>59781040</v>
      </c>
      <c r="Z460" s="41">
        <f t="shared" si="15"/>
        <v>0</v>
      </c>
    </row>
    <row r="461" spans="1:27" ht="26.25">
      <c r="A461" s="2">
        <v>459</v>
      </c>
      <c r="B461" s="2">
        <v>3523585</v>
      </c>
      <c r="C461" s="2">
        <v>51409035150018</v>
      </c>
      <c r="D461" s="2" t="s">
        <v>22</v>
      </c>
      <c r="E461" s="2">
        <v>2153272</v>
      </c>
      <c r="F461" s="2">
        <v>990602062</v>
      </c>
      <c r="G461" s="3">
        <v>37878</v>
      </c>
      <c r="H461" s="2" t="s">
        <v>1275</v>
      </c>
      <c r="I461" s="2" t="s">
        <v>1276</v>
      </c>
      <c r="J461" s="2" t="s">
        <v>966</v>
      </c>
      <c r="K461" s="2" t="s">
        <v>26</v>
      </c>
      <c r="L461" s="2" t="s">
        <v>27</v>
      </c>
      <c r="M461" s="2">
        <v>5340601</v>
      </c>
      <c r="N461" s="2" t="s">
        <v>110</v>
      </c>
      <c r="O461" s="2" t="s">
        <v>179</v>
      </c>
      <c r="P461" s="2" t="s">
        <v>402</v>
      </c>
      <c r="Q461" s="2" t="s">
        <v>421</v>
      </c>
      <c r="R461" s="2" t="s">
        <v>93</v>
      </c>
      <c r="S461" s="2">
        <v>8</v>
      </c>
      <c r="T461" s="2" t="s">
        <v>33</v>
      </c>
      <c r="U461" s="2" t="s">
        <v>34</v>
      </c>
      <c r="V461" s="29">
        <v>51061968</v>
      </c>
      <c r="W461" s="20">
        <f>25534000+25528000</f>
        <v>51062000</v>
      </c>
      <c r="X461" s="2" t="s">
        <v>2981</v>
      </c>
      <c r="Y461" s="30">
        <f t="shared" si="14"/>
        <v>-32</v>
      </c>
      <c r="Z461" s="41">
        <f t="shared" si="15"/>
        <v>1.0000006266895158</v>
      </c>
    </row>
    <row r="462" spans="1:27">
      <c r="A462" s="2">
        <v>460</v>
      </c>
      <c r="B462" s="2">
        <v>2061144</v>
      </c>
      <c r="C462" s="2">
        <v>31503985610056</v>
      </c>
      <c r="D462" s="2" t="s">
        <v>45</v>
      </c>
      <c r="E462" s="2">
        <v>5735478</v>
      </c>
      <c r="F462" s="2">
        <v>930710809</v>
      </c>
      <c r="G462" s="3">
        <v>35869</v>
      </c>
      <c r="H462" s="2" t="s">
        <v>1277</v>
      </c>
      <c r="I462" s="2" t="s">
        <v>1278</v>
      </c>
      <c r="J462" s="2" t="s">
        <v>1279</v>
      </c>
      <c r="K462" s="2" t="s">
        <v>26</v>
      </c>
      <c r="L462" s="2" t="s">
        <v>27</v>
      </c>
      <c r="M462" s="2">
        <v>5230105</v>
      </c>
      <c r="N462" s="2" t="s">
        <v>407</v>
      </c>
      <c r="O462" s="2" t="s">
        <v>122</v>
      </c>
      <c r="P462" s="2" t="s">
        <v>408</v>
      </c>
      <c r="Q462" s="2" t="s">
        <v>549</v>
      </c>
      <c r="R462" s="2" t="s">
        <v>134</v>
      </c>
      <c r="S462" s="2">
        <v>10</v>
      </c>
      <c r="T462" s="2" t="s">
        <v>33</v>
      </c>
      <c r="U462" s="2" t="s">
        <v>34</v>
      </c>
      <c r="V462" s="32">
        <v>91299300</v>
      </c>
      <c r="Y462" s="30">
        <f t="shared" si="14"/>
        <v>91299300</v>
      </c>
      <c r="Z462" s="41">
        <f t="shared" si="15"/>
        <v>0</v>
      </c>
    </row>
    <row r="463" spans="1:27" ht="47.25">
      <c r="A463" s="2">
        <v>461</v>
      </c>
      <c r="B463" s="2">
        <v>3747896</v>
      </c>
      <c r="C463" s="2">
        <v>51206037360029</v>
      </c>
      <c r="D463" s="2" t="s">
        <v>35</v>
      </c>
      <c r="E463" s="2">
        <v>1295374</v>
      </c>
      <c r="F463" s="2">
        <v>936165686</v>
      </c>
      <c r="G463" s="3">
        <v>37784</v>
      </c>
      <c r="H463" s="2" t="s">
        <v>1280</v>
      </c>
      <c r="I463" s="2" t="s">
        <v>1281</v>
      </c>
      <c r="J463" s="2" t="s">
        <v>1282</v>
      </c>
      <c r="K463" s="2" t="s">
        <v>26</v>
      </c>
      <c r="L463" s="2" t="s">
        <v>27</v>
      </c>
      <c r="M463" s="2">
        <v>5310606</v>
      </c>
      <c r="N463" s="2" t="s">
        <v>72</v>
      </c>
      <c r="O463" s="2" t="s">
        <v>207</v>
      </c>
      <c r="P463" s="2" t="s">
        <v>149</v>
      </c>
      <c r="Q463" s="4">
        <v>42064</v>
      </c>
      <c r="R463" s="2" t="s">
        <v>53</v>
      </c>
      <c r="S463" s="2">
        <v>8</v>
      </c>
      <c r="T463" s="2" t="s">
        <v>33</v>
      </c>
      <c r="U463" s="2" t="s">
        <v>34</v>
      </c>
      <c r="V463" s="29" t="s">
        <v>2850</v>
      </c>
      <c r="W463" s="24">
        <f>13207000+1220000+1220000</f>
        <v>15647000</v>
      </c>
      <c r="X463" s="14" t="s">
        <v>2953</v>
      </c>
      <c r="Y463" s="30">
        <f t="shared" si="14"/>
        <v>1667047</v>
      </c>
      <c r="Z463" s="41">
        <f t="shared" si="15"/>
        <v>0.90371708012574992</v>
      </c>
      <c r="AA463" s="42" t="s">
        <v>2798</v>
      </c>
    </row>
    <row r="464" spans="1:27" ht="26.25">
      <c r="A464" s="2">
        <v>462</v>
      </c>
      <c r="B464" s="2">
        <v>1440554</v>
      </c>
      <c r="C464" s="2">
        <v>51409006520037</v>
      </c>
      <c r="D464" s="2" t="s">
        <v>45</v>
      </c>
      <c r="E464" s="2">
        <v>5042763</v>
      </c>
      <c r="F464" s="2">
        <v>977745766</v>
      </c>
      <c r="G464" s="3">
        <v>36783</v>
      </c>
      <c r="H464" s="2" t="s">
        <v>1283</v>
      </c>
      <c r="I464" s="2" t="s">
        <v>1284</v>
      </c>
      <c r="J464" s="2" t="s">
        <v>1285</v>
      </c>
      <c r="K464" s="2" t="s">
        <v>39</v>
      </c>
      <c r="L464" s="2" t="s">
        <v>27</v>
      </c>
      <c r="M464" s="2">
        <v>5230902</v>
      </c>
      <c r="N464" s="2" t="s">
        <v>251</v>
      </c>
      <c r="O464" s="2" t="s">
        <v>67</v>
      </c>
      <c r="P464" s="2" t="s">
        <v>252</v>
      </c>
      <c r="Q464" s="2" t="s">
        <v>133</v>
      </c>
      <c r="R464" s="2" t="s">
        <v>82</v>
      </c>
      <c r="S464" s="2">
        <v>10</v>
      </c>
      <c r="T464" s="2" t="s">
        <v>33</v>
      </c>
      <c r="U464" s="2" t="s">
        <v>34</v>
      </c>
      <c r="V464" s="32">
        <v>104616820</v>
      </c>
      <c r="Y464" s="30">
        <f t="shared" si="14"/>
        <v>104616820</v>
      </c>
      <c r="Z464" s="41">
        <f t="shared" si="15"/>
        <v>0</v>
      </c>
    </row>
    <row r="465" spans="1:26" ht="26.25">
      <c r="A465" s="2">
        <v>463</v>
      </c>
      <c r="B465" s="2">
        <v>1020957</v>
      </c>
      <c r="C465" s="2">
        <v>30306995820018</v>
      </c>
      <c r="D465" s="2" t="s">
        <v>45</v>
      </c>
      <c r="E465" s="2">
        <v>368661</v>
      </c>
      <c r="F465" s="2">
        <v>944851114</v>
      </c>
      <c r="G465" s="3">
        <v>36314</v>
      </c>
      <c r="H465" s="2" t="s">
        <v>1286</v>
      </c>
      <c r="I465" s="2" t="s">
        <v>678</v>
      </c>
      <c r="J465" s="2" t="s">
        <v>1287</v>
      </c>
      <c r="K465" s="2" t="s">
        <v>39</v>
      </c>
      <c r="L465" s="2" t="s">
        <v>27</v>
      </c>
      <c r="M465" s="2">
        <v>5310605</v>
      </c>
      <c r="N465" s="2" t="s">
        <v>97</v>
      </c>
      <c r="O465" s="2" t="s">
        <v>281</v>
      </c>
      <c r="P465" s="2" t="s">
        <v>79</v>
      </c>
      <c r="Q465" s="2" t="s">
        <v>549</v>
      </c>
      <c r="R465" s="2" t="s">
        <v>62</v>
      </c>
      <c r="S465" s="2">
        <v>8</v>
      </c>
      <c r="T465" s="2" t="s">
        <v>33</v>
      </c>
      <c r="U465" s="2" t="s">
        <v>34</v>
      </c>
      <c r="V465" s="32">
        <v>119562080</v>
      </c>
      <c r="Y465" s="30">
        <f t="shared" si="14"/>
        <v>119562080</v>
      </c>
      <c r="Z465" s="41">
        <f t="shared" si="15"/>
        <v>0</v>
      </c>
    </row>
    <row r="466" spans="1:26" ht="26.25">
      <c r="A466" s="2">
        <v>464</v>
      </c>
      <c r="B466" s="2">
        <v>3768301</v>
      </c>
      <c r="C466" s="2">
        <v>30902943080084</v>
      </c>
      <c r="D466" s="2" t="s">
        <v>145</v>
      </c>
      <c r="E466" s="2">
        <v>1906434</v>
      </c>
      <c r="F466" s="2">
        <v>992535294</v>
      </c>
      <c r="G466" s="3">
        <v>34374</v>
      </c>
      <c r="H466" s="2" t="s">
        <v>1288</v>
      </c>
      <c r="I466" s="2" t="s">
        <v>1289</v>
      </c>
      <c r="J466" s="2" t="s">
        <v>1290</v>
      </c>
      <c r="K466" s="2" t="s">
        <v>39</v>
      </c>
      <c r="L466" s="2" t="s">
        <v>27</v>
      </c>
      <c r="M466" s="2">
        <v>5340604</v>
      </c>
      <c r="N466" s="2" t="s">
        <v>354</v>
      </c>
      <c r="O466" s="2" t="s">
        <v>67</v>
      </c>
      <c r="P466" s="2" t="s">
        <v>42</v>
      </c>
      <c r="Q466" s="5">
        <v>44471</v>
      </c>
      <c r="R466" s="2" t="s">
        <v>44</v>
      </c>
      <c r="S466" s="2">
        <v>8</v>
      </c>
      <c r="T466" s="2" t="s">
        <v>33</v>
      </c>
      <c r="U466" s="2" t="s">
        <v>34</v>
      </c>
      <c r="V466" s="32" t="s">
        <v>2726</v>
      </c>
      <c r="Y466" s="30">
        <f t="shared" si="14"/>
        <v>20549732.5</v>
      </c>
      <c r="Z466" s="41">
        <f t="shared" si="15"/>
        <v>0</v>
      </c>
    </row>
    <row r="467" spans="1:26" ht="26.25">
      <c r="A467" s="2">
        <v>465</v>
      </c>
      <c r="B467" s="2">
        <v>1375119</v>
      </c>
      <c r="C467" s="2">
        <v>52801015380010</v>
      </c>
      <c r="D467" s="2" t="s">
        <v>45</v>
      </c>
      <c r="E467" s="2">
        <v>5976387</v>
      </c>
      <c r="F467" s="2">
        <v>995770868</v>
      </c>
      <c r="G467" s="3">
        <v>36919</v>
      </c>
      <c r="H467" s="2" t="s">
        <v>509</v>
      </c>
      <c r="I467" s="2" t="s">
        <v>960</v>
      </c>
      <c r="J467" s="2" t="s">
        <v>1291</v>
      </c>
      <c r="K467" s="2" t="s">
        <v>39</v>
      </c>
      <c r="L467" s="2" t="s">
        <v>27</v>
      </c>
      <c r="M467" s="2">
        <v>5620702</v>
      </c>
      <c r="N467" s="2" t="s">
        <v>159</v>
      </c>
      <c r="O467" s="2" t="s">
        <v>350</v>
      </c>
      <c r="P467" s="2" t="s">
        <v>629</v>
      </c>
      <c r="Q467" s="4">
        <v>42064</v>
      </c>
      <c r="R467" s="2" t="s">
        <v>62</v>
      </c>
      <c r="S467" s="2">
        <v>8</v>
      </c>
      <c r="T467" s="2" t="s">
        <v>33</v>
      </c>
      <c r="U467" s="2" t="s">
        <v>34</v>
      </c>
      <c r="V467" s="32">
        <v>22417890</v>
      </c>
      <c r="W467" s="21">
        <v>11214000</v>
      </c>
      <c r="X467" s="11" t="s">
        <v>2645</v>
      </c>
      <c r="Y467" s="30">
        <f t="shared" si="14"/>
        <v>11203890</v>
      </c>
      <c r="Z467" s="41">
        <f t="shared" si="15"/>
        <v>0.50022548955320956</v>
      </c>
    </row>
    <row r="468" spans="1:26" ht="26.25">
      <c r="A468" s="2">
        <v>466</v>
      </c>
      <c r="B468" s="2">
        <v>1316325</v>
      </c>
      <c r="C468" s="2">
        <v>51407005320029</v>
      </c>
      <c r="D468" s="2" t="s">
        <v>45</v>
      </c>
      <c r="E468" s="2">
        <v>6630498</v>
      </c>
      <c r="F468" s="2">
        <v>936231295</v>
      </c>
      <c r="G468" s="3">
        <v>36721</v>
      </c>
      <c r="H468" s="2" t="s">
        <v>1292</v>
      </c>
      <c r="I468" s="2" t="s">
        <v>1293</v>
      </c>
      <c r="J468" s="2" t="s">
        <v>1294</v>
      </c>
      <c r="K468" s="2" t="s">
        <v>39</v>
      </c>
      <c r="L468" s="2" t="s">
        <v>57</v>
      </c>
      <c r="M468" s="2">
        <v>5310606</v>
      </c>
      <c r="N468" s="2" t="s">
        <v>72</v>
      </c>
      <c r="O468" s="2" t="s">
        <v>198</v>
      </c>
      <c r="P468" s="2" t="s">
        <v>225</v>
      </c>
      <c r="Q468" s="4">
        <v>12966</v>
      </c>
      <c r="R468" s="2" t="s">
        <v>62</v>
      </c>
      <c r="S468" s="2">
        <v>8</v>
      </c>
      <c r="T468" s="2" t="s">
        <v>33</v>
      </c>
      <c r="U468" s="2" t="s">
        <v>34</v>
      </c>
      <c r="V468" s="32">
        <v>53802936</v>
      </c>
      <c r="W468" s="20">
        <f>29850000+21000000</f>
        <v>50850000</v>
      </c>
      <c r="X468" s="2" t="s">
        <v>2968</v>
      </c>
      <c r="Y468" s="30">
        <f t="shared" si="14"/>
        <v>2952936</v>
      </c>
      <c r="Z468" s="41">
        <f t="shared" si="15"/>
        <v>0.94511570892711139</v>
      </c>
    </row>
    <row r="469" spans="1:26" ht="26.25">
      <c r="A469" s="2">
        <v>467</v>
      </c>
      <c r="B469" s="2">
        <v>1784537</v>
      </c>
      <c r="C469" s="2">
        <v>30504961900025</v>
      </c>
      <c r="D469" s="2" t="s">
        <v>45</v>
      </c>
      <c r="E469" s="2">
        <v>142499</v>
      </c>
      <c r="F469" s="2">
        <v>912394181</v>
      </c>
      <c r="G469" s="3">
        <v>35160</v>
      </c>
      <c r="H469" s="2" t="s">
        <v>1295</v>
      </c>
      <c r="I469" s="2" t="s">
        <v>1296</v>
      </c>
      <c r="J469" s="2" t="s">
        <v>966</v>
      </c>
      <c r="K469" s="2" t="s">
        <v>26</v>
      </c>
      <c r="L469" s="2" t="s">
        <v>27</v>
      </c>
      <c r="M469" s="2">
        <v>5310604</v>
      </c>
      <c r="N469" s="2" t="s">
        <v>1297</v>
      </c>
      <c r="O469" s="2" t="s">
        <v>281</v>
      </c>
      <c r="P469" s="2" t="s">
        <v>241</v>
      </c>
      <c r="Q469" s="2" t="s">
        <v>133</v>
      </c>
      <c r="R469" s="2" t="s">
        <v>53</v>
      </c>
      <c r="S469" s="2">
        <v>8</v>
      </c>
      <c r="T469" s="2" t="s">
        <v>33</v>
      </c>
      <c r="U469" s="2" t="s">
        <v>34</v>
      </c>
      <c r="V469" s="32">
        <v>102601760</v>
      </c>
      <c r="Y469" s="30">
        <f t="shared" si="14"/>
        <v>102601760</v>
      </c>
      <c r="Z469" s="41">
        <f t="shared" si="15"/>
        <v>0</v>
      </c>
    </row>
    <row r="470" spans="1:26">
      <c r="A470" s="2">
        <v>468</v>
      </c>
      <c r="B470" s="2">
        <v>2170643</v>
      </c>
      <c r="C470" s="2">
        <v>50301026810015</v>
      </c>
      <c r="D470" s="2" t="s">
        <v>45</v>
      </c>
      <c r="E470" s="2">
        <v>8631079</v>
      </c>
      <c r="F470" s="2">
        <v>994096540</v>
      </c>
      <c r="G470" s="3">
        <v>37259</v>
      </c>
      <c r="H470" s="2" t="s">
        <v>595</v>
      </c>
      <c r="I470" s="2" t="s">
        <v>451</v>
      </c>
      <c r="J470" s="2" t="s">
        <v>1128</v>
      </c>
      <c r="K470" s="2" t="s">
        <v>39</v>
      </c>
      <c r="L470" s="2" t="s">
        <v>57</v>
      </c>
      <c r="M470" s="2">
        <v>5310606</v>
      </c>
      <c r="N470" s="2" t="s">
        <v>72</v>
      </c>
      <c r="O470" s="2">
        <v>63</v>
      </c>
      <c r="P470" s="2" t="s">
        <v>225</v>
      </c>
      <c r="Q470" s="4">
        <v>42064</v>
      </c>
      <c r="R470" s="2" t="s">
        <v>62</v>
      </c>
      <c r="S470" s="2">
        <v>8</v>
      </c>
      <c r="T470" s="2" t="s">
        <v>33</v>
      </c>
      <c r="U470" s="2" t="s">
        <v>34</v>
      </c>
      <c r="V470" s="32">
        <v>22417890</v>
      </c>
      <c r="Y470" s="30">
        <f t="shared" si="14"/>
        <v>22417890</v>
      </c>
      <c r="Z470" s="41">
        <f t="shared" si="15"/>
        <v>0</v>
      </c>
    </row>
    <row r="471" spans="1:26">
      <c r="A471" s="2">
        <v>469</v>
      </c>
      <c r="B471" s="2">
        <v>3646423</v>
      </c>
      <c r="C471" s="2">
        <v>51006035740045</v>
      </c>
      <c r="D471" s="2" t="s">
        <v>22</v>
      </c>
      <c r="E471" s="2">
        <v>2269933</v>
      </c>
      <c r="F471" s="2">
        <v>912571686</v>
      </c>
      <c r="G471" s="3">
        <v>37782</v>
      </c>
      <c r="H471" s="2" t="s">
        <v>1298</v>
      </c>
      <c r="I471" s="2" t="s">
        <v>1299</v>
      </c>
      <c r="J471" s="2" t="s">
        <v>700</v>
      </c>
      <c r="K471" s="2" t="s">
        <v>26</v>
      </c>
      <c r="L471" s="2" t="s">
        <v>57</v>
      </c>
      <c r="M471" s="2">
        <v>5620400</v>
      </c>
      <c r="N471" s="2" t="s">
        <v>103</v>
      </c>
      <c r="O471" s="2" t="s">
        <v>87</v>
      </c>
      <c r="P471" s="2">
        <v>63</v>
      </c>
      <c r="Q471" s="5">
        <v>44471</v>
      </c>
      <c r="R471" s="2" t="s">
        <v>53</v>
      </c>
      <c r="S471" s="2">
        <v>8</v>
      </c>
      <c r="T471" s="2" t="s">
        <v>508</v>
      </c>
      <c r="U471" s="2" t="s">
        <v>34</v>
      </c>
      <c r="V471" s="32">
        <v>16031525</v>
      </c>
      <c r="W471" s="20">
        <v>28500000</v>
      </c>
      <c r="X471" s="2" t="s">
        <v>2715</v>
      </c>
      <c r="Y471" s="30">
        <f t="shared" si="14"/>
        <v>-12468475</v>
      </c>
      <c r="Z471" s="41">
        <f t="shared" si="15"/>
        <v>1.7777472823078277</v>
      </c>
    </row>
    <row r="472" spans="1:26" ht="26.25">
      <c r="A472" s="2">
        <v>470</v>
      </c>
      <c r="B472" s="2">
        <v>1623774</v>
      </c>
      <c r="C472" s="2">
        <v>31112853120043</v>
      </c>
      <c r="D472" s="2" t="s">
        <v>145</v>
      </c>
      <c r="E472" s="2">
        <v>9977908</v>
      </c>
      <c r="F472" s="2">
        <v>998407991</v>
      </c>
      <c r="G472" s="3">
        <v>31392</v>
      </c>
      <c r="H472" s="2" t="s">
        <v>46</v>
      </c>
      <c r="I472" s="2" t="s">
        <v>475</v>
      </c>
      <c r="J472" s="2" t="s">
        <v>1300</v>
      </c>
      <c r="K472" s="2" t="s">
        <v>39</v>
      </c>
      <c r="L472" s="2" t="s">
        <v>27</v>
      </c>
      <c r="M472" s="2">
        <v>5620702</v>
      </c>
      <c r="N472" s="2" t="s">
        <v>159</v>
      </c>
      <c r="O472" s="2" t="s">
        <v>198</v>
      </c>
      <c r="P472" s="2" t="s">
        <v>629</v>
      </c>
      <c r="Q472" s="5">
        <v>44338</v>
      </c>
      <c r="R472" s="2" t="s">
        <v>62</v>
      </c>
      <c r="S472" s="2">
        <v>8</v>
      </c>
      <c r="T472" s="2" t="s">
        <v>33</v>
      </c>
      <c r="U472" s="2" t="s">
        <v>34</v>
      </c>
      <c r="V472" s="32">
        <v>59781040</v>
      </c>
      <c r="Y472" s="30">
        <f t="shared" si="14"/>
        <v>59781040</v>
      </c>
      <c r="Z472" s="41">
        <f t="shared" si="15"/>
        <v>0</v>
      </c>
    </row>
    <row r="473" spans="1:26" ht="26.25">
      <c r="A473" s="2">
        <v>471</v>
      </c>
      <c r="B473" s="2">
        <v>2347937</v>
      </c>
      <c r="C473" s="2">
        <v>52612016830035</v>
      </c>
      <c r="D473" s="2" t="s">
        <v>45</v>
      </c>
      <c r="E473" s="2">
        <v>8693065</v>
      </c>
      <c r="F473" s="2">
        <v>944142626</v>
      </c>
      <c r="G473" s="3">
        <v>37251</v>
      </c>
      <c r="H473" s="2" t="s">
        <v>1301</v>
      </c>
      <c r="I473" s="2" t="s">
        <v>1302</v>
      </c>
      <c r="J473" s="2" t="s">
        <v>1303</v>
      </c>
      <c r="K473" s="2" t="s">
        <v>26</v>
      </c>
      <c r="L473" s="2" t="s">
        <v>27</v>
      </c>
      <c r="M473" s="2">
        <v>5640202</v>
      </c>
      <c r="N473" s="2" t="s">
        <v>240</v>
      </c>
      <c r="O473" s="2" t="s">
        <v>155</v>
      </c>
      <c r="P473" s="2" t="s">
        <v>132</v>
      </c>
      <c r="Q473" s="2" t="s">
        <v>277</v>
      </c>
      <c r="R473" s="2" t="s">
        <v>53</v>
      </c>
      <c r="S473" s="2">
        <v>8</v>
      </c>
      <c r="T473" s="2" t="s">
        <v>33</v>
      </c>
      <c r="U473" s="2" t="s">
        <v>34</v>
      </c>
      <c r="V473" s="32">
        <v>46170792</v>
      </c>
      <c r="W473" s="21">
        <f>23085396+6500000+4000000+12585396</f>
        <v>46170792</v>
      </c>
      <c r="X473" s="11" t="s">
        <v>2883</v>
      </c>
      <c r="Y473" s="30">
        <f t="shared" si="14"/>
        <v>0</v>
      </c>
      <c r="Z473" s="41">
        <f t="shared" si="15"/>
        <v>1</v>
      </c>
    </row>
    <row r="474" spans="1:26" ht="26.25">
      <c r="A474" s="2">
        <v>472</v>
      </c>
      <c r="B474" s="2">
        <v>1747855</v>
      </c>
      <c r="C474" s="2">
        <v>30609943470027</v>
      </c>
      <c r="D474" s="2" t="s">
        <v>35</v>
      </c>
      <c r="E474" s="2">
        <v>308046</v>
      </c>
      <c r="F474" s="2">
        <v>977717721</v>
      </c>
      <c r="G474" s="3">
        <v>34583</v>
      </c>
      <c r="H474" s="2" t="s">
        <v>984</v>
      </c>
      <c r="I474" s="2" t="s">
        <v>1304</v>
      </c>
      <c r="J474" s="2" t="s">
        <v>1305</v>
      </c>
      <c r="K474" s="2" t="s">
        <v>39</v>
      </c>
      <c r="L474" s="2" t="s">
        <v>27</v>
      </c>
      <c r="M474" s="2">
        <v>5320102</v>
      </c>
      <c r="N474" s="2" t="s">
        <v>138</v>
      </c>
      <c r="O474" s="2" t="s">
        <v>175</v>
      </c>
      <c r="P474" s="2" t="s">
        <v>140</v>
      </c>
      <c r="Q474" s="5">
        <v>44317</v>
      </c>
      <c r="R474" s="2" t="s">
        <v>62</v>
      </c>
      <c r="S474" s="2">
        <v>8</v>
      </c>
      <c r="T474" s="2" t="s">
        <v>33</v>
      </c>
      <c r="U474" s="2" t="s">
        <v>34</v>
      </c>
      <c r="V474" s="32">
        <v>11208945</v>
      </c>
      <c r="W474" s="20">
        <v>6209000</v>
      </c>
      <c r="X474" s="2" t="s">
        <v>2717</v>
      </c>
      <c r="Y474" s="30">
        <f t="shared" si="14"/>
        <v>4999945</v>
      </c>
      <c r="Z474" s="41">
        <f t="shared" si="15"/>
        <v>0.55393259579737431</v>
      </c>
    </row>
    <row r="475" spans="1:26" ht="26.25">
      <c r="A475" s="2">
        <v>473</v>
      </c>
      <c r="B475" s="2">
        <v>3345419</v>
      </c>
      <c r="C475" s="2">
        <v>51310038660018</v>
      </c>
      <c r="D475" s="2" t="s">
        <v>22</v>
      </c>
      <c r="E475" s="2">
        <v>2395779</v>
      </c>
      <c r="F475" s="2">
        <v>998881676</v>
      </c>
      <c r="G475" s="3">
        <v>37907</v>
      </c>
      <c r="H475" s="2" t="s">
        <v>1306</v>
      </c>
      <c r="I475" s="2" t="s">
        <v>1307</v>
      </c>
      <c r="J475" s="2" t="s">
        <v>1308</v>
      </c>
      <c r="K475" s="2" t="s">
        <v>26</v>
      </c>
      <c r="L475" s="2" t="s">
        <v>57</v>
      </c>
      <c r="M475" s="2">
        <v>5340202</v>
      </c>
      <c r="N475" s="2" t="s">
        <v>499</v>
      </c>
      <c r="O475" s="2" t="s">
        <v>310</v>
      </c>
      <c r="P475" s="2" t="s">
        <v>224</v>
      </c>
      <c r="Q475" s="2" t="s">
        <v>42</v>
      </c>
      <c r="R475" s="2" t="s">
        <v>93</v>
      </c>
      <c r="S475" s="2">
        <v>8</v>
      </c>
      <c r="T475" s="2" t="s">
        <v>33</v>
      </c>
      <c r="U475" s="2" t="s">
        <v>34</v>
      </c>
      <c r="V475" s="32">
        <v>113471040</v>
      </c>
      <c r="Y475" s="30">
        <f t="shared" si="14"/>
        <v>113471040</v>
      </c>
      <c r="Z475" s="41">
        <f t="shared" si="15"/>
        <v>0</v>
      </c>
    </row>
    <row r="476" spans="1:26">
      <c r="A476" s="2">
        <v>474</v>
      </c>
      <c r="B476" s="2">
        <v>3313870</v>
      </c>
      <c r="C476" s="2">
        <v>62101055310033</v>
      </c>
      <c r="D476" s="2" t="s">
        <v>74</v>
      </c>
      <c r="E476" s="2">
        <v>156316</v>
      </c>
      <c r="F476" s="2">
        <v>904004131</v>
      </c>
      <c r="G476" s="3">
        <v>38373</v>
      </c>
      <c r="H476" s="2" t="s">
        <v>1309</v>
      </c>
      <c r="I476" s="2" t="s">
        <v>1310</v>
      </c>
      <c r="J476" s="2" t="s">
        <v>1311</v>
      </c>
      <c r="K476" s="2" t="s">
        <v>26</v>
      </c>
      <c r="L476" s="2" t="s">
        <v>27</v>
      </c>
      <c r="M476" s="2">
        <v>5620101</v>
      </c>
      <c r="N476" s="2" t="s">
        <v>49</v>
      </c>
      <c r="O476" s="2" t="s">
        <v>750</v>
      </c>
      <c r="P476" s="2" t="s">
        <v>51</v>
      </c>
      <c r="Q476" s="2" t="s">
        <v>584</v>
      </c>
      <c r="R476" s="2" t="s">
        <v>53</v>
      </c>
      <c r="S476" s="2">
        <v>8</v>
      </c>
      <c r="T476" s="2" t="s">
        <v>33</v>
      </c>
      <c r="U476" s="2" t="s">
        <v>34</v>
      </c>
      <c r="V476" s="32">
        <v>113471040</v>
      </c>
      <c r="W476" s="20">
        <v>56736000</v>
      </c>
      <c r="X476" s="2" t="s">
        <v>2672</v>
      </c>
      <c r="Y476" s="30">
        <f t="shared" si="14"/>
        <v>56735040</v>
      </c>
      <c r="Z476" s="41">
        <f t="shared" si="15"/>
        <v>0.50000423015423145</v>
      </c>
    </row>
    <row r="477" spans="1:26" ht="26.25">
      <c r="A477" s="2">
        <v>475</v>
      </c>
      <c r="B477" s="2">
        <v>1622550</v>
      </c>
      <c r="C477" s="2">
        <v>33012965060025</v>
      </c>
      <c r="D477" s="2" t="s">
        <v>145</v>
      </c>
      <c r="E477" s="2">
        <v>693038</v>
      </c>
      <c r="F477" s="2">
        <v>972336565</v>
      </c>
      <c r="G477" s="3">
        <v>35429</v>
      </c>
      <c r="H477" s="2" t="s">
        <v>1312</v>
      </c>
      <c r="I477" s="2" t="s">
        <v>1313</v>
      </c>
      <c r="J477" s="2" t="s">
        <v>1314</v>
      </c>
      <c r="K477" s="2" t="s">
        <v>26</v>
      </c>
      <c r="L477" s="2" t="s">
        <v>27</v>
      </c>
      <c r="M477" s="2">
        <v>5320102</v>
      </c>
      <c r="N477" s="2" t="s">
        <v>138</v>
      </c>
      <c r="O477" s="2" t="s">
        <v>104</v>
      </c>
      <c r="P477" s="2" t="s">
        <v>154</v>
      </c>
      <c r="Q477" s="5">
        <v>44317</v>
      </c>
      <c r="R477" s="2" t="s">
        <v>53</v>
      </c>
      <c r="S477" s="2">
        <v>8</v>
      </c>
      <c r="T477" s="2" t="s">
        <v>33</v>
      </c>
      <c r="U477" s="2" t="s">
        <v>34</v>
      </c>
      <c r="V477" s="32">
        <v>9618915</v>
      </c>
      <c r="Y477" s="30">
        <f t="shared" si="14"/>
        <v>9618915</v>
      </c>
      <c r="Z477" s="41">
        <f t="shared" si="15"/>
        <v>0</v>
      </c>
    </row>
    <row r="478" spans="1:26">
      <c r="A478" s="2">
        <v>476</v>
      </c>
      <c r="B478" s="2">
        <v>2539201</v>
      </c>
      <c r="C478" s="2">
        <v>50807026260055</v>
      </c>
      <c r="D478" s="2" t="s">
        <v>22</v>
      </c>
      <c r="E478" s="2">
        <v>2051171</v>
      </c>
      <c r="F478" s="2">
        <v>994291381</v>
      </c>
      <c r="G478" s="3">
        <v>37445</v>
      </c>
      <c r="H478" s="2" t="s">
        <v>188</v>
      </c>
      <c r="I478" s="2" t="s">
        <v>1315</v>
      </c>
      <c r="J478" s="2" t="s">
        <v>1017</v>
      </c>
      <c r="K478" s="2" t="s">
        <v>39</v>
      </c>
      <c r="L478" s="2" t="s">
        <v>27</v>
      </c>
      <c r="M478" s="2">
        <v>5340603</v>
      </c>
      <c r="N478" s="2" t="s">
        <v>174</v>
      </c>
      <c r="O478" s="2" t="s">
        <v>149</v>
      </c>
      <c r="P478" s="2" t="s">
        <v>175</v>
      </c>
      <c r="Q478" s="5">
        <v>44471</v>
      </c>
      <c r="R478" s="2" t="s">
        <v>44</v>
      </c>
      <c r="S478" s="2">
        <v>8</v>
      </c>
      <c r="T478" s="2" t="s">
        <v>33</v>
      </c>
      <c r="U478" s="2" t="s">
        <v>34</v>
      </c>
      <c r="V478" s="32" t="s">
        <v>2726</v>
      </c>
      <c r="Y478" s="30">
        <f t="shared" si="14"/>
        <v>20549732.5</v>
      </c>
      <c r="Z478" s="41">
        <f t="shared" si="15"/>
        <v>0</v>
      </c>
    </row>
    <row r="479" spans="1:26" ht="39">
      <c r="A479" s="2">
        <v>477</v>
      </c>
      <c r="B479" s="2">
        <v>1141027</v>
      </c>
      <c r="C479" s="2">
        <v>32711953120071</v>
      </c>
      <c r="D479" s="2" t="s">
        <v>45</v>
      </c>
      <c r="E479" s="2">
        <v>134730</v>
      </c>
      <c r="F479" s="2">
        <v>990590828</v>
      </c>
      <c r="G479" s="3">
        <v>35030</v>
      </c>
      <c r="H479" s="2" t="s">
        <v>1316</v>
      </c>
      <c r="I479" s="2" t="s">
        <v>664</v>
      </c>
      <c r="J479" s="2" t="s">
        <v>127</v>
      </c>
      <c r="K479" s="2" t="s">
        <v>39</v>
      </c>
      <c r="L479" s="2" t="s">
        <v>27</v>
      </c>
      <c r="M479" s="2">
        <v>5340401</v>
      </c>
      <c r="N479" s="2" t="s">
        <v>349</v>
      </c>
      <c r="O479" s="2" t="s">
        <v>194</v>
      </c>
      <c r="P479" s="2" t="s">
        <v>350</v>
      </c>
      <c r="Q479" s="4">
        <v>43922</v>
      </c>
      <c r="R479" s="2" t="s">
        <v>44</v>
      </c>
      <c r="S479" s="2">
        <v>8</v>
      </c>
      <c r="T479" s="2" t="s">
        <v>33</v>
      </c>
      <c r="U479" s="2" t="s">
        <v>34</v>
      </c>
      <c r="V479" s="32">
        <v>65759144</v>
      </c>
      <c r="Y479" s="30">
        <f t="shared" si="14"/>
        <v>65759144</v>
      </c>
      <c r="Z479" s="41">
        <f t="shared" si="15"/>
        <v>0</v>
      </c>
    </row>
    <row r="480" spans="1:26" ht="26.25">
      <c r="A480" s="2">
        <v>478</v>
      </c>
      <c r="B480" s="2">
        <v>3095374</v>
      </c>
      <c r="C480" s="2">
        <v>31304880050022</v>
      </c>
      <c r="D480" s="2" t="s">
        <v>145</v>
      </c>
      <c r="E480" s="2">
        <v>1586661</v>
      </c>
      <c r="F480" s="2">
        <v>998455705</v>
      </c>
      <c r="G480" s="3">
        <v>32246</v>
      </c>
      <c r="H480" s="2" t="s">
        <v>146</v>
      </c>
      <c r="I480" s="2" t="s">
        <v>1317</v>
      </c>
      <c r="J480" s="2" t="s">
        <v>1318</v>
      </c>
      <c r="K480" s="2" t="s">
        <v>39</v>
      </c>
      <c r="L480" s="2" t="s">
        <v>57</v>
      </c>
      <c r="M480" s="2">
        <v>5350701</v>
      </c>
      <c r="N480" s="2" t="s">
        <v>338</v>
      </c>
      <c r="O480" s="2" t="s">
        <v>41</v>
      </c>
      <c r="P480" s="2" t="s">
        <v>104</v>
      </c>
      <c r="Q480" s="5">
        <v>44471</v>
      </c>
      <c r="R480" s="2" t="s">
        <v>44</v>
      </c>
      <c r="S480" s="2">
        <v>8</v>
      </c>
      <c r="T480" s="2" t="s">
        <v>33</v>
      </c>
      <c r="U480" s="2" t="s">
        <v>34</v>
      </c>
      <c r="V480" s="32" t="s">
        <v>2726</v>
      </c>
      <c r="W480" s="21">
        <f>10275000+10275000</f>
        <v>20550000</v>
      </c>
      <c r="X480" s="11" t="s">
        <v>2817</v>
      </c>
      <c r="Y480" s="30">
        <f t="shared" si="14"/>
        <v>-267.5</v>
      </c>
      <c r="Z480" s="41">
        <f t="shared" si="15"/>
        <v>1.0000130172010755</v>
      </c>
    </row>
    <row r="481" spans="1:27" ht="15.75">
      <c r="A481" s="2">
        <v>479</v>
      </c>
      <c r="B481" s="2">
        <v>1811108</v>
      </c>
      <c r="C481" s="2">
        <v>31103903960096</v>
      </c>
      <c r="D481" s="2" t="s">
        <v>145</v>
      </c>
      <c r="E481" s="2">
        <v>5990647</v>
      </c>
      <c r="F481" s="2">
        <v>994149095</v>
      </c>
      <c r="G481" s="3">
        <v>32943</v>
      </c>
      <c r="H481" s="2" t="s">
        <v>595</v>
      </c>
      <c r="I481" s="2" t="s">
        <v>1082</v>
      </c>
      <c r="J481" s="2" t="s">
        <v>1319</v>
      </c>
      <c r="K481" s="2" t="s">
        <v>39</v>
      </c>
      <c r="L481" s="2" t="s">
        <v>57</v>
      </c>
      <c r="M481" s="2">
        <v>5310606</v>
      </c>
      <c r="N481" s="2" t="s">
        <v>72</v>
      </c>
      <c r="O481" s="2" t="s">
        <v>88</v>
      </c>
      <c r="P481" s="2" t="s">
        <v>225</v>
      </c>
      <c r="Q481" s="5">
        <v>44471</v>
      </c>
      <c r="R481" s="2" t="s">
        <v>62</v>
      </c>
      <c r="S481" s="2">
        <v>8</v>
      </c>
      <c r="T481" s="2" t="s">
        <v>33</v>
      </c>
      <c r="U481" s="2" t="s">
        <v>34</v>
      </c>
      <c r="V481" s="29" t="s">
        <v>2792</v>
      </c>
      <c r="W481" s="21">
        <v>9342000</v>
      </c>
      <c r="X481" s="11" t="s">
        <v>2627</v>
      </c>
      <c r="Y481" s="30">
        <f t="shared" si="14"/>
        <v>7471417.5</v>
      </c>
      <c r="Z481" s="41">
        <f t="shared" si="15"/>
        <v>0.55562767057916695</v>
      </c>
      <c r="AA481" s="42" t="s">
        <v>2798</v>
      </c>
    </row>
    <row r="482" spans="1:27" ht="26.25">
      <c r="A482" s="2">
        <v>480</v>
      </c>
      <c r="B482" s="2">
        <v>3467545</v>
      </c>
      <c r="C482" s="2">
        <v>50806037310010</v>
      </c>
      <c r="D482" s="2" t="s">
        <v>35</v>
      </c>
      <c r="E482" s="2">
        <v>1299689</v>
      </c>
      <c r="F482" s="2">
        <v>997733993</v>
      </c>
      <c r="G482" s="3">
        <v>37780</v>
      </c>
      <c r="H482" s="2" t="s">
        <v>1117</v>
      </c>
      <c r="I482" s="2" t="s">
        <v>1320</v>
      </c>
      <c r="J482" s="2" t="s">
        <v>1321</v>
      </c>
      <c r="K482" s="2" t="s">
        <v>26</v>
      </c>
      <c r="L482" s="2" t="s">
        <v>57</v>
      </c>
      <c r="M482" s="2">
        <v>5340202</v>
      </c>
      <c r="N482" s="2" t="s">
        <v>499</v>
      </c>
      <c r="O482" s="2" t="s">
        <v>87</v>
      </c>
      <c r="P482" s="2" t="s">
        <v>224</v>
      </c>
      <c r="Q482" s="2" t="s">
        <v>1001</v>
      </c>
      <c r="R482" s="2" t="s">
        <v>93</v>
      </c>
      <c r="S482" s="2">
        <v>8</v>
      </c>
      <c r="T482" s="2" t="s">
        <v>33</v>
      </c>
      <c r="U482" s="2" t="s">
        <v>34</v>
      </c>
      <c r="V482" s="32">
        <v>56735520</v>
      </c>
      <c r="W482" s="21">
        <v>28367760</v>
      </c>
      <c r="X482" s="10" t="s">
        <v>2663</v>
      </c>
      <c r="Y482" s="30">
        <f t="shared" si="14"/>
        <v>28367760</v>
      </c>
      <c r="Z482" s="41">
        <f t="shared" si="15"/>
        <v>0.5</v>
      </c>
    </row>
    <row r="483" spans="1:27" ht="15.75">
      <c r="A483" s="2">
        <v>481</v>
      </c>
      <c r="B483" s="2">
        <v>2082861</v>
      </c>
      <c r="C483" s="2">
        <v>30905975310015</v>
      </c>
      <c r="D483" s="2" t="s">
        <v>145</v>
      </c>
      <c r="E483" s="2">
        <v>3572768</v>
      </c>
      <c r="F483" s="2">
        <v>881810065</v>
      </c>
      <c r="G483" s="3">
        <v>35559</v>
      </c>
      <c r="H483" s="2" t="s">
        <v>409</v>
      </c>
      <c r="I483" s="2" t="s">
        <v>1213</v>
      </c>
      <c r="J483" s="2" t="s">
        <v>71</v>
      </c>
      <c r="K483" s="2" t="s">
        <v>39</v>
      </c>
      <c r="L483" s="2" t="s">
        <v>27</v>
      </c>
      <c r="M483" s="2">
        <v>5310606</v>
      </c>
      <c r="N483" s="2" t="s">
        <v>72</v>
      </c>
      <c r="O483" s="2" t="s">
        <v>350</v>
      </c>
      <c r="P483" s="2" t="s">
        <v>73</v>
      </c>
      <c r="Q483" s="5">
        <v>44471</v>
      </c>
      <c r="R483" s="2" t="s">
        <v>62</v>
      </c>
      <c r="S483" s="2">
        <v>8</v>
      </c>
      <c r="T483" s="2" t="s">
        <v>33</v>
      </c>
      <c r="U483" s="2" t="s">
        <v>34</v>
      </c>
      <c r="V483" s="29" t="s">
        <v>2792</v>
      </c>
      <c r="W483" s="22">
        <v>18681000</v>
      </c>
      <c r="X483" s="16" t="s">
        <v>2631</v>
      </c>
      <c r="Y483" s="30">
        <f t="shared" si="14"/>
        <v>-1867582.5</v>
      </c>
      <c r="Z483" s="41">
        <f t="shared" si="15"/>
        <v>1.1110769122339346</v>
      </c>
      <c r="AA483" s="42" t="s">
        <v>2798</v>
      </c>
    </row>
    <row r="484" spans="1:27" ht="26.25">
      <c r="A484" s="2">
        <v>482</v>
      </c>
      <c r="B484" s="2">
        <v>3459626</v>
      </c>
      <c r="C484" s="2">
        <v>51803046410033</v>
      </c>
      <c r="D484" s="2" t="s">
        <v>74</v>
      </c>
      <c r="E484" s="2">
        <v>34519</v>
      </c>
      <c r="F484" s="2">
        <v>889097775</v>
      </c>
      <c r="G484" s="3">
        <v>38064</v>
      </c>
      <c r="H484" s="2" t="s">
        <v>466</v>
      </c>
      <c r="I484" s="2" t="s">
        <v>1322</v>
      </c>
      <c r="J484" s="2" t="s">
        <v>624</v>
      </c>
      <c r="K484" s="2" t="s">
        <v>26</v>
      </c>
      <c r="L484" s="2" t="s">
        <v>57</v>
      </c>
      <c r="M484" s="2">
        <v>5620701</v>
      </c>
      <c r="N484" s="2" t="s">
        <v>218</v>
      </c>
      <c r="O484" s="2" t="s">
        <v>296</v>
      </c>
      <c r="P484" s="2" t="s">
        <v>104</v>
      </c>
      <c r="Q484" s="4">
        <v>12966</v>
      </c>
      <c r="R484" s="2" t="s">
        <v>53</v>
      </c>
      <c r="S484" s="2">
        <v>8</v>
      </c>
      <c r="T484" s="2" t="s">
        <v>33</v>
      </c>
      <c r="U484" s="2" t="s">
        <v>34</v>
      </c>
      <c r="V484" s="32">
        <v>51300880</v>
      </c>
      <c r="W484" s="22">
        <v>25650500</v>
      </c>
      <c r="X484" s="16" t="s">
        <v>2631</v>
      </c>
      <c r="Y484" s="30">
        <f t="shared" si="14"/>
        <v>25650380</v>
      </c>
      <c r="Z484" s="41">
        <f t="shared" si="15"/>
        <v>0.50000116957058049</v>
      </c>
    </row>
    <row r="485" spans="1:27" ht="26.25">
      <c r="A485" s="2">
        <v>483</v>
      </c>
      <c r="B485" s="2">
        <v>1545003</v>
      </c>
      <c r="C485" s="2">
        <v>52211006390014</v>
      </c>
      <c r="D485" s="2" t="s">
        <v>45</v>
      </c>
      <c r="E485" s="2">
        <v>6322598</v>
      </c>
      <c r="F485" s="2">
        <v>994748442</v>
      </c>
      <c r="G485" s="3">
        <v>36852</v>
      </c>
      <c r="H485" s="2" t="s">
        <v>1169</v>
      </c>
      <c r="I485" s="2" t="s">
        <v>1323</v>
      </c>
      <c r="J485" s="2" t="s">
        <v>1324</v>
      </c>
      <c r="K485" s="2" t="s">
        <v>39</v>
      </c>
      <c r="L485" s="2" t="s">
        <v>27</v>
      </c>
      <c r="M485" s="2">
        <v>5340604</v>
      </c>
      <c r="N485" s="2" t="s">
        <v>354</v>
      </c>
      <c r="O485" s="2" t="s">
        <v>175</v>
      </c>
      <c r="P485" s="2" t="s">
        <v>42</v>
      </c>
      <c r="Q485" s="4">
        <v>43922</v>
      </c>
      <c r="R485" s="2" t="s">
        <v>44</v>
      </c>
      <c r="S485" s="2">
        <v>8</v>
      </c>
      <c r="T485" s="2" t="s">
        <v>33</v>
      </c>
      <c r="U485" s="2" t="s">
        <v>34</v>
      </c>
      <c r="V485" s="32">
        <v>65759144</v>
      </c>
      <c r="Y485" s="30">
        <f t="shared" si="14"/>
        <v>65759144</v>
      </c>
      <c r="Z485" s="41">
        <f t="shared" si="15"/>
        <v>0</v>
      </c>
    </row>
    <row r="486" spans="1:27" ht="26.25">
      <c r="A486" s="2">
        <v>484</v>
      </c>
      <c r="B486" s="2">
        <v>1987093</v>
      </c>
      <c r="C486" s="2">
        <v>50107015130032</v>
      </c>
      <c r="D486" s="2" t="s">
        <v>45</v>
      </c>
      <c r="E486" s="2">
        <v>7221143</v>
      </c>
      <c r="F486" s="2">
        <v>888383040</v>
      </c>
      <c r="G486" s="3">
        <v>37073</v>
      </c>
      <c r="H486" s="2" t="s">
        <v>195</v>
      </c>
      <c r="I486" s="2" t="s">
        <v>1325</v>
      </c>
      <c r="J486" s="2" t="s">
        <v>371</v>
      </c>
      <c r="K486" s="2" t="s">
        <v>26</v>
      </c>
      <c r="L486" s="2" t="s">
        <v>27</v>
      </c>
      <c r="M486" s="2">
        <v>5340608</v>
      </c>
      <c r="N486" s="2" t="s">
        <v>917</v>
      </c>
      <c r="O486" s="2" t="s">
        <v>296</v>
      </c>
      <c r="P486" s="2" t="s">
        <v>122</v>
      </c>
      <c r="Q486" s="5">
        <v>44471</v>
      </c>
      <c r="R486" s="2" t="s">
        <v>93</v>
      </c>
      <c r="S486" s="2">
        <v>8</v>
      </c>
      <c r="T486" s="2" t="s">
        <v>33</v>
      </c>
      <c r="U486" s="2" t="s">
        <v>34</v>
      </c>
      <c r="V486" s="32">
        <v>17729850</v>
      </c>
      <c r="W486" s="21">
        <v>17729850</v>
      </c>
      <c r="X486" s="11" t="s">
        <v>2649</v>
      </c>
      <c r="Y486" s="30">
        <f t="shared" si="14"/>
        <v>0</v>
      </c>
      <c r="Z486" s="41">
        <f t="shared" si="15"/>
        <v>1</v>
      </c>
    </row>
    <row r="487" spans="1:27" ht="15.75">
      <c r="A487" s="2">
        <v>485</v>
      </c>
      <c r="B487" s="2">
        <v>3712052</v>
      </c>
      <c r="C487" s="2">
        <v>61703047220013</v>
      </c>
      <c r="D487" s="2" t="s">
        <v>35</v>
      </c>
      <c r="E487" s="2">
        <v>1313272</v>
      </c>
      <c r="F487" s="2">
        <v>995673851</v>
      </c>
      <c r="G487" s="3">
        <v>38063</v>
      </c>
      <c r="H487" s="2" t="s">
        <v>1326</v>
      </c>
      <c r="I487" s="2" t="s">
        <v>1327</v>
      </c>
      <c r="J487" s="2" t="s">
        <v>1328</v>
      </c>
      <c r="K487" s="2" t="s">
        <v>39</v>
      </c>
      <c r="L487" s="2" t="s">
        <v>57</v>
      </c>
      <c r="M487" s="2">
        <v>5310202</v>
      </c>
      <c r="N487" s="2" t="s">
        <v>86</v>
      </c>
      <c r="O487" s="2" t="s">
        <v>225</v>
      </c>
      <c r="P487" s="2" t="s">
        <v>154</v>
      </c>
      <c r="Q487" s="5">
        <v>44471</v>
      </c>
      <c r="R487" s="2" t="s">
        <v>62</v>
      </c>
      <c r="S487" s="2">
        <v>8</v>
      </c>
      <c r="T487" s="2" t="s">
        <v>33</v>
      </c>
      <c r="U487" s="2" t="s">
        <v>34</v>
      </c>
      <c r="V487" s="32">
        <v>18681575</v>
      </c>
      <c r="W487" s="21">
        <v>9341000</v>
      </c>
      <c r="X487" s="12" t="s">
        <v>2627</v>
      </c>
      <c r="Y487" s="30">
        <f t="shared" si="14"/>
        <v>9340575</v>
      </c>
      <c r="Z487" s="41">
        <f t="shared" si="15"/>
        <v>0.50001137484393043</v>
      </c>
    </row>
    <row r="488" spans="1:27" ht="26.25">
      <c r="A488" s="2">
        <v>486</v>
      </c>
      <c r="B488" s="2">
        <v>1012530</v>
      </c>
      <c r="C488" s="2">
        <v>32006995590048</v>
      </c>
      <c r="D488" s="2" t="s">
        <v>45</v>
      </c>
      <c r="E488" s="2">
        <v>9717554</v>
      </c>
      <c r="F488" s="2">
        <v>973190700</v>
      </c>
      <c r="G488" s="3">
        <v>36331</v>
      </c>
      <c r="H488" s="2" t="s">
        <v>1329</v>
      </c>
      <c r="I488" s="2" t="s">
        <v>535</v>
      </c>
      <c r="J488" s="2" t="s">
        <v>1330</v>
      </c>
      <c r="K488" s="2" t="s">
        <v>26</v>
      </c>
      <c r="L488" s="2" t="s">
        <v>57</v>
      </c>
      <c r="M488" s="2">
        <v>5310603</v>
      </c>
      <c r="N488" s="2" t="s">
        <v>295</v>
      </c>
      <c r="O488" s="2" t="s">
        <v>439</v>
      </c>
      <c r="P488" s="2" t="s">
        <v>60</v>
      </c>
      <c r="Q488" s="4">
        <v>42064</v>
      </c>
      <c r="R488" s="2" t="s">
        <v>53</v>
      </c>
      <c r="S488" s="2">
        <v>8</v>
      </c>
      <c r="T488" s="2" t="s">
        <v>33</v>
      </c>
      <c r="U488" s="2" t="s">
        <v>34</v>
      </c>
      <c r="V488" s="32">
        <v>102601760</v>
      </c>
      <c r="Y488" s="30">
        <f t="shared" si="14"/>
        <v>102601760</v>
      </c>
      <c r="Z488" s="41">
        <f t="shared" si="15"/>
        <v>0</v>
      </c>
    </row>
    <row r="489" spans="1:27">
      <c r="A489" s="2">
        <v>487</v>
      </c>
      <c r="B489" s="2">
        <v>3285104</v>
      </c>
      <c r="C489" s="2">
        <v>52506036540082</v>
      </c>
      <c r="D489" s="2" t="s">
        <v>22</v>
      </c>
      <c r="E489" s="2">
        <v>2827582</v>
      </c>
      <c r="F489" s="2">
        <v>996600903</v>
      </c>
      <c r="G489" s="3">
        <v>37797</v>
      </c>
      <c r="H489" s="2" t="s">
        <v>1331</v>
      </c>
      <c r="I489" s="2" t="s">
        <v>1332</v>
      </c>
      <c r="J489" s="2" t="s">
        <v>1333</v>
      </c>
      <c r="K489" s="2" t="s">
        <v>26</v>
      </c>
      <c r="L489" s="2" t="s">
        <v>57</v>
      </c>
      <c r="M489" s="2">
        <v>5310400</v>
      </c>
      <c r="N489" s="2" t="s">
        <v>232</v>
      </c>
      <c r="O489" s="2" t="s">
        <v>198</v>
      </c>
      <c r="P489" s="2" t="s">
        <v>67</v>
      </c>
      <c r="Q489" s="2" t="s">
        <v>81</v>
      </c>
      <c r="R489" s="2" t="s">
        <v>53</v>
      </c>
      <c r="S489" s="2">
        <v>8</v>
      </c>
      <c r="T489" s="2" t="s">
        <v>33</v>
      </c>
      <c r="U489" s="2" t="s">
        <v>34</v>
      </c>
      <c r="V489" s="32">
        <v>51300880</v>
      </c>
      <c r="Y489" s="30">
        <f t="shared" si="14"/>
        <v>51300880</v>
      </c>
      <c r="Z489" s="41">
        <f t="shared" si="15"/>
        <v>0</v>
      </c>
    </row>
    <row r="490" spans="1:27" ht="26.25">
      <c r="A490" s="2">
        <v>488</v>
      </c>
      <c r="B490" s="2">
        <v>3778544</v>
      </c>
      <c r="C490" s="2">
        <v>32810956500023</v>
      </c>
      <c r="D490" s="2" t="s">
        <v>145</v>
      </c>
      <c r="E490" s="2">
        <v>61700</v>
      </c>
      <c r="F490" s="2">
        <v>974032522</v>
      </c>
      <c r="G490" s="3">
        <v>35000</v>
      </c>
      <c r="H490" s="2" t="s">
        <v>636</v>
      </c>
      <c r="I490" s="2" t="s">
        <v>1334</v>
      </c>
      <c r="J490" s="2" t="s">
        <v>1335</v>
      </c>
      <c r="K490" s="2" t="s">
        <v>39</v>
      </c>
      <c r="L490" s="2" t="s">
        <v>27</v>
      </c>
      <c r="M490" s="2">
        <v>5340605</v>
      </c>
      <c r="N490" s="2" t="s">
        <v>40</v>
      </c>
      <c r="O490" s="2" t="s">
        <v>350</v>
      </c>
      <c r="P490" s="2" t="s">
        <v>42</v>
      </c>
      <c r="Q490" s="5">
        <v>44317</v>
      </c>
      <c r="R490" s="2" t="s">
        <v>44</v>
      </c>
      <c r="S490" s="2">
        <v>8</v>
      </c>
      <c r="T490" s="2" t="s">
        <v>33</v>
      </c>
      <c r="U490" s="2" t="s">
        <v>34</v>
      </c>
      <c r="V490" s="32" t="s">
        <v>2724</v>
      </c>
      <c r="Y490" s="30">
        <f t="shared" si="14"/>
        <v>12329839.5</v>
      </c>
      <c r="Z490" s="41">
        <f t="shared" si="15"/>
        <v>0</v>
      </c>
    </row>
    <row r="491" spans="1:27" ht="26.25">
      <c r="A491" s="2">
        <v>489</v>
      </c>
      <c r="B491" s="2">
        <v>3339697</v>
      </c>
      <c r="C491" s="2">
        <v>62703036670046</v>
      </c>
      <c r="D491" s="2" t="s">
        <v>22</v>
      </c>
      <c r="E491" s="2">
        <v>1902513</v>
      </c>
      <c r="F491" s="2">
        <v>993740327</v>
      </c>
      <c r="G491" s="3">
        <v>37707</v>
      </c>
      <c r="H491" s="2" t="s">
        <v>1336</v>
      </c>
      <c r="I491" s="2" t="s">
        <v>1337</v>
      </c>
      <c r="J491" s="2" t="s">
        <v>1338</v>
      </c>
      <c r="K491" s="2" t="s">
        <v>39</v>
      </c>
      <c r="L491" s="2" t="s">
        <v>27</v>
      </c>
      <c r="M491" s="2">
        <v>5340202</v>
      </c>
      <c r="N491" s="2" t="s">
        <v>499</v>
      </c>
      <c r="O491" s="2" t="s">
        <v>140</v>
      </c>
      <c r="P491" s="2" t="s">
        <v>490</v>
      </c>
      <c r="Q491" s="2" t="s">
        <v>61</v>
      </c>
      <c r="R491" s="2" t="s">
        <v>44</v>
      </c>
      <c r="S491" s="2">
        <v>8</v>
      </c>
      <c r="T491" s="2" t="s">
        <v>33</v>
      </c>
      <c r="U491" s="2" t="s">
        <v>34</v>
      </c>
      <c r="V491" s="32">
        <v>65759144</v>
      </c>
      <c r="Y491" s="30">
        <f t="shared" si="14"/>
        <v>65759144</v>
      </c>
      <c r="Z491" s="41">
        <f t="shared" si="15"/>
        <v>0</v>
      </c>
    </row>
    <row r="492" spans="1:27" ht="26.25">
      <c r="A492" s="2">
        <v>490</v>
      </c>
      <c r="B492" s="2">
        <v>1563878</v>
      </c>
      <c r="C492" s="2">
        <v>30109985310085</v>
      </c>
      <c r="D492" s="2" t="s">
        <v>45</v>
      </c>
      <c r="E492" s="2">
        <v>1675516</v>
      </c>
      <c r="F492" s="2">
        <v>912453555</v>
      </c>
      <c r="G492" s="3">
        <v>36039</v>
      </c>
      <c r="H492" s="2" t="s">
        <v>477</v>
      </c>
      <c r="I492" s="2" t="s">
        <v>1339</v>
      </c>
      <c r="J492" s="2" t="s">
        <v>1340</v>
      </c>
      <c r="K492" s="2" t="s">
        <v>39</v>
      </c>
      <c r="L492" s="2" t="s">
        <v>57</v>
      </c>
      <c r="M492" s="2">
        <v>5620702</v>
      </c>
      <c r="N492" s="2" t="s">
        <v>159</v>
      </c>
      <c r="O492" s="2" t="s">
        <v>154</v>
      </c>
      <c r="P492" s="2" t="s">
        <v>139</v>
      </c>
      <c r="Q492" s="5">
        <v>44471</v>
      </c>
      <c r="R492" s="2" t="s">
        <v>62</v>
      </c>
      <c r="S492" s="2">
        <v>8</v>
      </c>
      <c r="T492" s="2" t="s">
        <v>33</v>
      </c>
      <c r="U492" s="2" t="s">
        <v>34</v>
      </c>
      <c r="V492" s="32">
        <v>18681575</v>
      </c>
      <c r="W492" s="21">
        <v>9400000</v>
      </c>
      <c r="X492" s="12" t="s">
        <v>2624</v>
      </c>
      <c r="Y492" s="30">
        <f t="shared" si="14"/>
        <v>9281575</v>
      </c>
      <c r="Z492" s="41">
        <f t="shared" si="15"/>
        <v>0.50316956680579661</v>
      </c>
    </row>
    <row r="493" spans="1:27">
      <c r="A493" s="2">
        <v>491</v>
      </c>
      <c r="B493" s="2">
        <v>1708382</v>
      </c>
      <c r="C493" s="2">
        <v>32612956840011</v>
      </c>
      <c r="D493" s="2" t="s">
        <v>145</v>
      </c>
      <c r="E493" s="2">
        <v>138281</v>
      </c>
      <c r="F493" s="2">
        <v>994086278</v>
      </c>
      <c r="G493" s="3">
        <v>35059</v>
      </c>
      <c r="H493" s="2" t="s">
        <v>504</v>
      </c>
      <c r="I493" s="2" t="s">
        <v>1341</v>
      </c>
      <c r="J493" s="2" t="s">
        <v>1342</v>
      </c>
      <c r="K493" s="2" t="s">
        <v>39</v>
      </c>
      <c r="L493" s="2" t="s">
        <v>57</v>
      </c>
      <c r="M493" s="2">
        <v>5310606</v>
      </c>
      <c r="N493" s="2" t="s">
        <v>72</v>
      </c>
      <c r="O493" s="2" t="s">
        <v>198</v>
      </c>
      <c r="P493" s="2" t="s">
        <v>225</v>
      </c>
      <c r="Q493" s="4">
        <v>12966</v>
      </c>
      <c r="R493" s="2" t="s">
        <v>62</v>
      </c>
      <c r="S493" s="2">
        <v>8</v>
      </c>
      <c r="T493" s="2" t="s">
        <v>33</v>
      </c>
      <c r="U493" s="2" t="s">
        <v>34</v>
      </c>
      <c r="V493" s="32">
        <v>59781040</v>
      </c>
      <c r="Y493" s="30">
        <f t="shared" si="14"/>
        <v>59781040</v>
      </c>
      <c r="Z493" s="41">
        <f t="shared" si="15"/>
        <v>0</v>
      </c>
    </row>
    <row r="494" spans="1:27" ht="15.75">
      <c r="A494" s="2">
        <v>492</v>
      </c>
      <c r="B494" s="2">
        <v>3257608</v>
      </c>
      <c r="C494" s="2">
        <v>53010036540041</v>
      </c>
      <c r="D494" s="2" t="s">
        <v>22</v>
      </c>
      <c r="E494" s="2">
        <v>2399961</v>
      </c>
      <c r="F494" s="2">
        <v>970078368</v>
      </c>
      <c r="G494" s="3">
        <v>37924</v>
      </c>
      <c r="H494" s="2" t="s">
        <v>46</v>
      </c>
      <c r="I494" s="2" t="s">
        <v>1343</v>
      </c>
      <c r="J494" s="2" t="s">
        <v>1344</v>
      </c>
      <c r="K494" s="2" t="s">
        <v>26</v>
      </c>
      <c r="L494" s="2" t="s">
        <v>27</v>
      </c>
      <c r="M494" s="2">
        <v>5340603</v>
      </c>
      <c r="N494" s="2" t="s">
        <v>174</v>
      </c>
      <c r="O494" s="2" t="s">
        <v>207</v>
      </c>
      <c r="P494" s="2" t="s">
        <v>155</v>
      </c>
      <c r="Q494" s="5">
        <v>44471</v>
      </c>
      <c r="R494" s="2" t="s">
        <v>93</v>
      </c>
      <c r="S494" s="2">
        <v>8</v>
      </c>
      <c r="T494" s="2" t="s">
        <v>33</v>
      </c>
      <c r="U494" s="2" t="s">
        <v>34</v>
      </c>
      <c r="V494" s="32">
        <v>17729850</v>
      </c>
      <c r="W494" s="21">
        <v>9900000</v>
      </c>
      <c r="X494" s="11" t="s">
        <v>2628</v>
      </c>
      <c r="Y494" s="30">
        <f t="shared" si="14"/>
        <v>7829850</v>
      </c>
      <c r="Z494" s="41">
        <f t="shared" si="15"/>
        <v>0.5583803585478726</v>
      </c>
    </row>
    <row r="495" spans="1:27" ht="39">
      <c r="A495" s="2">
        <v>493</v>
      </c>
      <c r="B495" s="2">
        <v>3370819</v>
      </c>
      <c r="C495" s="2">
        <v>62508036440053</v>
      </c>
      <c r="D495" s="2" t="s">
        <v>74</v>
      </c>
      <c r="E495" s="2">
        <v>86509</v>
      </c>
      <c r="F495" s="2">
        <v>994643530</v>
      </c>
      <c r="G495" s="3">
        <v>37858</v>
      </c>
      <c r="H495" s="2" t="s">
        <v>1345</v>
      </c>
      <c r="I495" s="2" t="s">
        <v>1346</v>
      </c>
      <c r="J495" s="2" t="s">
        <v>1347</v>
      </c>
      <c r="K495" s="2" t="s">
        <v>26</v>
      </c>
      <c r="L495" s="2" t="s">
        <v>57</v>
      </c>
      <c r="M495" s="2">
        <v>5340401</v>
      </c>
      <c r="N495" s="2" t="s">
        <v>349</v>
      </c>
      <c r="O495" s="2" t="s">
        <v>50</v>
      </c>
      <c r="P495" s="2" t="s">
        <v>60</v>
      </c>
      <c r="Q495" s="4">
        <v>43922</v>
      </c>
      <c r="R495" s="2" t="s">
        <v>93</v>
      </c>
      <c r="S495" s="2">
        <v>8</v>
      </c>
      <c r="T495" s="2" t="s">
        <v>33</v>
      </c>
      <c r="U495" s="2" t="s">
        <v>34</v>
      </c>
      <c r="V495" s="32">
        <v>113471040</v>
      </c>
      <c r="Y495" s="30">
        <f t="shared" si="14"/>
        <v>113471040</v>
      </c>
      <c r="Z495" s="41">
        <f t="shared" si="15"/>
        <v>0</v>
      </c>
    </row>
    <row r="496" spans="1:27" ht="39">
      <c r="A496" s="2">
        <v>494</v>
      </c>
      <c r="B496" s="2">
        <v>3556886</v>
      </c>
      <c r="C496" s="2">
        <v>32309910770016</v>
      </c>
      <c r="D496" s="2" t="s">
        <v>45</v>
      </c>
      <c r="E496" s="2">
        <v>1454869</v>
      </c>
      <c r="F496" s="2">
        <v>998089092</v>
      </c>
      <c r="G496" s="3">
        <v>33504</v>
      </c>
      <c r="H496" s="2" t="s">
        <v>1348</v>
      </c>
      <c r="I496" s="2" t="s">
        <v>1349</v>
      </c>
      <c r="J496" s="2" t="s">
        <v>1350</v>
      </c>
      <c r="K496" s="2" t="s">
        <v>39</v>
      </c>
      <c r="L496" s="2" t="s">
        <v>27</v>
      </c>
      <c r="M496" s="2">
        <v>5320200</v>
      </c>
      <c r="N496" s="2" t="s">
        <v>66</v>
      </c>
      <c r="O496" s="2" t="s">
        <v>139</v>
      </c>
      <c r="P496" s="2" t="s">
        <v>68</v>
      </c>
      <c r="Q496" s="2" t="s">
        <v>591</v>
      </c>
      <c r="R496" s="2" t="s">
        <v>62</v>
      </c>
      <c r="S496" s="2">
        <v>8</v>
      </c>
      <c r="T496" s="2" t="s">
        <v>33</v>
      </c>
      <c r="U496" s="2" t="s">
        <v>34</v>
      </c>
      <c r="V496" s="32">
        <v>59781040</v>
      </c>
      <c r="W496" s="20">
        <v>30000000</v>
      </c>
      <c r="X496" s="2" t="s">
        <v>2682</v>
      </c>
      <c r="Y496" s="30">
        <f t="shared" si="14"/>
        <v>29781040</v>
      </c>
      <c r="Z496" s="41">
        <f t="shared" si="15"/>
        <v>0.50183134987280253</v>
      </c>
    </row>
    <row r="497" spans="1:26" ht="26.25">
      <c r="A497" s="2">
        <v>495</v>
      </c>
      <c r="B497" s="2">
        <v>3153864</v>
      </c>
      <c r="C497" s="2">
        <v>33004940580055</v>
      </c>
      <c r="D497" s="2" t="s">
        <v>145</v>
      </c>
      <c r="E497" s="2">
        <v>6333361</v>
      </c>
      <c r="F497" s="2">
        <v>909769977</v>
      </c>
      <c r="G497" s="3">
        <v>34454</v>
      </c>
      <c r="H497" s="2" t="s">
        <v>1351</v>
      </c>
      <c r="I497" s="2" t="s">
        <v>1352</v>
      </c>
      <c r="J497" s="2" t="s">
        <v>802</v>
      </c>
      <c r="K497" s="2" t="s">
        <v>39</v>
      </c>
      <c r="L497" s="2" t="s">
        <v>27</v>
      </c>
      <c r="M497" s="2">
        <v>5350701</v>
      </c>
      <c r="N497" s="2" t="s">
        <v>338</v>
      </c>
      <c r="O497" s="2" t="s">
        <v>225</v>
      </c>
      <c r="P497" s="2" t="s">
        <v>73</v>
      </c>
      <c r="Q497" s="2" t="s">
        <v>43</v>
      </c>
      <c r="R497" s="2" t="s">
        <v>44</v>
      </c>
      <c r="S497" s="2">
        <v>8</v>
      </c>
      <c r="T497" s="2" t="s">
        <v>33</v>
      </c>
      <c r="U497" s="2" t="s">
        <v>34</v>
      </c>
      <c r="V497" s="32">
        <v>65759144</v>
      </c>
      <c r="Y497" s="30">
        <f t="shared" si="14"/>
        <v>65759144</v>
      </c>
      <c r="Z497" s="41">
        <f t="shared" si="15"/>
        <v>0</v>
      </c>
    </row>
    <row r="498" spans="1:26">
      <c r="A498" s="2">
        <v>496</v>
      </c>
      <c r="B498" s="2">
        <v>3600156</v>
      </c>
      <c r="C498" s="2">
        <v>52002036190017</v>
      </c>
      <c r="D498" s="2" t="s">
        <v>22</v>
      </c>
      <c r="E498" s="2">
        <v>745233</v>
      </c>
      <c r="F498" s="2">
        <v>983311194</v>
      </c>
      <c r="G498" s="3">
        <v>37672</v>
      </c>
      <c r="H498" s="2" t="s">
        <v>1353</v>
      </c>
      <c r="I498" s="2" t="s">
        <v>1354</v>
      </c>
      <c r="J498" s="2" t="s">
        <v>1355</v>
      </c>
      <c r="K498" s="2" t="s">
        <v>39</v>
      </c>
      <c r="L498" s="2" t="s">
        <v>27</v>
      </c>
      <c r="M498" s="2">
        <v>5340603</v>
      </c>
      <c r="N498" s="2" t="s">
        <v>174</v>
      </c>
      <c r="O498" s="2" t="s">
        <v>60</v>
      </c>
      <c r="P498" s="2" t="s">
        <v>175</v>
      </c>
      <c r="Q498" s="2" t="s">
        <v>81</v>
      </c>
      <c r="R498" s="2" t="s">
        <v>44</v>
      </c>
      <c r="S498" s="2">
        <v>8</v>
      </c>
      <c r="T498" s="2" t="s">
        <v>33</v>
      </c>
      <c r="U498" s="2" t="s">
        <v>34</v>
      </c>
      <c r="V498" s="29">
        <v>59183229.600000001</v>
      </c>
      <c r="W498" s="20">
        <v>32879572</v>
      </c>
      <c r="X498" s="2" t="s">
        <v>2702</v>
      </c>
      <c r="Y498" s="30">
        <f t="shared" si="14"/>
        <v>26303657.600000001</v>
      </c>
      <c r="Z498" s="41">
        <f t="shared" si="15"/>
        <v>0.55555555555555558</v>
      </c>
    </row>
    <row r="499" spans="1:26" ht="26.25">
      <c r="A499" s="2">
        <v>497</v>
      </c>
      <c r="B499" s="2">
        <v>1088810</v>
      </c>
      <c r="C499" s="2">
        <v>50103016300072</v>
      </c>
      <c r="D499" s="2" t="s">
        <v>22</v>
      </c>
      <c r="E499" s="2">
        <v>1738762</v>
      </c>
      <c r="F499" s="2">
        <v>995640301</v>
      </c>
      <c r="G499" s="3">
        <v>36951</v>
      </c>
      <c r="H499" s="2" t="s">
        <v>1356</v>
      </c>
      <c r="I499" s="2" t="s">
        <v>1357</v>
      </c>
      <c r="J499" s="2" t="s">
        <v>963</v>
      </c>
      <c r="K499" s="2" t="s">
        <v>39</v>
      </c>
      <c r="L499" s="2" t="s">
        <v>27</v>
      </c>
      <c r="M499" s="2">
        <v>5620702</v>
      </c>
      <c r="N499" s="2" t="s">
        <v>159</v>
      </c>
      <c r="O499" s="2" t="s">
        <v>198</v>
      </c>
      <c r="P499" s="2" t="s">
        <v>629</v>
      </c>
      <c r="Q499" s="5">
        <v>44338</v>
      </c>
      <c r="R499" s="2" t="s">
        <v>62</v>
      </c>
      <c r="S499" s="2">
        <v>8</v>
      </c>
      <c r="T499" s="2" t="s">
        <v>33</v>
      </c>
      <c r="U499" s="2" t="s">
        <v>34</v>
      </c>
      <c r="V499" s="32">
        <v>59781040</v>
      </c>
      <c r="Y499" s="30">
        <f t="shared" si="14"/>
        <v>59781040</v>
      </c>
      <c r="Z499" s="41">
        <f t="shared" si="15"/>
        <v>0</v>
      </c>
    </row>
    <row r="500" spans="1:26">
      <c r="A500" s="2">
        <v>498</v>
      </c>
      <c r="B500" s="2">
        <v>3363642</v>
      </c>
      <c r="C500" s="2">
        <v>31904820930014</v>
      </c>
      <c r="D500" s="2" t="s">
        <v>145</v>
      </c>
      <c r="E500" s="2">
        <v>3811824</v>
      </c>
      <c r="F500" s="2">
        <v>995641654</v>
      </c>
      <c r="G500" s="3">
        <v>30060</v>
      </c>
      <c r="H500" s="2" t="s">
        <v>1358</v>
      </c>
      <c r="I500" s="2" t="s">
        <v>1359</v>
      </c>
      <c r="J500" s="2" t="s">
        <v>1360</v>
      </c>
      <c r="K500" s="2" t="s">
        <v>39</v>
      </c>
      <c r="L500" s="2" t="s">
        <v>27</v>
      </c>
      <c r="M500" s="2">
        <v>5310606</v>
      </c>
      <c r="N500" s="2" t="s">
        <v>72</v>
      </c>
      <c r="O500" s="2" t="s">
        <v>87</v>
      </c>
      <c r="P500" s="2" t="s">
        <v>73</v>
      </c>
      <c r="Q500" s="2" t="s">
        <v>111</v>
      </c>
      <c r="R500" s="2" t="s">
        <v>62</v>
      </c>
      <c r="S500" s="2">
        <v>8</v>
      </c>
      <c r="T500" s="2" t="s">
        <v>33</v>
      </c>
      <c r="U500" s="2" t="s">
        <v>34</v>
      </c>
      <c r="V500" s="32">
        <v>59781040</v>
      </c>
      <c r="Y500" s="30">
        <f t="shared" si="14"/>
        <v>59781040</v>
      </c>
      <c r="Z500" s="41">
        <f t="shared" si="15"/>
        <v>0</v>
      </c>
    </row>
    <row r="501" spans="1:26" ht="15.75">
      <c r="A501" s="2">
        <v>499</v>
      </c>
      <c r="B501" s="2">
        <v>3185598</v>
      </c>
      <c r="C501" s="2">
        <v>52203006860017</v>
      </c>
      <c r="D501" s="2" t="s">
        <v>45</v>
      </c>
      <c r="E501" s="2">
        <v>4354219</v>
      </c>
      <c r="F501" s="2">
        <v>917773686</v>
      </c>
      <c r="G501" s="3">
        <v>36607</v>
      </c>
      <c r="H501" s="2" t="s">
        <v>1361</v>
      </c>
      <c r="I501" s="2" t="s">
        <v>1362</v>
      </c>
      <c r="J501" s="2" t="s">
        <v>1363</v>
      </c>
      <c r="K501" s="2" t="s">
        <v>39</v>
      </c>
      <c r="L501" s="2" t="s">
        <v>57</v>
      </c>
      <c r="M501" s="2">
        <v>5620400</v>
      </c>
      <c r="N501" s="2" t="s">
        <v>103</v>
      </c>
      <c r="O501" s="2" t="s">
        <v>154</v>
      </c>
      <c r="P501" s="2" t="s">
        <v>139</v>
      </c>
      <c r="Q501" s="5">
        <v>44471</v>
      </c>
      <c r="R501" s="2" t="s">
        <v>62</v>
      </c>
      <c r="S501" s="2">
        <v>8</v>
      </c>
      <c r="T501" s="2" t="s">
        <v>33</v>
      </c>
      <c r="U501" s="2" t="s">
        <v>34</v>
      </c>
      <c r="V501" s="32">
        <v>18681575</v>
      </c>
      <c r="W501" s="21">
        <v>18407500</v>
      </c>
      <c r="X501" s="10" t="s">
        <v>2624</v>
      </c>
      <c r="Y501" s="30">
        <f t="shared" si="14"/>
        <v>274075</v>
      </c>
      <c r="Z501" s="41">
        <f t="shared" si="15"/>
        <v>0.98532912776358528</v>
      </c>
    </row>
    <row r="502" spans="1:26" ht="26.25">
      <c r="A502" s="2">
        <v>500</v>
      </c>
      <c r="B502" s="2">
        <v>2728376</v>
      </c>
      <c r="C502" s="2">
        <v>32711931860052</v>
      </c>
      <c r="D502" s="2" t="s">
        <v>145</v>
      </c>
      <c r="E502" s="2">
        <v>8557792</v>
      </c>
      <c r="F502" s="2">
        <v>998248093</v>
      </c>
      <c r="G502" s="3">
        <v>34300</v>
      </c>
      <c r="H502" s="2" t="s">
        <v>874</v>
      </c>
      <c r="I502" s="2" t="s">
        <v>1364</v>
      </c>
      <c r="J502" s="2" t="s">
        <v>1365</v>
      </c>
      <c r="K502" s="2" t="s">
        <v>39</v>
      </c>
      <c r="L502" s="2" t="s">
        <v>27</v>
      </c>
      <c r="M502" s="2">
        <v>5350701</v>
      </c>
      <c r="N502" s="2" t="s">
        <v>338</v>
      </c>
      <c r="O502" s="2" t="s">
        <v>350</v>
      </c>
      <c r="P502" s="2" t="s">
        <v>73</v>
      </c>
      <c r="Q502" s="5">
        <v>44471</v>
      </c>
      <c r="R502" s="2" t="s">
        <v>44</v>
      </c>
      <c r="S502" s="2">
        <v>8</v>
      </c>
      <c r="T502" s="2" t="s">
        <v>33</v>
      </c>
      <c r="U502" s="2" t="s">
        <v>34</v>
      </c>
      <c r="V502" s="32" t="s">
        <v>2726</v>
      </c>
      <c r="Y502" s="30">
        <f t="shared" si="14"/>
        <v>20549732.5</v>
      </c>
      <c r="Z502" s="41">
        <f t="shared" si="15"/>
        <v>0</v>
      </c>
    </row>
    <row r="503" spans="1:26">
      <c r="A503" s="2">
        <v>501</v>
      </c>
      <c r="B503" s="2">
        <v>2057722</v>
      </c>
      <c r="C503" s="2">
        <v>32610986950045</v>
      </c>
      <c r="D503" s="2" t="s">
        <v>145</v>
      </c>
      <c r="E503" s="2">
        <v>8962044</v>
      </c>
      <c r="F503" s="2">
        <v>971902222</v>
      </c>
      <c r="G503" s="3">
        <v>36094</v>
      </c>
      <c r="H503" s="2" t="s">
        <v>1366</v>
      </c>
      <c r="I503" s="2" t="s">
        <v>1367</v>
      </c>
      <c r="J503" s="2" t="s">
        <v>1368</v>
      </c>
      <c r="K503" s="2" t="s">
        <v>39</v>
      </c>
      <c r="L503" s="2" t="s">
        <v>27</v>
      </c>
      <c r="M503" s="2">
        <v>5620400</v>
      </c>
      <c r="N503" s="2" t="s">
        <v>103</v>
      </c>
      <c r="O503" s="2" t="s">
        <v>87</v>
      </c>
      <c r="P503" s="2" t="s">
        <v>123</v>
      </c>
      <c r="Q503" s="2" t="s">
        <v>549</v>
      </c>
      <c r="R503" s="2" t="s">
        <v>62</v>
      </c>
      <c r="S503" s="2">
        <v>8</v>
      </c>
      <c r="T503" s="2" t="s">
        <v>33</v>
      </c>
      <c r="U503" s="2" t="s">
        <v>34</v>
      </c>
      <c r="V503" s="32">
        <v>59781040</v>
      </c>
      <c r="Y503" s="30">
        <f t="shared" si="14"/>
        <v>59781040</v>
      </c>
      <c r="Z503" s="41">
        <f t="shared" si="15"/>
        <v>0</v>
      </c>
    </row>
    <row r="504" spans="1:26" ht="26.25">
      <c r="A504" s="2">
        <v>502</v>
      </c>
      <c r="B504" s="2">
        <v>3312266</v>
      </c>
      <c r="C504" s="2">
        <v>50205045190023</v>
      </c>
      <c r="D504" s="2" t="s">
        <v>22</v>
      </c>
      <c r="E504" s="2">
        <v>3041944</v>
      </c>
      <c r="F504" s="2">
        <v>990775125</v>
      </c>
      <c r="G504" s="3">
        <v>38109</v>
      </c>
      <c r="H504" s="2" t="s">
        <v>1369</v>
      </c>
      <c r="I504" s="2" t="s">
        <v>1370</v>
      </c>
      <c r="J504" s="2" t="s">
        <v>598</v>
      </c>
      <c r="K504" s="2" t="s">
        <v>39</v>
      </c>
      <c r="L504" s="2" t="s">
        <v>27</v>
      </c>
      <c r="M504" s="2">
        <v>5340604</v>
      </c>
      <c r="N504" s="2" t="s">
        <v>354</v>
      </c>
      <c r="O504" s="2" t="s">
        <v>41</v>
      </c>
      <c r="P504" s="2" t="s">
        <v>42</v>
      </c>
      <c r="Q504" s="2" t="s">
        <v>43</v>
      </c>
      <c r="R504" s="2" t="s">
        <v>44</v>
      </c>
      <c r="S504" s="2">
        <v>8</v>
      </c>
      <c r="T504" s="2" t="s">
        <v>33</v>
      </c>
      <c r="U504" s="2" t="s">
        <v>34</v>
      </c>
      <c r="V504" s="32">
        <v>65759144</v>
      </c>
      <c r="W504" s="21">
        <v>52626000</v>
      </c>
      <c r="X504" s="11" t="s">
        <v>2628</v>
      </c>
      <c r="Y504" s="30">
        <f t="shared" si="14"/>
        <v>13133144</v>
      </c>
      <c r="Z504" s="41">
        <f t="shared" si="15"/>
        <v>0.80028413995170011</v>
      </c>
    </row>
    <row r="505" spans="1:26">
      <c r="A505" s="2">
        <v>503</v>
      </c>
      <c r="B505" s="2">
        <v>3560359</v>
      </c>
      <c r="C505" s="2">
        <v>50301055290013</v>
      </c>
      <c r="D505" s="2" t="s">
        <v>74</v>
      </c>
      <c r="E505" s="2">
        <v>33246</v>
      </c>
      <c r="F505" s="2">
        <v>936571512</v>
      </c>
      <c r="G505" s="3">
        <v>38355</v>
      </c>
      <c r="H505" s="2" t="s">
        <v>271</v>
      </c>
      <c r="I505" s="2" t="s">
        <v>811</v>
      </c>
      <c r="J505" s="2" t="s">
        <v>1371</v>
      </c>
      <c r="K505" s="2" t="s">
        <v>26</v>
      </c>
      <c r="L505" s="2" t="s">
        <v>27</v>
      </c>
      <c r="M505" s="2">
        <v>5314000</v>
      </c>
      <c r="N505" s="2" t="s">
        <v>522</v>
      </c>
      <c r="O505" s="2" t="s">
        <v>1372</v>
      </c>
      <c r="P505" s="2" t="s">
        <v>771</v>
      </c>
      <c r="Q505" s="5">
        <v>44471</v>
      </c>
      <c r="R505" s="2" t="s">
        <v>53</v>
      </c>
      <c r="S505" s="2">
        <v>8</v>
      </c>
      <c r="T505" s="2" t="s">
        <v>508</v>
      </c>
      <c r="U505" s="2" t="s">
        <v>34</v>
      </c>
      <c r="V505" s="32">
        <v>16031525</v>
      </c>
      <c r="Y505" s="30">
        <f t="shared" si="14"/>
        <v>16031525</v>
      </c>
      <c r="Z505" s="41">
        <f t="shared" si="15"/>
        <v>0</v>
      </c>
    </row>
    <row r="506" spans="1:26" ht="26.25">
      <c r="A506" s="2">
        <v>504</v>
      </c>
      <c r="B506" s="2">
        <v>2023238</v>
      </c>
      <c r="C506" s="2">
        <v>32607940660023</v>
      </c>
      <c r="D506" s="2" t="s">
        <v>145</v>
      </c>
      <c r="E506" s="2">
        <v>7018440</v>
      </c>
      <c r="F506" s="2">
        <v>977646394</v>
      </c>
      <c r="G506" s="3">
        <v>34541</v>
      </c>
      <c r="H506" s="2" t="s">
        <v>1373</v>
      </c>
      <c r="I506" s="2" t="s">
        <v>1374</v>
      </c>
      <c r="J506" s="2" t="s">
        <v>1375</v>
      </c>
      <c r="K506" s="2" t="s">
        <v>39</v>
      </c>
      <c r="L506" s="2" t="s">
        <v>27</v>
      </c>
      <c r="M506" s="2">
        <v>5640202</v>
      </c>
      <c r="N506" s="2" t="s">
        <v>240</v>
      </c>
      <c r="O506" s="2" t="s">
        <v>41</v>
      </c>
      <c r="P506" s="2" t="s">
        <v>241</v>
      </c>
      <c r="Q506" s="2" t="s">
        <v>170</v>
      </c>
      <c r="R506" s="2" t="s">
        <v>62</v>
      </c>
      <c r="S506" s="2">
        <v>8</v>
      </c>
      <c r="T506" s="2" t="s">
        <v>33</v>
      </c>
      <c r="U506" s="2" t="s">
        <v>34</v>
      </c>
      <c r="V506" s="32">
        <v>59781040</v>
      </c>
      <c r="Y506" s="30">
        <f t="shared" si="14"/>
        <v>59781040</v>
      </c>
      <c r="Z506" s="41">
        <f t="shared" si="15"/>
        <v>0</v>
      </c>
    </row>
    <row r="507" spans="1:26" ht="26.25">
      <c r="A507" s="2">
        <v>505</v>
      </c>
      <c r="B507" s="2">
        <v>2464165</v>
      </c>
      <c r="C507" s="2">
        <v>51612026700020</v>
      </c>
      <c r="D507" s="2" t="s">
        <v>22</v>
      </c>
      <c r="E507" s="2">
        <v>1553407</v>
      </c>
      <c r="F507" s="2">
        <v>942971612</v>
      </c>
      <c r="G507" s="3">
        <v>37606</v>
      </c>
      <c r="H507" s="2" t="s">
        <v>1376</v>
      </c>
      <c r="I507" s="2" t="s">
        <v>1377</v>
      </c>
      <c r="J507" s="2" t="s">
        <v>1378</v>
      </c>
      <c r="K507" s="2" t="s">
        <v>39</v>
      </c>
      <c r="L507" s="2" t="s">
        <v>27</v>
      </c>
      <c r="M507" s="2">
        <v>5320102</v>
      </c>
      <c r="N507" s="2" t="s">
        <v>138</v>
      </c>
      <c r="O507" s="2" t="s">
        <v>149</v>
      </c>
      <c r="P507" s="2" t="s">
        <v>140</v>
      </c>
      <c r="Q507" s="4">
        <v>42064</v>
      </c>
      <c r="R507" s="2" t="s">
        <v>62</v>
      </c>
      <c r="S507" s="2">
        <v>8</v>
      </c>
      <c r="T507" s="2" t="s">
        <v>33</v>
      </c>
      <c r="U507" s="2" t="s">
        <v>34</v>
      </c>
      <c r="V507" s="32">
        <v>22417890</v>
      </c>
      <c r="Y507" s="30">
        <f t="shared" si="14"/>
        <v>22417890</v>
      </c>
      <c r="Z507" s="41">
        <f t="shared" si="15"/>
        <v>0</v>
      </c>
    </row>
    <row r="508" spans="1:26" ht="39">
      <c r="A508" s="2">
        <v>506</v>
      </c>
      <c r="B508" s="2">
        <v>1508201</v>
      </c>
      <c r="C508" s="2">
        <v>32211976500048</v>
      </c>
      <c r="D508" s="2" t="s">
        <v>145</v>
      </c>
      <c r="E508" s="2">
        <v>4129826</v>
      </c>
      <c r="F508" s="2">
        <v>946916352</v>
      </c>
      <c r="G508" s="3">
        <v>35756</v>
      </c>
      <c r="H508" s="2" t="s">
        <v>1369</v>
      </c>
      <c r="I508" s="2" t="s">
        <v>1276</v>
      </c>
      <c r="J508" s="2" t="s">
        <v>222</v>
      </c>
      <c r="K508" s="2" t="s">
        <v>39</v>
      </c>
      <c r="L508" s="2" t="s">
        <v>27</v>
      </c>
      <c r="M508" s="2">
        <v>5340401</v>
      </c>
      <c r="N508" s="2" t="s">
        <v>349</v>
      </c>
      <c r="O508" s="2" t="s">
        <v>1379</v>
      </c>
      <c r="P508" s="2" t="s">
        <v>350</v>
      </c>
      <c r="Q508" s="2" t="s">
        <v>602</v>
      </c>
      <c r="R508" s="2" t="s">
        <v>44</v>
      </c>
      <c r="S508" s="2">
        <v>8</v>
      </c>
      <c r="T508" s="2" t="s">
        <v>33</v>
      </c>
      <c r="U508" s="2" t="s">
        <v>34</v>
      </c>
      <c r="V508" s="32">
        <v>131518288</v>
      </c>
      <c r="Y508" s="30">
        <f t="shared" si="14"/>
        <v>131518288</v>
      </c>
      <c r="Z508" s="41">
        <f t="shared" si="15"/>
        <v>0</v>
      </c>
    </row>
    <row r="509" spans="1:26" ht="15.75">
      <c r="A509" s="2">
        <v>507</v>
      </c>
      <c r="B509" s="2">
        <v>3537315</v>
      </c>
      <c r="C509" s="2">
        <v>31311976730025</v>
      </c>
      <c r="D509" s="2" t="s">
        <v>45</v>
      </c>
      <c r="E509" s="2">
        <v>5797057</v>
      </c>
      <c r="F509" s="2">
        <v>999957235</v>
      </c>
      <c r="G509" s="3">
        <v>35747</v>
      </c>
      <c r="H509" s="2" t="s">
        <v>1380</v>
      </c>
      <c r="I509" s="2" t="s">
        <v>1381</v>
      </c>
      <c r="J509" s="2" t="s">
        <v>1382</v>
      </c>
      <c r="K509" s="2" t="s">
        <v>39</v>
      </c>
      <c r="L509" s="2" t="s">
        <v>27</v>
      </c>
      <c r="M509" s="2">
        <v>5340603</v>
      </c>
      <c r="N509" s="2" t="s">
        <v>174</v>
      </c>
      <c r="O509" s="2" t="s">
        <v>194</v>
      </c>
      <c r="P509" s="2" t="s">
        <v>175</v>
      </c>
      <c r="Q509" s="5">
        <v>44317</v>
      </c>
      <c r="R509" s="2" t="s">
        <v>44</v>
      </c>
      <c r="S509" s="2">
        <v>8</v>
      </c>
      <c r="T509" s="2" t="s">
        <v>33</v>
      </c>
      <c r="U509" s="2" t="s">
        <v>34</v>
      </c>
      <c r="V509" s="32" t="s">
        <v>2724</v>
      </c>
      <c r="W509" s="21">
        <f>6300000+6030000</f>
        <v>12330000</v>
      </c>
      <c r="X509" s="11" t="s">
        <v>2847</v>
      </c>
      <c r="Y509" s="30">
        <f t="shared" si="14"/>
        <v>-160.5</v>
      </c>
      <c r="Z509" s="41">
        <f t="shared" si="15"/>
        <v>1.0000130172010755</v>
      </c>
    </row>
    <row r="510" spans="1:26" ht="39">
      <c r="A510" s="2">
        <v>508</v>
      </c>
      <c r="B510" s="2">
        <v>1542685</v>
      </c>
      <c r="C510" s="2">
        <v>32804930430071</v>
      </c>
      <c r="D510" s="2" t="s">
        <v>145</v>
      </c>
      <c r="E510" s="2">
        <v>2066497</v>
      </c>
      <c r="F510" s="2">
        <v>994417021</v>
      </c>
      <c r="G510" s="3">
        <v>34087</v>
      </c>
      <c r="H510" s="2" t="s">
        <v>1383</v>
      </c>
      <c r="I510" s="2" t="s">
        <v>1384</v>
      </c>
      <c r="J510" s="2" t="s">
        <v>1385</v>
      </c>
      <c r="K510" s="2" t="s">
        <v>39</v>
      </c>
      <c r="L510" s="2" t="s">
        <v>27</v>
      </c>
      <c r="M510" s="2">
        <v>5320200</v>
      </c>
      <c r="N510" s="2" t="s">
        <v>66</v>
      </c>
      <c r="O510" s="2" t="s">
        <v>175</v>
      </c>
      <c r="P510" s="2" t="s">
        <v>68</v>
      </c>
      <c r="Q510" s="4">
        <v>18537</v>
      </c>
      <c r="R510" s="2" t="s">
        <v>62</v>
      </c>
      <c r="S510" s="2">
        <v>8</v>
      </c>
      <c r="T510" s="2" t="s">
        <v>33</v>
      </c>
      <c r="U510" s="2" t="s">
        <v>34</v>
      </c>
      <c r="V510" s="32" t="s">
        <v>2748</v>
      </c>
      <c r="W510" s="21">
        <f>29890520+12200000</f>
        <v>42090520</v>
      </c>
      <c r="X510" s="11" t="s">
        <v>2822</v>
      </c>
      <c r="Y510" s="30">
        <f t="shared" si="14"/>
        <v>11712416</v>
      </c>
      <c r="Z510" s="41">
        <f t="shared" si="15"/>
        <v>0.78230898031289597</v>
      </c>
    </row>
    <row r="511" spans="1:26" ht="26.25">
      <c r="A511" s="2">
        <v>509</v>
      </c>
      <c r="B511" s="2">
        <v>3573199</v>
      </c>
      <c r="C511" s="2">
        <v>52509036790019</v>
      </c>
      <c r="D511" s="2" t="s">
        <v>22</v>
      </c>
      <c r="E511" s="2">
        <v>2262850</v>
      </c>
      <c r="F511" s="2">
        <v>936025610</v>
      </c>
      <c r="G511" s="3">
        <v>37889</v>
      </c>
      <c r="H511" s="2" t="s">
        <v>1386</v>
      </c>
      <c r="I511" s="2" t="s">
        <v>1387</v>
      </c>
      <c r="J511" s="2" t="s">
        <v>1388</v>
      </c>
      <c r="K511" s="2" t="s">
        <v>26</v>
      </c>
      <c r="L511" s="2" t="s">
        <v>27</v>
      </c>
      <c r="M511" s="2">
        <v>5620701</v>
      </c>
      <c r="N511" s="2" t="s">
        <v>218</v>
      </c>
      <c r="O511" s="2" t="s">
        <v>344</v>
      </c>
      <c r="P511" s="2" t="s">
        <v>224</v>
      </c>
      <c r="Q511" s="5">
        <v>44492</v>
      </c>
      <c r="R511" s="2" t="s">
        <v>53</v>
      </c>
      <c r="S511" s="2">
        <v>8</v>
      </c>
      <c r="T511" s="2" t="s">
        <v>508</v>
      </c>
      <c r="U511" s="2" t="s">
        <v>34</v>
      </c>
      <c r="V511" s="32">
        <v>51300880</v>
      </c>
      <c r="Y511" s="30">
        <f t="shared" si="14"/>
        <v>51300880</v>
      </c>
      <c r="Z511" s="41">
        <f t="shared" si="15"/>
        <v>0</v>
      </c>
    </row>
    <row r="512" spans="1:26" ht="26.25">
      <c r="A512" s="2">
        <v>510</v>
      </c>
      <c r="B512" s="2">
        <v>2129060</v>
      </c>
      <c r="C512" s="2">
        <v>50112016710046</v>
      </c>
      <c r="D512" s="2" t="s">
        <v>45</v>
      </c>
      <c r="E512" s="2">
        <v>8477395</v>
      </c>
      <c r="F512" s="2">
        <v>909620218</v>
      </c>
      <c r="G512" s="3">
        <v>37226</v>
      </c>
      <c r="H512" s="2" t="s">
        <v>1389</v>
      </c>
      <c r="I512" s="2" t="s">
        <v>1044</v>
      </c>
      <c r="J512" s="2" t="s">
        <v>1390</v>
      </c>
      <c r="K512" s="2" t="s">
        <v>26</v>
      </c>
      <c r="L512" s="2" t="s">
        <v>27</v>
      </c>
      <c r="M512" s="2">
        <v>5310602</v>
      </c>
      <c r="N512" s="2" t="s">
        <v>518</v>
      </c>
      <c r="O512" s="2">
        <v>63</v>
      </c>
      <c r="P512" s="2" t="s">
        <v>88</v>
      </c>
      <c r="Q512" s="5">
        <v>44317</v>
      </c>
      <c r="R512" s="2" t="s">
        <v>53</v>
      </c>
      <c r="S512" s="2">
        <v>8</v>
      </c>
      <c r="T512" s="2" t="s">
        <v>33</v>
      </c>
      <c r="U512" s="2" t="s">
        <v>34</v>
      </c>
      <c r="V512" s="32">
        <v>9618915</v>
      </c>
      <c r="W512" s="24">
        <v>5000000</v>
      </c>
      <c r="X512" s="14" t="s">
        <v>2643</v>
      </c>
      <c r="Y512" s="30">
        <f t="shared" si="14"/>
        <v>4618915</v>
      </c>
      <c r="Z512" s="41">
        <f t="shared" si="15"/>
        <v>0.51980914687363389</v>
      </c>
    </row>
    <row r="513" spans="1:27" ht="26.25">
      <c r="A513" s="2">
        <v>511</v>
      </c>
      <c r="B513" s="2">
        <v>2640414</v>
      </c>
      <c r="C513" s="2">
        <v>51803035680027</v>
      </c>
      <c r="D513" s="2" t="s">
        <v>22</v>
      </c>
      <c r="E513" s="2">
        <v>2373763</v>
      </c>
      <c r="F513" s="2">
        <v>999699057</v>
      </c>
      <c r="G513" s="3">
        <v>37698</v>
      </c>
      <c r="H513" s="2" t="s">
        <v>926</v>
      </c>
      <c r="I513" s="2" t="s">
        <v>1391</v>
      </c>
      <c r="J513" s="2" t="s">
        <v>77</v>
      </c>
      <c r="K513" s="2" t="s">
        <v>26</v>
      </c>
      <c r="L513" s="2" t="s">
        <v>27</v>
      </c>
      <c r="M513" s="2">
        <v>5320102</v>
      </c>
      <c r="N513" s="2" t="s">
        <v>138</v>
      </c>
      <c r="O513" s="2" t="s">
        <v>88</v>
      </c>
      <c r="P513" s="2" t="s">
        <v>154</v>
      </c>
      <c r="Q513" s="4">
        <v>43922</v>
      </c>
      <c r="R513" s="2" t="s">
        <v>53</v>
      </c>
      <c r="S513" s="2">
        <v>8</v>
      </c>
      <c r="T513" s="2" t="s">
        <v>33</v>
      </c>
      <c r="U513" s="2" t="s">
        <v>34</v>
      </c>
      <c r="V513" s="32">
        <v>46170792</v>
      </c>
      <c r="W513" s="20">
        <v>25650440</v>
      </c>
      <c r="X513" s="2" t="s">
        <v>2678</v>
      </c>
      <c r="Y513" s="30">
        <f t="shared" si="14"/>
        <v>20520352</v>
      </c>
      <c r="Z513" s="41">
        <f t="shared" si="15"/>
        <v>0.55555555555555558</v>
      </c>
    </row>
    <row r="514" spans="1:27">
      <c r="A514" s="2">
        <v>512</v>
      </c>
      <c r="B514" s="2">
        <v>3431951</v>
      </c>
      <c r="C514" s="2">
        <v>32601841110041</v>
      </c>
      <c r="D514" s="2" t="s">
        <v>45</v>
      </c>
      <c r="E514" s="2">
        <v>2195127</v>
      </c>
      <c r="F514" s="2">
        <v>934750240</v>
      </c>
      <c r="G514" s="3">
        <v>30707</v>
      </c>
      <c r="H514" s="2" t="s">
        <v>1392</v>
      </c>
      <c r="I514" s="2" t="s">
        <v>502</v>
      </c>
      <c r="J514" s="2" t="s">
        <v>1393</v>
      </c>
      <c r="K514" s="2" t="s">
        <v>39</v>
      </c>
      <c r="L514" s="2" t="s">
        <v>27</v>
      </c>
      <c r="M514" s="2">
        <v>5310606</v>
      </c>
      <c r="N514" s="2" t="s">
        <v>72</v>
      </c>
      <c r="O514" s="2" t="s">
        <v>140</v>
      </c>
      <c r="P514" s="2" t="s">
        <v>73</v>
      </c>
      <c r="Q514" s="4">
        <v>43922</v>
      </c>
      <c r="R514" s="2" t="s">
        <v>62</v>
      </c>
      <c r="S514" s="2">
        <v>8</v>
      </c>
      <c r="T514" s="2" t="s">
        <v>33</v>
      </c>
      <c r="U514" s="2" t="s">
        <v>34</v>
      </c>
      <c r="V514" s="32">
        <v>59781040</v>
      </c>
      <c r="Y514" s="30">
        <f t="shared" si="14"/>
        <v>59781040</v>
      </c>
      <c r="Z514" s="41">
        <f t="shared" si="15"/>
        <v>0</v>
      </c>
    </row>
    <row r="515" spans="1:27" ht="15.75">
      <c r="A515" s="2">
        <v>513</v>
      </c>
      <c r="B515" s="2">
        <v>1853934</v>
      </c>
      <c r="C515" s="2">
        <v>32501986610018</v>
      </c>
      <c r="D515" s="2" t="s">
        <v>145</v>
      </c>
      <c r="E515" s="2">
        <v>4254468</v>
      </c>
      <c r="F515" s="2">
        <v>909861221</v>
      </c>
      <c r="G515" s="3">
        <v>35820</v>
      </c>
      <c r="H515" s="2" t="s">
        <v>1394</v>
      </c>
      <c r="I515" s="2" t="s">
        <v>1395</v>
      </c>
      <c r="J515" s="2" t="s">
        <v>1396</v>
      </c>
      <c r="K515" s="2" t="s">
        <v>39</v>
      </c>
      <c r="L515" s="2" t="s">
        <v>57</v>
      </c>
      <c r="M515" s="2">
        <v>5310202</v>
      </c>
      <c r="N515" s="2" t="s">
        <v>86</v>
      </c>
      <c r="O515" s="2" t="s">
        <v>225</v>
      </c>
      <c r="P515" s="2" t="s">
        <v>154</v>
      </c>
      <c r="Q515" s="5">
        <v>44471</v>
      </c>
      <c r="R515" s="2" t="s">
        <v>62</v>
      </c>
      <c r="S515" s="2">
        <v>8</v>
      </c>
      <c r="T515" s="2" t="s">
        <v>33</v>
      </c>
      <c r="U515" s="2" t="s">
        <v>34</v>
      </c>
      <c r="V515" s="32">
        <v>18681575</v>
      </c>
      <c r="W515" s="21">
        <v>18681600</v>
      </c>
      <c r="X515" s="11" t="s">
        <v>2660</v>
      </c>
      <c r="Y515" s="30">
        <f t="shared" si="14"/>
        <v>-25</v>
      </c>
      <c r="Z515" s="41">
        <f t="shared" si="15"/>
        <v>1.000001338216933</v>
      </c>
    </row>
    <row r="516" spans="1:27" ht="63">
      <c r="A516" s="2">
        <v>514</v>
      </c>
      <c r="B516" s="2">
        <v>1201083</v>
      </c>
      <c r="C516" s="2">
        <v>33006926840036</v>
      </c>
      <c r="D516" s="2" t="s">
        <v>45</v>
      </c>
      <c r="E516" s="2">
        <v>5177403</v>
      </c>
      <c r="F516" s="2">
        <v>931590202</v>
      </c>
      <c r="G516" s="3">
        <v>33785</v>
      </c>
      <c r="H516" s="2" t="s">
        <v>821</v>
      </c>
      <c r="I516" s="2" t="s">
        <v>451</v>
      </c>
      <c r="J516" s="2" t="s">
        <v>1397</v>
      </c>
      <c r="K516" s="2" t="s">
        <v>39</v>
      </c>
      <c r="L516" s="2" t="s">
        <v>27</v>
      </c>
      <c r="M516" s="2">
        <v>5340401</v>
      </c>
      <c r="N516" s="2" t="s">
        <v>349</v>
      </c>
      <c r="O516" s="2" t="s">
        <v>149</v>
      </c>
      <c r="P516" s="2" t="s">
        <v>350</v>
      </c>
      <c r="Q516" s="4">
        <v>45778</v>
      </c>
      <c r="R516" s="2" t="s">
        <v>44</v>
      </c>
      <c r="S516" s="2">
        <v>8</v>
      </c>
      <c r="T516" s="2" t="s">
        <v>33</v>
      </c>
      <c r="U516" s="2" t="s">
        <v>34</v>
      </c>
      <c r="V516" s="32" t="s">
        <v>2797</v>
      </c>
      <c r="W516" s="21">
        <f>31500000+15000000+400000+1100000</f>
        <v>48000000</v>
      </c>
      <c r="X516" s="45" t="s">
        <v>2975</v>
      </c>
      <c r="Y516" s="30">
        <f t="shared" ref="Y516:Y579" si="16">V516-W516</f>
        <v>11183229.600000001</v>
      </c>
      <c r="Z516" s="41">
        <f t="shared" ref="Z516:Z579" si="17">W516/V516</f>
        <v>0.8110405654509939</v>
      </c>
    </row>
    <row r="517" spans="1:27" ht="26.25">
      <c r="A517" s="2">
        <v>515</v>
      </c>
      <c r="B517" s="2">
        <v>3343958</v>
      </c>
      <c r="C517" s="2">
        <v>51304047110017</v>
      </c>
      <c r="D517" s="2" t="s">
        <v>22</v>
      </c>
      <c r="E517" s="2">
        <v>3093892</v>
      </c>
      <c r="F517" s="2">
        <v>992245545</v>
      </c>
      <c r="G517" s="3">
        <v>38090</v>
      </c>
      <c r="H517" s="2" t="s">
        <v>23</v>
      </c>
      <c r="I517" s="2" t="s">
        <v>1398</v>
      </c>
      <c r="J517" s="2" t="s">
        <v>1399</v>
      </c>
      <c r="K517" s="2" t="s">
        <v>26</v>
      </c>
      <c r="L517" s="2" t="s">
        <v>27</v>
      </c>
      <c r="M517" s="2">
        <v>5630103</v>
      </c>
      <c r="N517" s="2" t="s">
        <v>343</v>
      </c>
      <c r="O517" s="2" t="s">
        <v>79</v>
      </c>
      <c r="P517" s="2" t="s">
        <v>345</v>
      </c>
      <c r="Q517" s="4">
        <v>16681</v>
      </c>
      <c r="R517" s="2" t="s">
        <v>53</v>
      </c>
      <c r="S517" s="2">
        <v>8</v>
      </c>
      <c r="T517" s="2" t="s">
        <v>33</v>
      </c>
      <c r="U517" s="2" t="s">
        <v>34</v>
      </c>
      <c r="V517" s="32">
        <v>51300880</v>
      </c>
      <c r="Y517" s="30">
        <f t="shared" si="16"/>
        <v>51300880</v>
      </c>
      <c r="Z517" s="41">
        <f t="shared" si="17"/>
        <v>0</v>
      </c>
    </row>
    <row r="518" spans="1:27" ht="26.25">
      <c r="A518" s="2">
        <v>516</v>
      </c>
      <c r="B518" s="2">
        <v>3698935</v>
      </c>
      <c r="C518" s="2">
        <v>61603035650045</v>
      </c>
      <c r="D518" s="2" t="s">
        <v>22</v>
      </c>
      <c r="E518" s="2">
        <v>2122491</v>
      </c>
      <c r="F518" s="2">
        <v>996285808</v>
      </c>
      <c r="G518" s="3">
        <v>37696</v>
      </c>
      <c r="H518" s="2" t="s">
        <v>1400</v>
      </c>
      <c r="I518" s="2" t="s">
        <v>755</v>
      </c>
      <c r="J518" s="2" t="s">
        <v>1401</v>
      </c>
      <c r="K518" s="2" t="s">
        <v>26</v>
      </c>
      <c r="L518" s="2" t="s">
        <v>27</v>
      </c>
      <c r="M518" s="2">
        <v>5230902</v>
      </c>
      <c r="N518" s="2" t="s">
        <v>251</v>
      </c>
      <c r="O518" s="2" t="s">
        <v>1402</v>
      </c>
      <c r="P518" s="2" t="s">
        <v>798</v>
      </c>
      <c r="Q518" s="4">
        <v>12966</v>
      </c>
      <c r="R518" s="2" t="s">
        <v>134</v>
      </c>
      <c r="S518" s="2">
        <v>10</v>
      </c>
      <c r="T518" s="2" t="s">
        <v>33</v>
      </c>
      <c r="U518" s="2" t="s">
        <v>34</v>
      </c>
      <c r="V518" s="32">
        <v>91299300</v>
      </c>
      <c r="Y518" s="30">
        <f t="shared" si="16"/>
        <v>91299300</v>
      </c>
      <c r="Z518" s="41">
        <f t="shared" si="17"/>
        <v>0</v>
      </c>
    </row>
    <row r="519" spans="1:27" ht="26.25">
      <c r="A519" s="2">
        <v>517</v>
      </c>
      <c r="B519" s="2">
        <v>1131895</v>
      </c>
      <c r="C519" s="2">
        <v>32006986590051</v>
      </c>
      <c r="D519" s="2" t="s">
        <v>145</v>
      </c>
      <c r="E519" s="2">
        <v>6731987</v>
      </c>
      <c r="F519" s="2">
        <v>909452178</v>
      </c>
      <c r="G519" s="3">
        <v>35966</v>
      </c>
      <c r="H519" s="2" t="s">
        <v>1403</v>
      </c>
      <c r="I519" s="2" t="s">
        <v>1404</v>
      </c>
      <c r="J519" s="2" t="s">
        <v>173</v>
      </c>
      <c r="K519" s="2" t="s">
        <v>39</v>
      </c>
      <c r="L519" s="2" t="s">
        <v>57</v>
      </c>
      <c r="M519" s="2">
        <v>5620101</v>
      </c>
      <c r="N519" s="2" t="s">
        <v>49</v>
      </c>
      <c r="O519" s="2" t="s">
        <v>207</v>
      </c>
      <c r="P519" s="2" t="s">
        <v>194</v>
      </c>
      <c r="Q519" s="4">
        <v>43922</v>
      </c>
      <c r="R519" s="2" t="s">
        <v>62</v>
      </c>
      <c r="S519" s="2">
        <v>8</v>
      </c>
      <c r="T519" s="2" t="s">
        <v>33</v>
      </c>
      <c r="U519" s="2" t="s">
        <v>34</v>
      </c>
      <c r="V519" s="32">
        <v>53802936</v>
      </c>
      <c r="W519" s="20">
        <f>30000000+23802936</f>
        <v>53802936</v>
      </c>
      <c r="X519" s="2" t="s">
        <v>2884</v>
      </c>
      <c r="Y519" s="30">
        <f t="shared" si="16"/>
        <v>0</v>
      </c>
      <c r="Z519" s="41">
        <f t="shared" si="17"/>
        <v>1</v>
      </c>
    </row>
    <row r="520" spans="1:27" ht="39">
      <c r="A520" s="2">
        <v>518</v>
      </c>
      <c r="B520" s="2">
        <v>3358111</v>
      </c>
      <c r="C520" s="2">
        <v>50604045310013</v>
      </c>
      <c r="D520" s="2" t="s">
        <v>22</v>
      </c>
      <c r="E520" s="2">
        <v>3139661</v>
      </c>
      <c r="F520" s="2">
        <v>914478187</v>
      </c>
      <c r="G520" s="3">
        <v>38083</v>
      </c>
      <c r="H520" s="2" t="s">
        <v>935</v>
      </c>
      <c r="I520" s="2" t="s">
        <v>1405</v>
      </c>
      <c r="J520" s="2" t="s">
        <v>1406</v>
      </c>
      <c r="K520" s="2" t="s">
        <v>26</v>
      </c>
      <c r="L520" s="2" t="s">
        <v>27</v>
      </c>
      <c r="M520" s="2">
        <v>5320200</v>
      </c>
      <c r="N520" s="2" t="s">
        <v>66</v>
      </c>
      <c r="O520" s="2" t="s">
        <v>60</v>
      </c>
      <c r="P520" s="2" t="s">
        <v>1012</v>
      </c>
      <c r="Q520" s="2" t="s">
        <v>433</v>
      </c>
      <c r="R520" s="2" t="s">
        <v>53</v>
      </c>
      <c r="S520" s="2">
        <v>8</v>
      </c>
      <c r="T520" s="2" t="s">
        <v>33</v>
      </c>
      <c r="U520" s="2" t="s">
        <v>34</v>
      </c>
      <c r="V520" s="29" t="s">
        <v>2799</v>
      </c>
      <c r="W520" s="21">
        <v>25651000</v>
      </c>
      <c r="X520" s="10" t="s">
        <v>2634</v>
      </c>
      <c r="Y520" s="30">
        <f t="shared" si="16"/>
        <v>20519792</v>
      </c>
      <c r="Z520" s="41">
        <f t="shared" si="17"/>
        <v>0.5555676844356493</v>
      </c>
      <c r="AA520" s="42" t="s">
        <v>2798</v>
      </c>
    </row>
    <row r="521" spans="1:27" ht="26.25">
      <c r="A521" s="2">
        <v>519</v>
      </c>
      <c r="B521" s="2">
        <v>3510147</v>
      </c>
      <c r="C521" s="2">
        <v>32811810060019</v>
      </c>
      <c r="D521" s="2" t="s">
        <v>45</v>
      </c>
      <c r="E521" s="2">
        <v>1845956</v>
      </c>
      <c r="F521" s="2">
        <v>977427599</v>
      </c>
      <c r="G521" s="3">
        <v>29918</v>
      </c>
      <c r="H521" s="2" t="s">
        <v>23</v>
      </c>
      <c r="I521" s="2" t="s">
        <v>1407</v>
      </c>
      <c r="J521" s="2" t="s">
        <v>763</v>
      </c>
      <c r="K521" s="2" t="s">
        <v>39</v>
      </c>
      <c r="L521" s="2" t="s">
        <v>27</v>
      </c>
      <c r="M521" s="2">
        <v>5310601</v>
      </c>
      <c r="N521" s="2" t="s">
        <v>153</v>
      </c>
      <c r="O521" s="2" t="s">
        <v>155</v>
      </c>
      <c r="P521" s="2" t="s">
        <v>79</v>
      </c>
      <c r="Q521" s="2" t="s">
        <v>591</v>
      </c>
      <c r="R521" s="2" t="s">
        <v>62</v>
      </c>
      <c r="S521" s="2">
        <v>8</v>
      </c>
      <c r="T521" s="2" t="s">
        <v>33</v>
      </c>
      <c r="U521" s="2" t="s">
        <v>34</v>
      </c>
      <c r="V521" s="32">
        <v>59781040</v>
      </c>
      <c r="Y521" s="30">
        <f t="shared" si="16"/>
        <v>59781040</v>
      </c>
      <c r="Z521" s="41">
        <f t="shared" si="17"/>
        <v>0</v>
      </c>
    </row>
    <row r="522" spans="1:27">
      <c r="A522" s="2">
        <v>520</v>
      </c>
      <c r="B522" s="2">
        <v>3256970</v>
      </c>
      <c r="C522" s="2">
        <v>50807036080016</v>
      </c>
      <c r="D522" s="2" t="s">
        <v>22</v>
      </c>
      <c r="E522" s="2">
        <v>2091532</v>
      </c>
      <c r="F522" s="2">
        <v>992714404</v>
      </c>
      <c r="G522" s="3">
        <v>37810</v>
      </c>
      <c r="H522" s="2" t="s">
        <v>1408</v>
      </c>
      <c r="I522" s="2" t="s">
        <v>762</v>
      </c>
      <c r="J522" s="2" t="s">
        <v>1409</v>
      </c>
      <c r="K522" s="2" t="s">
        <v>26</v>
      </c>
      <c r="L522" s="2" t="s">
        <v>27</v>
      </c>
      <c r="M522" s="2">
        <v>5240109</v>
      </c>
      <c r="N522" s="2" t="s">
        <v>28</v>
      </c>
      <c r="O522" s="2" t="s">
        <v>73</v>
      </c>
      <c r="P522" s="2" t="s">
        <v>30</v>
      </c>
      <c r="Q522" s="2" t="s">
        <v>1410</v>
      </c>
      <c r="R522" s="2" t="s">
        <v>32</v>
      </c>
      <c r="S522" s="2">
        <v>25</v>
      </c>
      <c r="T522" s="2" t="s">
        <v>33</v>
      </c>
      <c r="U522" s="2" t="s">
        <v>34</v>
      </c>
      <c r="V522" s="32">
        <v>245231500</v>
      </c>
      <c r="Y522" s="30">
        <f t="shared" si="16"/>
        <v>245231500</v>
      </c>
      <c r="Z522" s="41">
        <f t="shared" si="17"/>
        <v>0</v>
      </c>
    </row>
    <row r="523" spans="1:27" ht="26.25">
      <c r="A523" s="2">
        <v>521</v>
      </c>
      <c r="B523" s="2">
        <v>3408060</v>
      </c>
      <c r="C523" s="2">
        <v>51705046600064</v>
      </c>
      <c r="D523" s="2" t="s">
        <v>22</v>
      </c>
      <c r="E523" s="2">
        <v>3161415</v>
      </c>
      <c r="F523" s="2">
        <v>996327319</v>
      </c>
      <c r="G523" s="3">
        <v>38124</v>
      </c>
      <c r="H523" s="2" t="s">
        <v>1411</v>
      </c>
      <c r="I523" s="2" t="s">
        <v>1412</v>
      </c>
      <c r="J523" s="2" t="s">
        <v>1128</v>
      </c>
      <c r="K523" s="2" t="s">
        <v>26</v>
      </c>
      <c r="L523" s="2" t="s">
        <v>27</v>
      </c>
      <c r="M523" s="2">
        <v>5320102</v>
      </c>
      <c r="N523" s="2" t="s">
        <v>138</v>
      </c>
      <c r="O523" s="2" t="s">
        <v>225</v>
      </c>
      <c r="P523" s="2" t="s">
        <v>154</v>
      </c>
      <c r="Q523" s="5">
        <v>44471</v>
      </c>
      <c r="R523" s="2" t="s">
        <v>53</v>
      </c>
      <c r="S523" s="2">
        <v>8</v>
      </c>
      <c r="T523" s="2" t="s">
        <v>33</v>
      </c>
      <c r="U523" s="2" t="s">
        <v>34</v>
      </c>
      <c r="V523" s="32">
        <v>16031525</v>
      </c>
      <c r="W523" s="21">
        <v>8000000</v>
      </c>
      <c r="X523" s="10" t="s">
        <v>2644</v>
      </c>
      <c r="Y523" s="30">
        <f t="shared" si="16"/>
        <v>8031525</v>
      </c>
      <c r="Z523" s="41">
        <f t="shared" si="17"/>
        <v>0.49901678099868851</v>
      </c>
    </row>
    <row r="524" spans="1:27" ht="26.25">
      <c r="A524" s="2">
        <v>522</v>
      </c>
      <c r="B524" s="2">
        <v>2817990</v>
      </c>
      <c r="C524" s="2">
        <v>30604822880018</v>
      </c>
      <c r="D524" s="2" t="s">
        <v>45</v>
      </c>
      <c r="E524" s="2">
        <v>142932</v>
      </c>
      <c r="F524" s="2">
        <v>998597844</v>
      </c>
      <c r="G524" s="3">
        <v>30047</v>
      </c>
      <c r="H524" s="2" t="s">
        <v>1413</v>
      </c>
      <c r="I524" s="2" t="s">
        <v>1414</v>
      </c>
      <c r="J524" s="2" t="s">
        <v>1415</v>
      </c>
      <c r="K524" s="2" t="s">
        <v>39</v>
      </c>
      <c r="L524" s="2" t="s">
        <v>27</v>
      </c>
      <c r="M524" s="2">
        <v>5340606</v>
      </c>
      <c r="N524" s="2" t="s">
        <v>191</v>
      </c>
      <c r="O524" s="2" t="s">
        <v>296</v>
      </c>
      <c r="P524" s="2" t="s">
        <v>42</v>
      </c>
      <c r="Q524" s="2" t="s">
        <v>111</v>
      </c>
      <c r="R524" s="2" t="s">
        <v>44</v>
      </c>
      <c r="S524" s="2">
        <v>8</v>
      </c>
      <c r="T524" s="2" t="s">
        <v>33</v>
      </c>
      <c r="U524" s="2" t="s">
        <v>34</v>
      </c>
      <c r="V524" s="32">
        <v>65759144</v>
      </c>
      <c r="Y524" s="30">
        <f t="shared" si="16"/>
        <v>65759144</v>
      </c>
      <c r="Z524" s="41">
        <f t="shared" si="17"/>
        <v>0</v>
      </c>
    </row>
    <row r="525" spans="1:27" ht="26.25">
      <c r="A525" s="2">
        <v>523</v>
      </c>
      <c r="B525" s="2">
        <v>3292664</v>
      </c>
      <c r="C525" s="2">
        <v>52912036500045</v>
      </c>
      <c r="D525" s="2" t="s">
        <v>74</v>
      </c>
      <c r="E525" s="2">
        <v>247903</v>
      </c>
      <c r="F525" s="2">
        <v>990631383</v>
      </c>
      <c r="G525" s="3">
        <v>37984</v>
      </c>
      <c r="H525" s="2" t="s">
        <v>146</v>
      </c>
      <c r="I525" s="2" t="s">
        <v>400</v>
      </c>
      <c r="J525" s="2" t="s">
        <v>1416</v>
      </c>
      <c r="K525" s="2" t="s">
        <v>26</v>
      </c>
      <c r="L525" s="2" t="s">
        <v>57</v>
      </c>
      <c r="M525" s="2">
        <v>5620701</v>
      </c>
      <c r="N525" s="2" t="s">
        <v>218</v>
      </c>
      <c r="O525" s="2" t="s">
        <v>88</v>
      </c>
      <c r="P525" s="2" t="s">
        <v>104</v>
      </c>
      <c r="Q525" s="4">
        <v>42064</v>
      </c>
      <c r="R525" s="2" t="s">
        <v>53</v>
      </c>
      <c r="S525" s="2">
        <v>8</v>
      </c>
      <c r="T525" s="2" t="s">
        <v>508</v>
      </c>
      <c r="U525" s="2" t="s">
        <v>34</v>
      </c>
      <c r="V525" s="32">
        <v>19237830</v>
      </c>
      <c r="Y525" s="30">
        <f t="shared" si="16"/>
        <v>19237830</v>
      </c>
      <c r="Z525" s="41">
        <f t="shared" si="17"/>
        <v>0</v>
      </c>
    </row>
    <row r="526" spans="1:27" ht="15.75">
      <c r="A526" s="2">
        <v>524</v>
      </c>
      <c r="B526" s="2">
        <v>1546937</v>
      </c>
      <c r="C526" s="2">
        <v>51105025750012</v>
      </c>
      <c r="D526" s="2" t="s">
        <v>22</v>
      </c>
      <c r="E526" s="2">
        <v>1761638</v>
      </c>
      <c r="F526" s="2">
        <v>995801606</v>
      </c>
      <c r="G526" s="3">
        <v>37387</v>
      </c>
      <c r="H526" s="2" t="s">
        <v>946</v>
      </c>
      <c r="I526" s="2" t="s">
        <v>642</v>
      </c>
      <c r="J526" s="2" t="s">
        <v>1417</v>
      </c>
      <c r="K526" s="2" t="s">
        <v>39</v>
      </c>
      <c r="L526" s="2" t="s">
        <v>27</v>
      </c>
      <c r="M526" s="2">
        <v>5340601</v>
      </c>
      <c r="N526" s="2" t="s">
        <v>110</v>
      </c>
      <c r="O526" s="2" t="s">
        <v>225</v>
      </c>
      <c r="P526" s="2">
        <v>84</v>
      </c>
      <c r="Q526" s="2" t="s">
        <v>81</v>
      </c>
      <c r="R526" s="2" t="s">
        <v>44</v>
      </c>
      <c r="S526" s="2">
        <v>8</v>
      </c>
      <c r="T526" s="2" t="s">
        <v>33</v>
      </c>
      <c r="U526" s="2" t="s">
        <v>34</v>
      </c>
      <c r="V526" s="29" t="s">
        <v>2797</v>
      </c>
      <c r="W526" s="21">
        <f>40760000+10850000+7000000+575000</f>
        <v>59185000</v>
      </c>
      <c r="X526" s="11" t="s">
        <v>2862</v>
      </c>
      <c r="Y526" s="30">
        <f t="shared" si="16"/>
        <v>-1770.3999999985099</v>
      </c>
      <c r="Z526" s="41">
        <f t="shared" si="17"/>
        <v>1.0000299138795223</v>
      </c>
      <c r="AA526" s="42" t="s">
        <v>2798</v>
      </c>
    </row>
    <row r="527" spans="1:27" ht="26.25">
      <c r="A527" s="2">
        <v>525</v>
      </c>
      <c r="B527" s="2">
        <v>1893812</v>
      </c>
      <c r="C527" s="2">
        <v>32411976790038</v>
      </c>
      <c r="D527" s="2" t="s">
        <v>145</v>
      </c>
      <c r="E527" s="2">
        <v>3723727</v>
      </c>
      <c r="F527" s="2">
        <v>943691997</v>
      </c>
      <c r="G527" s="3">
        <v>35758</v>
      </c>
      <c r="H527" s="2" t="s">
        <v>1418</v>
      </c>
      <c r="I527" s="2" t="s">
        <v>1419</v>
      </c>
      <c r="J527" s="2" t="s">
        <v>1420</v>
      </c>
      <c r="K527" s="2" t="s">
        <v>26</v>
      </c>
      <c r="L527" s="2" t="s">
        <v>27</v>
      </c>
      <c r="M527" s="2">
        <v>5310602</v>
      </c>
      <c r="N527" s="2" t="s">
        <v>518</v>
      </c>
      <c r="O527" s="2" t="s">
        <v>198</v>
      </c>
      <c r="P527" s="2" t="s">
        <v>88</v>
      </c>
      <c r="Q527" s="4">
        <v>45778</v>
      </c>
      <c r="R527" s="2" t="s">
        <v>53</v>
      </c>
      <c r="S527" s="2">
        <v>8</v>
      </c>
      <c r="T527" s="2" t="s">
        <v>33</v>
      </c>
      <c r="U527" s="2" t="s">
        <v>34</v>
      </c>
      <c r="V527" s="32">
        <v>46170792</v>
      </c>
      <c r="W527" s="20">
        <v>25700000</v>
      </c>
      <c r="X527" s="2" t="s">
        <v>2663</v>
      </c>
      <c r="Y527" s="30">
        <f t="shared" si="16"/>
        <v>20470792</v>
      </c>
      <c r="Z527" s="41">
        <f t="shared" si="17"/>
        <v>0.55662896144384966</v>
      </c>
    </row>
    <row r="528" spans="1:27" ht="26.25">
      <c r="A528" s="2">
        <v>526</v>
      </c>
      <c r="B528" s="2">
        <v>2565677</v>
      </c>
      <c r="C528" s="2">
        <v>51007027140058</v>
      </c>
      <c r="D528" s="2" t="s">
        <v>22</v>
      </c>
      <c r="E528" s="2">
        <v>2101351</v>
      </c>
      <c r="F528" s="2">
        <v>975125660</v>
      </c>
      <c r="G528" s="3">
        <v>37447</v>
      </c>
      <c r="H528" s="2" t="s">
        <v>1421</v>
      </c>
      <c r="I528" s="2" t="s">
        <v>1422</v>
      </c>
      <c r="J528" s="2" t="s">
        <v>1423</v>
      </c>
      <c r="K528" s="2" t="s">
        <v>26</v>
      </c>
      <c r="L528" s="2" t="s">
        <v>27</v>
      </c>
      <c r="M528" s="2">
        <v>5310701</v>
      </c>
      <c r="N528" s="2" t="s">
        <v>118</v>
      </c>
      <c r="O528" s="2" t="s">
        <v>175</v>
      </c>
      <c r="P528" s="2" t="s">
        <v>298</v>
      </c>
      <c r="Q528" s="2" t="s">
        <v>133</v>
      </c>
      <c r="R528" s="2" t="s">
        <v>53</v>
      </c>
      <c r="S528" s="2">
        <v>8</v>
      </c>
      <c r="T528" s="2" t="s">
        <v>33</v>
      </c>
      <c r="U528" s="2" t="s">
        <v>34</v>
      </c>
      <c r="V528" s="29" t="s">
        <v>2799</v>
      </c>
      <c r="W528" s="21">
        <f>26000000+20171000</f>
        <v>46171000</v>
      </c>
      <c r="X528" s="10" t="s">
        <v>2827</v>
      </c>
      <c r="Y528" s="30">
        <f t="shared" si="16"/>
        <v>-208</v>
      </c>
      <c r="Z528" s="41">
        <f t="shared" si="17"/>
        <v>1.0000045050126063</v>
      </c>
      <c r="AA528" s="42" t="s">
        <v>2798</v>
      </c>
    </row>
    <row r="529" spans="1:26">
      <c r="A529" s="2">
        <v>527</v>
      </c>
      <c r="B529" s="2">
        <v>3442300</v>
      </c>
      <c r="C529" s="2">
        <v>51309036890015</v>
      </c>
      <c r="D529" s="2" t="s">
        <v>22</v>
      </c>
      <c r="E529" s="2">
        <v>2365577</v>
      </c>
      <c r="F529" s="2">
        <v>998181139</v>
      </c>
      <c r="G529" s="3">
        <v>37877</v>
      </c>
      <c r="H529" s="2" t="s">
        <v>776</v>
      </c>
      <c r="I529" s="2" t="s">
        <v>451</v>
      </c>
      <c r="J529" s="2" t="s">
        <v>1424</v>
      </c>
      <c r="K529" s="2" t="s">
        <v>26</v>
      </c>
      <c r="L529" s="2" t="s">
        <v>57</v>
      </c>
      <c r="M529" s="2">
        <v>5314000</v>
      </c>
      <c r="N529" s="2" t="s">
        <v>522</v>
      </c>
      <c r="O529" s="2" t="s">
        <v>104</v>
      </c>
      <c r="P529" s="2" t="s">
        <v>241</v>
      </c>
      <c r="Q529" s="2" t="s">
        <v>591</v>
      </c>
      <c r="R529" s="2" t="s">
        <v>53</v>
      </c>
      <c r="S529" s="2">
        <v>8</v>
      </c>
      <c r="T529" s="2" t="s">
        <v>508</v>
      </c>
      <c r="U529" s="2" t="s">
        <v>34</v>
      </c>
      <c r="V529" s="32">
        <v>51300880</v>
      </c>
      <c r="Y529" s="30">
        <f t="shared" si="16"/>
        <v>51300880</v>
      </c>
      <c r="Z529" s="41">
        <f t="shared" si="17"/>
        <v>0</v>
      </c>
    </row>
    <row r="530" spans="1:26" ht="26.25">
      <c r="A530" s="2">
        <v>528</v>
      </c>
      <c r="B530" s="2">
        <v>3541215</v>
      </c>
      <c r="C530" s="2">
        <v>53006035680017</v>
      </c>
      <c r="D530" s="2" t="s">
        <v>22</v>
      </c>
      <c r="E530" s="2">
        <v>2335230</v>
      </c>
      <c r="F530" s="2">
        <v>995497097</v>
      </c>
      <c r="G530" s="3">
        <v>37802</v>
      </c>
      <c r="H530" s="2" t="s">
        <v>636</v>
      </c>
      <c r="I530" s="2" t="s">
        <v>1425</v>
      </c>
      <c r="J530" s="2" t="s">
        <v>624</v>
      </c>
      <c r="K530" s="2" t="s">
        <v>39</v>
      </c>
      <c r="L530" s="2" t="s">
        <v>57</v>
      </c>
      <c r="M530" s="2">
        <v>5620702</v>
      </c>
      <c r="N530" s="2" t="s">
        <v>159</v>
      </c>
      <c r="O530" s="2" t="s">
        <v>296</v>
      </c>
      <c r="P530" s="2" t="s">
        <v>139</v>
      </c>
      <c r="Q530" s="4">
        <v>18537</v>
      </c>
      <c r="R530" s="2" t="s">
        <v>62</v>
      </c>
      <c r="S530" s="2">
        <v>8</v>
      </c>
      <c r="T530" s="2" t="s">
        <v>33</v>
      </c>
      <c r="U530" s="2" t="s">
        <v>34</v>
      </c>
      <c r="V530" s="32">
        <v>59781040</v>
      </c>
      <c r="Y530" s="30">
        <f t="shared" si="16"/>
        <v>59781040</v>
      </c>
      <c r="Z530" s="41">
        <f t="shared" si="17"/>
        <v>0</v>
      </c>
    </row>
    <row r="531" spans="1:26" ht="15.75">
      <c r="A531" s="2">
        <v>529</v>
      </c>
      <c r="B531" s="2">
        <v>1359623</v>
      </c>
      <c r="C531" s="2">
        <v>50807006560016</v>
      </c>
      <c r="D531" s="2" t="s">
        <v>45</v>
      </c>
      <c r="E531" s="2">
        <v>4451317</v>
      </c>
      <c r="F531" s="2">
        <v>977437838</v>
      </c>
      <c r="G531" s="3">
        <v>36715</v>
      </c>
      <c r="H531" s="2" t="s">
        <v>355</v>
      </c>
      <c r="I531" s="2" t="s">
        <v>539</v>
      </c>
      <c r="J531" s="2" t="s">
        <v>763</v>
      </c>
      <c r="K531" s="2" t="s">
        <v>39</v>
      </c>
      <c r="L531" s="2" t="s">
        <v>57</v>
      </c>
      <c r="M531" s="2">
        <v>5620400</v>
      </c>
      <c r="N531" s="2" t="s">
        <v>103</v>
      </c>
      <c r="O531" s="2" t="s">
        <v>439</v>
      </c>
      <c r="P531" s="2" t="s">
        <v>139</v>
      </c>
      <c r="Q531" s="2" t="s">
        <v>170</v>
      </c>
      <c r="R531" s="2" t="s">
        <v>62</v>
      </c>
      <c r="S531" s="2">
        <v>8</v>
      </c>
      <c r="T531" s="2" t="s">
        <v>33</v>
      </c>
      <c r="U531" s="2" t="s">
        <v>34</v>
      </c>
      <c r="V531" s="32">
        <v>107605872</v>
      </c>
      <c r="W531" s="21">
        <f>100000000+7605872</f>
        <v>107605872</v>
      </c>
      <c r="X531" s="10" t="s">
        <v>2774</v>
      </c>
      <c r="Y531" s="30">
        <f t="shared" si="16"/>
        <v>0</v>
      </c>
      <c r="Z531" s="41">
        <f t="shared" si="17"/>
        <v>1</v>
      </c>
    </row>
    <row r="532" spans="1:26">
      <c r="A532" s="2">
        <v>530</v>
      </c>
      <c r="B532" s="2">
        <v>1188149</v>
      </c>
      <c r="C532" s="2">
        <v>31304985650017</v>
      </c>
      <c r="D532" s="2" t="s">
        <v>45</v>
      </c>
      <c r="E532" s="2">
        <v>5454693</v>
      </c>
      <c r="F532" s="2">
        <v>990530404</v>
      </c>
      <c r="G532" s="3">
        <v>35898</v>
      </c>
      <c r="H532" s="2" t="s">
        <v>434</v>
      </c>
      <c r="I532" s="2" t="s">
        <v>1153</v>
      </c>
      <c r="J532" s="2" t="s">
        <v>1426</v>
      </c>
      <c r="K532" s="2" t="s">
        <v>39</v>
      </c>
      <c r="L532" s="2" t="s">
        <v>27</v>
      </c>
      <c r="M532" s="2">
        <v>5620400</v>
      </c>
      <c r="N532" s="2" t="s">
        <v>103</v>
      </c>
      <c r="O532" s="2" t="s">
        <v>60</v>
      </c>
      <c r="P532" s="2" t="s">
        <v>123</v>
      </c>
      <c r="Q532" s="2" t="s">
        <v>340</v>
      </c>
      <c r="R532" s="2" t="s">
        <v>62</v>
      </c>
      <c r="S532" s="2">
        <v>8</v>
      </c>
      <c r="T532" s="2" t="s">
        <v>33</v>
      </c>
      <c r="U532" s="2" t="s">
        <v>34</v>
      </c>
      <c r="V532" s="29">
        <v>53802936</v>
      </c>
      <c r="W532" s="20">
        <v>29970000</v>
      </c>
      <c r="X532" s="2" t="s">
        <v>2685</v>
      </c>
      <c r="Y532" s="30">
        <f t="shared" si="16"/>
        <v>23832936</v>
      </c>
      <c r="Z532" s="41">
        <f t="shared" si="17"/>
        <v>0.5570327983588107</v>
      </c>
    </row>
    <row r="533" spans="1:26" ht="15.75">
      <c r="A533" s="2">
        <v>531</v>
      </c>
      <c r="B533" s="2">
        <v>2580901</v>
      </c>
      <c r="C533" s="2">
        <v>32501860200069</v>
      </c>
      <c r="D533" s="2" t="s">
        <v>45</v>
      </c>
      <c r="E533" s="2">
        <v>1516855</v>
      </c>
      <c r="F533" s="2">
        <v>978880166</v>
      </c>
      <c r="G533" s="3">
        <v>31437</v>
      </c>
      <c r="H533" s="2" t="s">
        <v>504</v>
      </c>
      <c r="I533" s="2" t="s">
        <v>1427</v>
      </c>
      <c r="J533" s="2" t="s">
        <v>1428</v>
      </c>
      <c r="K533" s="2" t="s">
        <v>39</v>
      </c>
      <c r="L533" s="2" t="s">
        <v>57</v>
      </c>
      <c r="M533" s="2">
        <v>5310606</v>
      </c>
      <c r="N533" s="2" t="s">
        <v>72</v>
      </c>
      <c r="O533" s="2" t="s">
        <v>88</v>
      </c>
      <c r="P533" s="2" t="s">
        <v>225</v>
      </c>
      <c r="Q533" s="5">
        <v>44471</v>
      </c>
      <c r="R533" s="2" t="s">
        <v>62</v>
      </c>
      <c r="S533" s="2">
        <v>8</v>
      </c>
      <c r="T533" s="2" t="s">
        <v>33</v>
      </c>
      <c r="U533" s="2" t="s">
        <v>34</v>
      </c>
      <c r="V533" s="32">
        <v>18681575</v>
      </c>
      <c r="W533" s="21">
        <v>18681575</v>
      </c>
      <c r="X533" s="12" t="s">
        <v>2644</v>
      </c>
      <c r="Y533" s="30">
        <f t="shared" si="16"/>
        <v>0</v>
      </c>
      <c r="Z533" s="41">
        <f t="shared" si="17"/>
        <v>1</v>
      </c>
    </row>
    <row r="534" spans="1:26">
      <c r="A534" s="2">
        <v>532</v>
      </c>
      <c r="B534" s="2">
        <v>3537391</v>
      </c>
      <c r="C534" s="2">
        <v>50605036800027</v>
      </c>
      <c r="D534" s="2" t="s">
        <v>22</v>
      </c>
      <c r="E534" s="2">
        <v>1901647</v>
      </c>
      <c r="F534" s="2">
        <v>999332036</v>
      </c>
      <c r="G534" s="3">
        <v>37747</v>
      </c>
      <c r="H534" s="2" t="s">
        <v>36</v>
      </c>
      <c r="I534" s="2" t="s">
        <v>1429</v>
      </c>
      <c r="J534" s="2" t="s">
        <v>1070</v>
      </c>
      <c r="K534" s="2" t="s">
        <v>26</v>
      </c>
      <c r="L534" s="2" t="s">
        <v>27</v>
      </c>
      <c r="M534" s="2">
        <v>5620101</v>
      </c>
      <c r="N534" s="2" t="s">
        <v>49</v>
      </c>
      <c r="O534" s="2" t="s">
        <v>198</v>
      </c>
      <c r="P534" s="2" t="s">
        <v>51</v>
      </c>
      <c r="Q534" s="2" t="s">
        <v>1430</v>
      </c>
      <c r="R534" s="2" t="s">
        <v>53</v>
      </c>
      <c r="S534" s="2">
        <v>8</v>
      </c>
      <c r="T534" s="2" t="s">
        <v>33</v>
      </c>
      <c r="U534" s="2" t="s">
        <v>34</v>
      </c>
      <c r="V534" s="32">
        <v>46170792</v>
      </c>
      <c r="W534" s="20">
        <v>28370000</v>
      </c>
      <c r="X534" s="2" t="s">
        <v>2677</v>
      </c>
      <c r="Y534" s="30">
        <f t="shared" si="16"/>
        <v>17800792</v>
      </c>
      <c r="Z534" s="41">
        <f t="shared" si="17"/>
        <v>0.61445772903354134</v>
      </c>
    </row>
    <row r="535" spans="1:26" ht="26.25">
      <c r="A535" s="2">
        <v>533</v>
      </c>
      <c r="B535" s="2">
        <v>2856104</v>
      </c>
      <c r="C535" s="2">
        <v>50402026730029</v>
      </c>
      <c r="D535" s="2" t="s">
        <v>22</v>
      </c>
      <c r="E535" s="2">
        <v>1616716</v>
      </c>
      <c r="F535" s="2">
        <v>999797649</v>
      </c>
      <c r="G535" s="3">
        <v>37291</v>
      </c>
      <c r="H535" s="2" t="s">
        <v>1114</v>
      </c>
      <c r="I535" s="2" t="s">
        <v>410</v>
      </c>
      <c r="J535" s="2" t="s">
        <v>1431</v>
      </c>
      <c r="K535" s="2" t="s">
        <v>39</v>
      </c>
      <c r="L535" s="2" t="s">
        <v>27</v>
      </c>
      <c r="M535" s="2">
        <v>5350701</v>
      </c>
      <c r="N535" s="2" t="s">
        <v>338</v>
      </c>
      <c r="O535" s="2">
        <v>63</v>
      </c>
      <c r="P535" s="2" t="s">
        <v>73</v>
      </c>
      <c r="Q535" s="2" t="s">
        <v>170</v>
      </c>
      <c r="R535" s="2" t="s">
        <v>44</v>
      </c>
      <c r="S535" s="2">
        <v>8</v>
      </c>
      <c r="T535" s="2" t="s">
        <v>33</v>
      </c>
      <c r="U535" s="2" t="s">
        <v>34</v>
      </c>
      <c r="V535" s="29" t="s">
        <v>2722</v>
      </c>
      <c r="W535" s="20">
        <f>30000000+15000000</f>
        <v>45000000</v>
      </c>
      <c r="X535" s="2" t="s">
        <v>2864</v>
      </c>
      <c r="Y535" s="30">
        <f t="shared" si="16"/>
        <v>14183229.600000001</v>
      </c>
      <c r="Z535" s="41">
        <f t="shared" si="17"/>
        <v>0.76035053011030673</v>
      </c>
    </row>
    <row r="536" spans="1:26">
      <c r="A536" s="2">
        <v>534</v>
      </c>
      <c r="B536" s="2">
        <v>1738495</v>
      </c>
      <c r="C536" s="2">
        <v>30811955630036</v>
      </c>
      <c r="D536" s="2" t="s">
        <v>145</v>
      </c>
      <c r="E536" s="2">
        <v>8944239</v>
      </c>
      <c r="F536" s="2">
        <v>993869975</v>
      </c>
      <c r="G536" s="3">
        <v>35011</v>
      </c>
      <c r="H536" s="2" t="s">
        <v>625</v>
      </c>
      <c r="I536" s="2" t="s">
        <v>1432</v>
      </c>
      <c r="J536" s="2" t="s">
        <v>1433</v>
      </c>
      <c r="K536" s="2" t="s">
        <v>26</v>
      </c>
      <c r="L536" s="2" t="s">
        <v>27</v>
      </c>
      <c r="M536" s="2">
        <v>5340601</v>
      </c>
      <c r="N536" s="2" t="s">
        <v>110</v>
      </c>
      <c r="O536" s="2" t="s">
        <v>87</v>
      </c>
      <c r="P536" s="2" t="s">
        <v>402</v>
      </c>
      <c r="Q536" s="2" t="s">
        <v>59</v>
      </c>
      <c r="R536" s="2" t="s">
        <v>93</v>
      </c>
      <c r="S536" s="2">
        <v>8</v>
      </c>
      <c r="T536" s="2" t="s">
        <v>33</v>
      </c>
      <c r="U536" s="2" t="s">
        <v>34</v>
      </c>
      <c r="V536" s="32">
        <v>56735520</v>
      </c>
      <c r="Y536" s="30">
        <f t="shared" si="16"/>
        <v>56735520</v>
      </c>
      <c r="Z536" s="41">
        <f t="shared" si="17"/>
        <v>0</v>
      </c>
    </row>
    <row r="537" spans="1:26" ht="26.25">
      <c r="A537" s="2">
        <v>535</v>
      </c>
      <c r="B537" s="2">
        <v>3012171</v>
      </c>
      <c r="C537" s="2">
        <v>32610996460013</v>
      </c>
      <c r="D537" s="2" t="s">
        <v>45</v>
      </c>
      <c r="E537" s="2">
        <v>6245637</v>
      </c>
      <c r="F537" s="2">
        <v>993969900</v>
      </c>
      <c r="G537" s="3">
        <v>36459</v>
      </c>
      <c r="H537" s="2" t="s">
        <v>315</v>
      </c>
      <c r="I537" s="2" t="s">
        <v>1434</v>
      </c>
      <c r="J537" s="2" t="s">
        <v>1435</v>
      </c>
      <c r="K537" s="2" t="s">
        <v>39</v>
      </c>
      <c r="L537" s="2" t="s">
        <v>27</v>
      </c>
      <c r="M537" s="2">
        <v>5350701</v>
      </c>
      <c r="N537" s="2" t="s">
        <v>338</v>
      </c>
      <c r="O537" s="2" t="s">
        <v>194</v>
      </c>
      <c r="P537" s="2" t="s">
        <v>73</v>
      </c>
      <c r="Q537" s="4">
        <v>11110</v>
      </c>
      <c r="R537" s="2" t="s">
        <v>44</v>
      </c>
      <c r="S537" s="2">
        <v>8</v>
      </c>
      <c r="T537" s="2" t="s">
        <v>33</v>
      </c>
      <c r="U537" s="2" t="s">
        <v>34</v>
      </c>
      <c r="V537" s="32">
        <v>65759144</v>
      </c>
      <c r="Y537" s="30">
        <f t="shared" si="16"/>
        <v>65759144</v>
      </c>
      <c r="Z537" s="41">
        <f t="shared" si="17"/>
        <v>0</v>
      </c>
    </row>
    <row r="538" spans="1:26" ht="26.25">
      <c r="A538" s="2">
        <v>536</v>
      </c>
      <c r="B538" s="2">
        <v>2644808</v>
      </c>
      <c r="C538" s="2">
        <v>50903035840012</v>
      </c>
      <c r="D538" s="2" t="s">
        <v>22</v>
      </c>
      <c r="E538" s="2">
        <v>1746170</v>
      </c>
      <c r="F538" s="2">
        <v>934350903</v>
      </c>
      <c r="G538" s="3">
        <v>37689</v>
      </c>
      <c r="H538" s="2" t="s">
        <v>23</v>
      </c>
      <c r="I538" s="2" t="s">
        <v>1436</v>
      </c>
      <c r="J538" s="2" t="s">
        <v>1437</v>
      </c>
      <c r="K538" s="2" t="s">
        <v>39</v>
      </c>
      <c r="L538" s="2" t="s">
        <v>57</v>
      </c>
      <c r="M538" s="2">
        <v>5310601</v>
      </c>
      <c r="N538" s="2" t="s">
        <v>153</v>
      </c>
      <c r="O538" s="2" t="s">
        <v>139</v>
      </c>
      <c r="P538" s="2" t="s">
        <v>155</v>
      </c>
      <c r="Q538" s="5">
        <v>44317</v>
      </c>
      <c r="R538" s="2" t="s">
        <v>62</v>
      </c>
      <c r="S538" s="2">
        <v>8</v>
      </c>
      <c r="T538" s="2" t="s">
        <v>33</v>
      </c>
      <c r="U538" s="2" t="s">
        <v>34</v>
      </c>
      <c r="V538" s="32">
        <v>11208945</v>
      </c>
      <c r="W538" s="21">
        <v>7000000</v>
      </c>
      <c r="X538" s="12" t="s">
        <v>2644</v>
      </c>
      <c r="Y538" s="30">
        <f t="shared" si="16"/>
        <v>4208945</v>
      </c>
      <c r="Z538" s="41">
        <f t="shared" si="17"/>
        <v>0.62450123539726532</v>
      </c>
    </row>
    <row r="539" spans="1:26" ht="15.75">
      <c r="A539" s="2">
        <v>537</v>
      </c>
      <c r="B539" s="2">
        <v>1753901</v>
      </c>
      <c r="C539" s="2">
        <v>31501986580020</v>
      </c>
      <c r="D539" s="2" t="s">
        <v>145</v>
      </c>
      <c r="E539" s="2">
        <v>4114121</v>
      </c>
      <c r="F539" s="2">
        <v>935999838</v>
      </c>
      <c r="G539" s="3">
        <v>35810</v>
      </c>
      <c r="H539" s="2" t="s">
        <v>46</v>
      </c>
      <c r="I539" s="2" t="s">
        <v>347</v>
      </c>
      <c r="J539" s="2" t="s">
        <v>102</v>
      </c>
      <c r="K539" s="2" t="s">
        <v>39</v>
      </c>
      <c r="L539" s="2" t="s">
        <v>57</v>
      </c>
      <c r="M539" s="2">
        <v>5620400</v>
      </c>
      <c r="N539" s="2" t="s">
        <v>103</v>
      </c>
      <c r="O539" s="2" t="s">
        <v>154</v>
      </c>
      <c r="P539" s="2" t="s">
        <v>139</v>
      </c>
      <c r="Q539" s="5">
        <v>44471</v>
      </c>
      <c r="R539" s="2" t="s">
        <v>62</v>
      </c>
      <c r="S539" s="2">
        <v>8</v>
      </c>
      <c r="T539" s="2" t="s">
        <v>33</v>
      </c>
      <c r="U539" s="2" t="s">
        <v>34</v>
      </c>
      <c r="V539" s="32">
        <v>18681575</v>
      </c>
      <c r="W539" s="21">
        <f>9341000+9341000</f>
        <v>18682000</v>
      </c>
      <c r="X539" s="10" t="s">
        <v>2831</v>
      </c>
      <c r="Y539" s="30">
        <f t="shared" si="16"/>
        <v>-425</v>
      </c>
      <c r="Z539" s="41">
        <f t="shared" si="17"/>
        <v>1.0000227496878609</v>
      </c>
    </row>
    <row r="540" spans="1:26">
      <c r="A540" s="2">
        <v>538</v>
      </c>
      <c r="B540" s="2">
        <v>2151947</v>
      </c>
      <c r="C540" s="2">
        <v>51505025930014</v>
      </c>
      <c r="D540" s="2" t="s">
        <v>22</v>
      </c>
      <c r="E540" s="2">
        <v>110800</v>
      </c>
      <c r="F540" s="2">
        <v>930504190</v>
      </c>
      <c r="G540" s="3">
        <v>37391</v>
      </c>
      <c r="H540" s="2" t="s">
        <v>1438</v>
      </c>
      <c r="I540" s="2" t="s">
        <v>1439</v>
      </c>
      <c r="J540" s="2" t="s">
        <v>1440</v>
      </c>
      <c r="K540" s="2" t="s">
        <v>39</v>
      </c>
      <c r="L540" s="2" t="s">
        <v>57</v>
      </c>
      <c r="M540" s="2">
        <v>5620400</v>
      </c>
      <c r="N540" s="2" t="s">
        <v>103</v>
      </c>
      <c r="O540" s="2" t="s">
        <v>87</v>
      </c>
      <c r="P540" s="2" t="s">
        <v>139</v>
      </c>
      <c r="Q540" s="4">
        <v>16681</v>
      </c>
      <c r="R540" s="2" t="s">
        <v>62</v>
      </c>
      <c r="S540" s="2">
        <v>8</v>
      </c>
      <c r="T540" s="2" t="s">
        <v>33</v>
      </c>
      <c r="U540" s="2" t="s">
        <v>34</v>
      </c>
      <c r="V540" s="32">
        <v>59781040</v>
      </c>
      <c r="Y540" s="30">
        <f t="shared" si="16"/>
        <v>59781040</v>
      </c>
      <c r="Z540" s="41">
        <f t="shared" si="17"/>
        <v>0</v>
      </c>
    </row>
    <row r="541" spans="1:26">
      <c r="A541" s="2">
        <v>539</v>
      </c>
      <c r="B541" s="2">
        <v>1513542</v>
      </c>
      <c r="C541" s="2">
        <v>31808986600029</v>
      </c>
      <c r="D541" s="2" t="s">
        <v>145</v>
      </c>
      <c r="E541" s="2">
        <v>8704748</v>
      </c>
      <c r="F541" s="2">
        <v>970017740</v>
      </c>
      <c r="G541" s="3">
        <v>36025</v>
      </c>
      <c r="H541" s="2" t="s">
        <v>315</v>
      </c>
      <c r="I541" s="2" t="s">
        <v>1441</v>
      </c>
      <c r="J541" s="2" t="s">
        <v>1333</v>
      </c>
      <c r="K541" s="2" t="s">
        <v>26</v>
      </c>
      <c r="L541" s="2" t="s">
        <v>27</v>
      </c>
      <c r="M541" s="2">
        <v>5230407</v>
      </c>
      <c r="N541" s="2" t="s">
        <v>186</v>
      </c>
      <c r="O541" s="2" t="s">
        <v>68</v>
      </c>
      <c r="P541" s="2" t="s">
        <v>187</v>
      </c>
      <c r="Q541" s="4">
        <v>42064</v>
      </c>
      <c r="R541" s="2" t="s">
        <v>134</v>
      </c>
      <c r="S541" s="2">
        <v>10</v>
      </c>
      <c r="T541" s="2" t="s">
        <v>33</v>
      </c>
      <c r="U541" s="2" t="s">
        <v>34</v>
      </c>
      <c r="V541" s="29">
        <v>24650811</v>
      </c>
      <c r="W541" s="20">
        <v>12328000</v>
      </c>
      <c r="X541" s="2" t="s">
        <v>2705</v>
      </c>
      <c r="Y541" s="30">
        <f t="shared" si="16"/>
        <v>12322811</v>
      </c>
      <c r="Z541" s="41">
        <f t="shared" si="17"/>
        <v>0.50010525008690387</v>
      </c>
    </row>
    <row r="542" spans="1:26">
      <c r="A542" s="2">
        <v>540</v>
      </c>
      <c r="B542" s="2">
        <v>1860406</v>
      </c>
      <c r="C542" s="2">
        <v>30709901801673</v>
      </c>
      <c r="D542" s="2" t="s">
        <v>45</v>
      </c>
      <c r="E542" s="2">
        <v>6281528</v>
      </c>
      <c r="F542" s="2">
        <v>915746416</v>
      </c>
      <c r="G542" s="3">
        <v>33123</v>
      </c>
      <c r="H542" s="2" t="s">
        <v>1442</v>
      </c>
      <c r="I542" s="2" t="s">
        <v>1299</v>
      </c>
      <c r="J542" s="2" t="s">
        <v>1443</v>
      </c>
      <c r="K542" s="2" t="s">
        <v>39</v>
      </c>
      <c r="L542" s="2" t="s">
        <v>27</v>
      </c>
      <c r="M542" s="2">
        <v>5340601</v>
      </c>
      <c r="N542" s="2" t="s">
        <v>110</v>
      </c>
      <c r="O542" s="2" t="s">
        <v>469</v>
      </c>
      <c r="P542" s="2">
        <v>84</v>
      </c>
      <c r="Q542" s="2" t="s">
        <v>310</v>
      </c>
      <c r="R542" s="2" t="s">
        <v>44</v>
      </c>
      <c r="S542" s="2">
        <v>8</v>
      </c>
      <c r="T542" s="2" t="s">
        <v>33</v>
      </c>
      <c r="U542" s="2" t="s">
        <v>34</v>
      </c>
      <c r="V542" s="32">
        <v>131518288</v>
      </c>
      <c r="Y542" s="30">
        <f t="shared" si="16"/>
        <v>131518288</v>
      </c>
      <c r="Z542" s="41">
        <f t="shared" si="17"/>
        <v>0</v>
      </c>
    </row>
    <row r="543" spans="1:26">
      <c r="A543" s="2">
        <v>541</v>
      </c>
      <c r="B543" s="2">
        <v>3534807</v>
      </c>
      <c r="C543" s="2">
        <v>52104046500067</v>
      </c>
      <c r="D543" s="2" t="s">
        <v>74</v>
      </c>
      <c r="E543" s="2">
        <v>261655</v>
      </c>
      <c r="F543" s="2">
        <v>994457979</v>
      </c>
      <c r="G543" s="3">
        <v>38098</v>
      </c>
      <c r="H543" s="2" t="s">
        <v>466</v>
      </c>
      <c r="I543" s="2" t="s">
        <v>266</v>
      </c>
      <c r="J543" s="2" t="s">
        <v>143</v>
      </c>
      <c r="K543" s="2" t="s">
        <v>26</v>
      </c>
      <c r="L543" s="2" t="s">
        <v>57</v>
      </c>
      <c r="M543" s="2">
        <v>5620400</v>
      </c>
      <c r="N543" s="2" t="s">
        <v>103</v>
      </c>
      <c r="O543" s="2" t="s">
        <v>639</v>
      </c>
      <c r="P543" s="2">
        <v>63</v>
      </c>
      <c r="Q543" s="2" t="s">
        <v>170</v>
      </c>
      <c r="R543" s="2" t="s">
        <v>53</v>
      </c>
      <c r="S543" s="2">
        <v>8</v>
      </c>
      <c r="T543" s="2" t="s">
        <v>33</v>
      </c>
      <c r="U543" s="2" t="s">
        <v>34</v>
      </c>
      <c r="V543" s="32">
        <v>92341584</v>
      </c>
      <c r="W543" s="20">
        <v>46341584</v>
      </c>
      <c r="X543" s="2" t="s">
        <v>2631</v>
      </c>
      <c r="Y543" s="30">
        <f t="shared" si="16"/>
        <v>46000000</v>
      </c>
      <c r="Z543" s="41">
        <f t="shared" si="17"/>
        <v>0.50184956757943422</v>
      </c>
    </row>
    <row r="544" spans="1:26" ht="26.25">
      <c r="A544" s="2">
        <v>542</v>
      </c>
      <c r="B544" s="2">
        <v>1061487</v>
      </c>
      <c r="C544" s="2">
        <v>32506996560014</v>
      </c>
      <c r="D544" s="2" t="s">
        <v>45</v>
      </c>
      <c r="E544" s="2">
        <v>279379</v>
      </c>
      <c r="F544" s="2">
        <v>993953371</v>
      </c>
      <c r="G544" s="3">
        <v>36336</v>
      </c>
      <c r="H544" s="2" t="s">
        <v>444</v>
      </c>
      <c r="I544" s="2" t="s">
        <v>925</v>
      </c>
      <c r="J544" s="2" t="s">
        <v>665</v>
      </c>
      <c r="K544" s="2" t="s">
        <v>39</v>
      </c>
      <c r="L544" s="2" t="s">
        <v>27</v>
      </c>
      <c r="M544" s="2">
        <v>5310605</v>
      </c>
      <c r="N544" s="2" t="s">
        <v>97</v>
      </c>
      <c r="O544" s="2" t="s">
        <v>41</v>
      </c>
      <c r="P544" s="2" t="s">
        <v>79</v>
      </c>
      <c r="Q544" s="2" t="s">
        <v>363</v>
      </c>
      <c r="R544" s="2" t="s">
        <v>62</v>
      </c>
      <c r="S544" s="2">
        <v>8</v>
      </c>
      <c r="T544" s="2" t="s">
        <v>33</v>
      </c>
      <c r="U544" s="2" t="s">
        <v>34</v>
      </c>
      <c r="V544" s="32">
        <v>59781040</v>
      </c>
      <c r="Y544" s="30">
        <f t="shared" si="16"/>
        <v>59781040</v>
      </c>
      <c r="Z544" s="41">
        <f t="shared" si="17"/>
        <v>0</v>
      </c>
    </row>
    <row r="545" spans="1:27" ht="26.25">
      <c r="A545" s="2">
        <v>543</v>
      </c>
      <c r="B545" s="2">
        <v>2316387</v>
      </c>
      <c r="C545" s="2">
        <v>50104025350050</v>
      </c>
      <c r="D545" s="2" t="s">
        <v>22</v>
      </c>
      <c r="E545" s="2">
        <v>1469897</v>
      </c>
      <c r="F545" s="2">
        <v>990763429</v>
      </c>
      <c r="G545" s="3">
        <v>37347</v>
      </c>
      <c r="H545" s="2" t="s">
        <v>1444</v>
      </c>
      <c r="I545" s="2" t="s">
        <v>1445</v>
      </c>
      <c r="J545" s="2" t="s">
        <v>1446</v>
      </c>
      <c r="K545" s="2" t="s">
        <v>39</v>
      </c>
      <c r="L545" s="2" t="s">
        <v>27</v>
      </c>
      <c r="M545" s="2">
        <v>5320102</v>
      </c>
      <c r="N545" s="2" t="s">
        <v>138</v>
      </c>
      <c r="O545" s="2" t="s">
        <v>149</v>
      </c>
      <c r="P545" s="2" t="s">
        <v>140</v>
      </c>
      <c r="Q545" s="4">
        <v>42064</v>
      </c>
      <c r="R545" s="2" t="s">
        <v>62</v>
      </c>
      <c r="S545" s="2">
        <v>8</v>
      </c>
      <c r="T545" s="2" t="s">
        <v>33</v>
      </c>
      <c r="U545" s="2" t="s">
        <v>34</v>
      </c>
      <c r="V545" s="29">
        <v>20176101</v>
      </c>
      <c r="W545" s="21">
        <v>11209000</v>
      </c>
      <c r="X545" s="11" t="s">
        <v>2624</v>
      </c>
      <c r="Y545" s="30">
        <f t="shared" si="16"/>
        <v>8967101</v>
      </c>
      <c r="Z545" s="41">
        <f t="shared" si="17"/>
        <v>0.55555828155301168</v>
      </c>
    </row>
    <row r="546" spans="1:27" ht="26.25">
      <c r="A546" s="2">
        <v>544</v>
      </c>
      <c r="B546" s="2">
        <v>3514009</v>
      </c>
      <c r="C546" s="2">
        <v>51409036770028</v>
      </c>
      <c r="D546" s="2" t="s">
        <v>22</v>
      </c>
      <c r="E546" s="2">
        <v>2566936</v>
      </c>
      <c r="F546" s="2">
        <v>998031283</v>
      </c>
      <c r="G546" s="3">
        <v>37878</v>
      </c>
      <c r="H546" s="2" t="s">
        <v>1447</v>
      </c>
      <c r="I546" s="2" t="s">
        <v>692</v>
      </c>
      <c r="J546" s="2" t="s">
        <v>1448</v>
      </c>
      <c r="K546" s="2" t="s">
        <v>39</v>
      </c>
      <c r="L546" s="2" t="s">
        <v>27</v>
      </c>
      <c r="M546" s="2">
        <v>5320102</v>
      </c>
      <c r="N546" s="2" t="s">
        <v>138</v>
      </c>
      <c r="O546" s="2" t="s">
        <v>87</v>
      </c>
      <c r="P546" s="2" t="s">
        <v>140</v>
      </c>
      <c r="Q546" s="2" t="s">
        <v>591</v>
      </c>
      <c r="R546" s="2" t="s">
        <v>62</v>
      </c>
      <c r="S546" s="2">
        <v>8</v>
      </c>
      <c r="T546" s="2" t="s">
        <v>33</v>
      </c>
      <c r="U546" s="2" t="s">
        <v>34</v>
      </c>
      <c r="V546" s="32">
        <v>53802936</v>
      </c>
      <c r="W546" s="20">
        <f>26902000+26902000</f>
        <v>53804000</v>
      </c>
      <c r="X546" s="2" t="s">
        <v>2882</v>
      </c>
      <c r="Y546" s="30">
        <f t="shared" si="16"/>
        <v>-1064</v>
      </c>
      <c r="Z546" s="41">
        <f t="shared" si="17"/>
        <v>1.0000197758724543</v>
      </c>
    </row>
    <row r="547" spans="1:27" ht="26.25">
      <c r="A547" s="2">
        <v>545</v>
      </c>
      <c r="B547" s="2">
        <v>3599192</v>
      </c>
      <c r="C547" s="2">
        <v>52802036030029</v>
      </c>
      <c r="D547" s="2" t="s">
        <v>22</v>
      </c>
      <c r="E547" s="2">
        <v>3197653</v>
      </c>
      <c r="F547" s="2">
        <v>942432201</v>
      </c>
      <c r="G547" s="3">
        <v>37680</v>
      </c>
      <c r="H547" s="2" t="s">
        <v>1057</v>
      </c>
      <c r="I547" s="2" t="s">
        <v>853</v>
      </c>
      <c r="J547" s="2" t="s">
        <v>1449</v>
      </c>
      <c r="K547" s="2" t="s">
        <v>39</v>
      </c>
      <c r="L547" s="2" t="s">
        <v>27</v>
      </c>
      <c r="M547" s="2">
        <v>5340602</v>
      </c>
      <c r="N547" s="2" t="s">
        <v>628</v>
      </c>
      <c r="O547" s="2" t="s">
        <v>296</v>
      </c>
      <c r="P547" s="2" t="s">
        <v>629</v>
      </c>
      <c r="Q547" s="2" t="s">
        <v>363</v>
      </c>
      <c r="R547" s="2" t="s">
        <v>44</v>
      </c>
      <c r="S547" s="2">
        <v>8</v>
      </c>
      <c r="T547" s="2" t="s">
        <v>33</v>
      </c>
      <c r="U547" s="2" t="s">
        <v>34</v>
      </c>
      <c r="V547" s="32">
        <v>65759144</v>
      </c>
      <c r="W547" s="20">
        <v>33000000</v>
      </c>
      <c r="X547" s="2" t="s">
        <v>2672</v>
      </c>
      <c r="Y547" s="30">
        <f t="shared" si="16"/>
        <v>32759144</v>
      </c>
      <c r="Z547" s="41">
        <f t="shared" si="17"/>
        <v>0.50183134987280253</v>
      </c>
    </row>
    <row r="548" spans="1:27" ht="26.25">
      <c r="A548" s="2">
        <v>546</v>
      </c>
      <c r="B548" s="2">
        <v>3776321</v>
      </c>
      <c r="C548" s="2">
        <v>31210911120052</v>
      </c>
      <c r="D548" s="2" t="s">
        <v>145</v>
      </c>
      <c r="E548" s="2">
        <v>6006405</v>
      </c>
      <c r="F548" s="2">
        <v>907309597</v>
      </c>
      <c r="G548" s="3">
        <v>33523</v>
      </c>
      <c r="H548" s="2" t="s">
        <v>1450</v>
      </c>
      <c r="I548" s="2" t="s">
        <v>1451</v>
      </c>
      <c r="J548" s="2" t="s">
        <v>1046</v>
      </c>
      <c r="K548" s="2" t="s">
        <v>39</v>
      </c>
      <c r="L548" s="2" t="s">
        <v>27</v>
      </c>
      <c r="M548" s="2">
        <v>5310605</v>
      </c>
      <c r="N548" s="2" t="s">
        <v>97</v>
      </c>
      <c r="O548" s="2">
        <v>84</v>
      </c>
      <c r="P548" s="2" t="s">
        <v>79</v>
      </c>
      <c r="Q548" s="5">
        <v>44471</v>
      </c>
      <c r="R548" s="2" t="s">
        <v>62</v>
      </c>
      <c r="S548" s="2">
        <v>8</v>
      </c>
      <c r="T548" s="2" t="s">
        <v>33</v>
      </c>
      <c r="U548" s="2" t="s">
        <v>34</v>
      </c>
      <c r="V548" s="32">
        <v>18681575</v>
      </c>
      <c r="Y548" s="30">
        <f t="shared" si="16"/>
        <v>18681575</v>
      </c>
      <c r="Z548" s="41">
        <f t="shared" si="17"/>
        <v>0</v>
      </c>
    </row>
    <row r="549" spans="1:27" ht="15.75">
      <c r="A549" s="2">
        <v>547</v>
      </c>
      <c r="B549" s="2">
        <v>2720363</v>
      </c>
      <c r="C549" s="2">
        <v>51406025590045</v>
      </c>
      <c r="D549" s="2" t="s">
        <v>22</v>
      </c>
      <c r="E549" s="2">
        <v>2117163</v>
      </c>
      <c r="F549" s="2">
        <v>991171208</v>
      </c>
      <c r="G549" s="3">
        <v>37421</v>
      </c>
      <c r="H549" s="2" t="s">
        <v>1452</v>
      </c>
      <c r="I549" s="2" t="s">
        <v>423</v>
      </c>
      <c r="J549" s="2" t="s">
        <v>643</v>
      </c>
      <c r="K549" s="2" t="s">
        <v>26</v>
      </c>
      <c r="L549" s="2" t="s">
        <v>27</v>
      </c>
      <c r="M549" s="2">
        <v>5620400</v>
      </c>
      <c r="N549" s="2" t="s">
        <v>103</v>
      </c>
      <c r="O549" s="2" t="s">
        <v>122</v>
      </c>
      <c r="P549" s="2" t="s">
        <v>105</v>
      </c>
      <c r="Q549" s="2" t="s">
        <v>223</v>
      </c>
      <c r="R549" s="2" t="s">
        <v>53</v>
      </c>
      <c r="S549" s="2">
        <v>8</v>
      </c>
      <c r="T549" s="2" t="s">
        <v>33</v>
      </c>
      <c r="U549" s="2" t="s">
        <v>34</v>
      </c>
      <c r="V549" s="32">
        <v>51300880</v>
      </c>
      <c r="W549" s="21">
        <v>26000000</v>
      </c>
      <c r="X549" s="10" t="s">
        <v>2627</v>
      </c>
      <c r="Y549" s="30">
        <f t="shared" si="16"/>
        <v>25300880</v>
      </c>
      <c r="Z549" s="41">
        <f t="shared" si="17"/>
        <v>0.506813918201793</v>
      </c>
    </row>
    <row r="550" spans="1:27" ht="26.25">
      <c r="A550" s="2">
        <v>548</v>
      </c>
      <c r="B550" s="2">
        <v>1545128</v>
      </c>
      <c r="C550" s="2">
        <v>30505986570015</v>
      </c>
      <c r="D550" s="2" t="s">
        <v>145</v>
      </c>
      <c r="E550" s="2">
        <v>6194833</v>
      </c>
      <c r="F550" s="2">
        <v>904878877</v>
      </c>
      <c r="G550" s="3">
        <v>35920</v>
      </c>
      <c r="H550" s="2" t="s">
        <v>146</v>
      </c>
      <c r="I550" s="2" t="s">
        <v>1262</v>
      </c>
      <c r="J550" s="2" t="s">
        <v>483</v>
      </c>
      <c r="K550" s="2" t="s">
        <v>39</v>
      </c>
      <c r="L550" s="2" t="s">
        <v>27</v>
      </c>
      <c r="M550" s="2">
        <v>5320102</v>
      </c>
      <c r="N550" s="2" t="s">
        <v>138</v>
      </c>
      <c r="O550" s="2" t="s">
        <v>155</v>
      </c>
      <c r="P550" s="2" t="s">
        <v>140</v>
      </c>
      <c r="Q550" s="4">
        <v>43922</v>
      </c>
      <c r="R550" s="2" t="s">
        <v>62</v>
      </c>
      <c r="S550" s="2">
        <v>8</v>
      </c>
      <c r="T550" s="2" t="s">
        <v>33</v>
      </c>
      <c r="U550" s="2" t="s">
        <v>34</v>
      </c>
      <c r="V550" s="32">
        <v>59781040</v>
      </c>
      <c r="Y550" s="30">
        <f t="shared" si="16"/>
        <v>59781040</v>
      </c>
      <c r="Z550" s="41">
        <f t="shared" si="17"/>
        <v>0</v>
      </c>
    </row>
    <row r="551" spans="1:27" ht="26.25">
      <c r="A551" s="2">
        <v>549</v>
      </c>
      <c r="B551" s="2">
        <v>1483452</v>
      </c>
      <c r="C551" s="2">
        <v>52605007130036</v>
      </c>
      <c r="D551" s="2" t="s">
        <v>45</v>
      </c>
      <c r="E551" s="2">
        <v>4588527</v>
      </c>
      <c r="F551" s="2">
        <v>999429424</v>
      </c>
      <c r="G551" s="3">
        <v>36672</v>
      </c>
      <c r="H551" s="2" t="s">
        <v>388</v>
      </c>
      <c r="I551" s="2" t="s">
        <v>1453</v>
      </c>
      <c r="J551" s="2" t="s">
        <v>1406</v>
      </c>
      <c r="K551" s="2" t="s">
        <v>39</v>
      </c>
      <c r="L551" s="2" t="s">
        <v>57</v>
      </c>
      <c r="M551" s="2">
        <v>5620702</v>
      </c>
      <c r="N551" s="2" t="s">
        <v>159</v>
      </c>
      <c r="O551" s="2" t="s">
        <v>207</v>
      </c>
      <c r="P551" s="2" t="s">
        <v>139</v>
      </c>
      <c r="Q551" s="5">
        <v>44317</v>
      </c>
      <c r="R551" s="2" t="s">
        <v>62</v>
      </c>
      <c r="S551" s="2">
        <v>8</v>
      </c>
      <c r="T551" s="2" t="s">
        <v>33</v>
      </c>
      <c r="U551" s="2" t="s">
        <v>34</v>
      </c>
      <c r="V551" s="32">
        <v>11208945</v>
      </c>
      <c r="W551" s="21">
        <v>14946000</v>
      </c>
      <c r="X551" s="11" t="s">
        <v>2642</v>
      </c>
      <c r="Y551" s="30">
        <f t="shared" si="16"/>
        <v>-3737055</v>
      </c>
      <c r="Z551" s="41">
        <f t="shared" si="17"/>
        <v>1.3333993520353611</v>
      </c>
    </row>
    <row r="552" spans="1:27" ht="26.25">
      <c r="A552" s="2">
        <v>550</v>
      </c>
      <c r="B552" s="2">
        <v>1701697</v>
      </c>
      <c r="C552" s="2">
        <v>42512966560060</v>
      </c>
      <c r="D552" s="2" t="s">
        <v>145</v>
      </c>
      <c r="E552" s="2">
        <v>1621809</v>
      </c>
      <c r="F552" s="2">
        <v>909268484</v>
      </c>
      <c r="G552" s="3">
        <v>35424</v>
      </c>
      <c r="H552" s="2" t="s">
        <v>1454</v>
      </c>
      <c r="I552" s="2" t="s">
        <v>1455</v>
      </c>
      <c r="J552" s="2" t="s">
        <v>1456</v>
      </c>
      <c r="K552" s="2" t="s">
        <v>39</v>
      </c>
      <c r="L552" s="2" t="s">
        <v>27</v>
      </c>
      <c r="M552" s="2">
        <v>5230903</v>
      </c>
      <c r="N552" s="2" t="s">
        <v>314</v>
      </c>
      <c r="O552" s="2" t="s">
        <v>219</v>
      </c>
      <c r="P552" s="2" t="s">
        <v>298</v>
      </c>
      <c r="Q552" s="4">
        <v>42064</v>
      </c>
      <c r="R552" s="2" t="s">
        <v>82</v>
      </c>
      <c r="S552" s="2">
        <v>10</v>
      </c>
      <c r="T552" s="2" t="s">
        <v>33</v>
      </c>
      <c r="U552" s="2" t="s">
        <v>34</v>
      </c>
      <c r="V552" s="32">
        <v>31385046</v>
      </c>
      <c r="Y552" s="30">
        <f t="shared" si="16"/>
        <v>31385046</v>
      </c>
      <c r="Z552" s="41">
        <f t="shared" si="17"/>
        <v>0</v>
      </c>
    </row>
    <row r="553" spans="1:27" ht="15.75">
      <c r="A553" s="2">
        <v>551</v>
      </c>
      <c r="B553" s="2">
        <v>1585271</v>
      </c>
      <c r="C553" s="2">
        <v>31705952880017</v>
      </c>
      <c r="D553" s="2" t="s">
        <v>145</v>
      </c>
      <c r="E553" s="2">
        <v>5086157</v>
      </c>
      <c r="F553" s="2">
        <v>999174046</v>
      </c>
      <c r="G553" s="3">
        <v>34836</v>
      </c>
      <c r="H553" s="2" t="s">
        <v>278</v>
      </c>
      <c r="I553" s="2" t="s">
        <v>1457</v>
      </c>
      <c r="J553" s="2" t="s">
        <v>1458</v>
      </c>
      <c r="K553" s="2" t="s">
        <v>39</v>
      </c>
      <c r="L553" s="2" t="s">
        <v>57</v>
      </c>
      <c r="M553" s="2">
        <v>5310606</v>
      </c>
      <c r="N553" s="2" t="s">
        <v>72</v>
      </c>
      <c r="O553" s="2" t="s">
        <v>88</v>
      </c>
      <c r="P553" s="2" t="s">
        <v>225</v>
      </c>
      <c r="Q553" s="5">
        <v>44471</v>
      </c>
      <c r="R553" s="2" t="s">
        <v>62</v>
      </c>
      <c r="S553" s="2">
        <v>8</v>
      </c>
      <c r="T553" s="2" t="s">
        <v>33</v>
      </c>
      <c r="U553" s="2" t="s">
        <v>34</v>
      </c>
      <c r="V553" s="29" t="s">
        <v>2792</v>
      </c>
      <c r="W553" s="21">
        <f>9400000+1800000+2400000+2140000+1090000</f>
        <v>16830000</v>
      </c>
      <c r="X553" s="11" t="s">
        <v>2835</v>
      </c>
      <c r="Y553" s="30">
        <f t="shared" si="16"/>
        <v>-16582.5</v>
      </c>
      <c r="Z553" s="41">
        <f t="shared" si="17"/>
        <v>1.0009862658796167</v>
      </c>
    </row>
    <row r="554" spans="1:27" ht="26.25">
      <c r="A554" s="2">
        <v>552</v>
      </c>
      <c r="B554" s="2">
        <v>1143573</v>
      </c>
      <c r="C554" s="2">
        <v>50903025320016</v>
      </c>
      <c r="D554" s="2" t="s">
        <v>22</v>
      </c>
      <c r="E554" s="2">
        <v>1756104</v>
      </c>
      <c r="F554" s="2">
        <v>974540254</v>
      </c>
      <c r="G554" s="3">
        <v>37324</v>
      </c>
      <c r="H554" s="2" t="s">
        <v>1459</v>
      </c>
      <c r="I554" s="2" t="s">
        <v>1460</v>
      </c>
      <c r="J554" s="2" t="s">
        <v>1461</v>
      </c>
      <c r="K554" s="2" t="s">
        <v>39</v>
      </c>
      <c r="L554" s="2" t="s">
        <v>27</v>
      </c>
      <c r="M554" s="2">
        <v>5230903</v>
      </c>
      <c r="N554" s="2" t="s">
        <v>314</v>
      </c>
      <c r="O554" s="2" t="s">
        <v>1089</v>
      </c>
      <c r="P554" s="2" t="s">
        <v>298</v>
      </c>
      <c r="Q554" s="5">
        <v>44471</v>
      </c>
      <c r="R554" s="2" t="s">
        <v>82</v>
      </c>
      <c r="S554" s="2">
        <v>10</v>
      </c>
      <c r="T554" s="2" t="s">
        <v>33</v>
      </c>
      <c r="U554" s="2" t="s">
        <v>34</v>
      </c>
      <c r="V554" s="32">
        <v>26154205</v>
      </c>
      <c r="W554" s="21">
        <v>13077000</v>
      </c>
      <c r="X554" s="11" t="s">
        <v>2643</v>
      </c>
      <c r="Y554" s="30">
        <f t="shared" si="16"/>
        <v>13077205</v>
      </c>
      <c r="Z554" s="41">
        <f t="shared" si="17"/>
        <v>0.4999960809361248</v>
      </c>
    </row>
    <row r="555" spans="1:27" ht="26.25">
      <c r="A555" s="2">
        <v>553</v>
      </c>
      <c r="B555" s="2">
        <v>2093280</v>
      </c>
      <c r="C555" s="2">
        <v>32212950640031</v>
      </c>
      <c r="D555" s="2" t="s">
        <v>145</v>
      </c>
      <c r="E555" s="2">
        <v>7327389</v>
      </c>
      <c r="F555" s="2">
        <v>994412242</v>
      </c>
      <c r="G555" s="3">
        <v>35055</v>
      </c>
      <c r="H555" s="2" t="s">
        <v>1462</v>
      </c>
      <c r="I555" s="2" t="s">
        <v>1463</v>
      </c>
      <c r="J555" s="2" t="s">
        <v>1464</v>
      </c>
      <c r="K555" s="2" t="s">
        <v>39</v>
      </c>
      <c r="L555" s="2" t="s">
        <v>57</v>
      </c>
      <c r="M555" s="2">
        <v>5310701</v>
      </c>
      <c r="N555" s="2" t="s">
        <v>118</v>
      </c>
      <c r="O555" s="2" t="s">
        <v>154</v>
      </c>
      <c r="P555" s="2" t="s">
        <v>207</v>
      </c>
      <c r="Q555" s="5">
        <v>44317</v>
      </c>
      <c r="R555" s="2" t="s">
        <v>62</v>
      </c>
      <c r="S555" s="2">
        <v>8</v>
      </c>
      <c r="T555" s="2" t="s">
        <v>33</v>
      </c>
      <c r="U555" s="2" t="s">
        <v>34</v>
      </c>
      <c r="V555" s="29" t="s">
        <v>2725</v>
      </c>
      <c r="W555" s="21">
        <v>14946000</v>
      </c>
      <c r="X555" s="10" t="s">
        <v>2648</v>
      </c>
      <c r="Y555" s="30">
        <f t="shared" si="16"/>
        <v>-4857949.5</v>
      </c>
      <c r="Z555" s="41">
        <f t="shared" si="17"/>
        <v>1.4815548355948456</v>
      </c>
    </row>
    <row r="556" spans="1:27" ht="26.25">
      <c r="A556" s="2">
        <v>554</v>
      </c>
      <c r="B556" s="2">
        <v>1344910</v>
      </c>
      <c r="C556" s="2">
        <v>31203995680028</v>
      </c>
      <c r="D556" s="2" t="s">
        <v>45</v>
      </c>
      <c r="E556" s="2">
        <v>4090572</v>
      </c>
      <c r="F556" s="2">
        <v>976333040</v>
      </c>
      <c r="G556" s="3">
        <v>36231</v>
      </c>
      <c r="H556" s="2" t="s">
        <v>403</v>
      </c>
      <c r="I556" s="2" t="s">
        <v>944</v>
      </c>
      <c r="J556" s="2" t="s">
        <v>1465</v>
      </c>
      <c r="K556" s="2" t="s">
        <v>26</v>
      </c>
      <c r="L556" s="2" t="s">
        <v>27</v>
      </c>
      <c r="M556" s="2">
        <v>5230903</v>
      </c>
      <c r="N556" s="2" t="s">
        <v>314</v>
      </c>
      <c r="O556" s="2">
        <v>63</v>
      </c>
      <c r="P556" s="2" t="s">
        <v>264</v>
      </c>
      <c r="Q556" s="2" t="s">
        <v>99</v>
      </c>
      <c r="R556" s="2" t="s">
        <v>134</v>
      </c>
      <c r="S556" s="2">
        <v>10</v>
      </c>
      <c r="T556" s="2" t="s">
        <v>33</v>
      </c>
      <c r="U556" s="2" t="s">
        <v>34</v>
      </c>
      <c r="V556" s="32">
        <v>91299300</v>
      </c>
      <c r="Y556" s="30">
        <f t="shared" si="16"/>
        <v>91299300</v>
      </c>
      <c r="Z556" s="41">
        <f t="shared" si="17"/>
        <v>0</v>
      </c>
    </row>
    <row r="557" spans="1:27" ht="15.75">
      <c r="A557" s="2">
        <v>555</v>
      </c>
      <c r="B557" s="2">
        <v>3598485</v>
      </c>
      <c r="C557" s="2">
        <v>52704046590073</v>
      </c>
      <c r="D557" s="2" t="s">
        <v>22</v>
      </c>
      <c r="E557" s="2">
        <v>3136181</v>
      </c>
      <c r="F557" s="2">
        <v>977361131</v>
      </c>
      <c r="G557" s="3">
        <v>38104</v>
      </c>
      <c r="H557" s="2" t="s">
        <v>1466</v>
      </c>
      <c r="I557" s="2" t="s">
        <v>1467</v>
      </c>
      <c r="J557" s="2" t="s">
        <v>545</v>
      </c>
      <c r="K557" s="2" t="s">
        <v>26</v>
      </c>
      <c r="L557" s="2" t="s">
        <v>57</v>
      </c>
      <c r="M557" s="2">
        <v>5310202</v>
      </c>
      <c r="N557" s="2" t="s">
        <v>86</v>
      </c>
      <c r="O557" s="2" t="s">
        <v>179</v>
      </c>
      <c r="P557" s="2" t="s">
        <v>88</v>
      </c>
      <c r="Q557" s="4">
        <v>11110</v>
      </c>
      <c r="R557" s="2" t="s">
        <v>53</v>
      </c>
      <c r="S557" s="2">
        <v>8</v>
      </c>
      <c r="T557" s="2" t="s">
        <v>33</v>
      </c>
      <c r="U557" s="2" t="s">
        <v>34</v>
      </c>
      <c r="V557" s="29">
        <v>46170792</v>
      </c>
      <c r="W557" s="24">
        <v>25650440</v>
      </c>
      <c r="X557" s="15" t="s">
        <v>2627</v>
      </c>
      <c r="Y557" s="30">
        <f t="shared" si="16"/>
        <v>20520352</v>
      </c>
      <c r="Z557" s="41">
        <f t="shared" si="17"/>
        <v>0.55555555555555558</v>
      </c>
    </row>
    <row r="558" spans="1:27" ht="26.25">
      <c r="A558" s="2">
        <v>556</v>
      </c>
      <c r="B558" s="2">
        <v>2606835</v>
      </c>
      <c r="C558" s="2">
        <v>50311026520061</v>
      </c>
      <c r="D558" s="2" t="s">
        <v>22</v>
      </c>
      <c r="E558" s="2">
        <v>400014</v>
      </c>
      <c r="F558" s="2">
        <v>883038887</v>
      </c>
      <c r="G558" s="3">
        <v>37563</v>
      </c>
      <c r="H558" s="2" t="s">
        <v>1468</v>
      </c>
      <c r="I558" s="2" t="s">
        <v>1469</v>
      </c>
      <c r="J558" s="2" t="s">
        <v>1470</v>
      </c>
      <c r="K558" s="2" t="s">
        <v>26</v>
      </c>
      <c r="L558" s="2" t="s">
        <v>57</v>
      </c>
      <c r="M558" s="2">
        <v>5310701</v>
      </c>
      <c r="N558" s="2" t="s">
        <v>118</v>
      </c>
      <c r="O558" s="2" t="s">
        <v>469</v>
      </c>
      <c r="P558" s="2">
        <v>63</v>
      </c>
      <c r="Q558" s="2" t="s">
        <v>81</v>
      </c>
      <c r="R558" s="2" t="s">
        <v>53</v>
      </c>
      <c r="S558" s="2">
        <v>8</v>
      </c>
      <c r="T558" s="2" t="s">
        <v>33</v>
      </c>
      <c r="U558" s="2" t="s">
        <v>34</v>
      </c>
      <c r="V558" s="29">
        <v>92341584</v>
      </c>
      <c r="W558" s="21">
        <v>51300880</v>
      </c>
      <c r="X558" s="10" t="s">
        <v>2630</v>
      </c>
      <c r="Y558" s="30">
        <f t="shared" si="16"/>
        <v>41040704</v>
      </c>
      <c r="Z558" s="41">
        <f t="shared" si="17"/>
        <v>0.55555555555555558</v>
      </c>
    </row>
    <row r="559" spans="1:27" ht="26.25">
      <c r="A559" s="2">
        <v>557</v>
      </c>
      <c r="B559" s="2">
        <v>1887410</v>
      </c>
      <c r="C559" s="2">
        <v>30604940210074</v>
      </c>
      <c r="D559" s="2" t="s">
        <v>145</v>
      </c>
      <c r="E559" s="2">
        <v>6647918</v>
      </c>
      <c r="F559" s="2">
        <v>900445255</v>
      </c>
      <c r="G559" s="3">
        <v>34430</v>
      </c>
      <c r="H559" s="2" t="s">
        <v>1471</v>
      </c>
      <c r="I559" s="2" t="s">
        <v>1472</v>
      </c>
      <c r="J559" s="2" t="s">
        <v>1473</v>
      </c>
      <c r="K559" s="2" t="s">
        <v>26</v>
      </c>
      <c r="L559" s="2" t="s">
        <v>27</v>
      </c>
      <c r="M559" s="2">
        <v>5630103</v>
      </c>
      <c r="N559" s="2" t="s">
        <v>343</v>
      </c>
      <c r="O559" s="2" t="s">
        <v>175</v>
      </c>
      <c r="P559" s="2" t="s">
        <v>345</v>
      </c>
      <c r="Q559" s="2" t="s">
        <v>363</v>
      </c>
      <c r="R559" s="2" t="s">
        <v>53</v>
      </c>
      <c r="S559" s="2">
        <v>8</v>
      </c>
      <c r="T559" s="2" t="s">
        <v>33</v>
      </c>
      <c r="U559" s="2" t="s">
        <v>34</v>
      </c>
      <c r="V559" s="29" t="s">
        <v>2799</v>
      </c>
      <c r="W559" s="21">
        <v>25655000</v>
      </c>
      <c r="X559" s="10" t="s">
        <v>2624</v>
      </c>
      <c r="Y559" s="30">
        <f t="shared" si="16"/>
        <v>20515792</v>
      </c>
      <c r="Z559" s="41">
        <f t="shared" si="17"/>
        <v>0.55565431929346154</v>
      </c>
      <c r="AA559" s="42" t="s">
        <v>2798</v>
      </c>
    </row>
    <row r="560" spans="1:27" ht="63">
      <c r="A560" s="2">
        <v>558</v>
      </c>
      <c r="B560" s="2">
        <v>2748551</v>
      </c>
      <c r="C560" s="2">
        <v>52608026790027</v>
      </c>
      <c r="D560" s="2" t="s">
        <v>22</v>
      </c>
      <c r="E560" s="2">
        <v>451228</v>
      </c>
      <c r="F560" s="2">
        <v>998593265</v>
      </c>
      <c r="G560" s="3">
        <v>37494</v>
      </c>
      <c r="H560" s="2" t="s">
        <v>282</v>
      </c>
      <c r="I560" s="2" t="s">
        <v>1474</v>
      </c>
      <c r="J560" s="2" t="s">
        <v>1475</v>
      </c>
      <c r="K560" s="2" t="s">
        <v>39</v>
      </c>
      <c r="L560" s="2" t="s">
        <v>57</v>
      </c>
      <c r="M560" s="2">
        <v>5620400</v>
      </c>
      <c r="N560" s="2" t="s">
        <v>103</v>
      </c>
      <c r="O560" s="2" t="s">
        <v>207</v>
      </c>
      <c r="P560" s="2" t="s">
        <v>139</v>
      </c>
      <c r="Q560" s="5">
        <v>44317</v>
      </c>
      <c r="R560" s="2" t="s">
        <v>62</v>
      </c>
      <c r="S560" s="2">
        <v>8</v>
      </c>
      <c r="T560" s="2" t="s">
        <v>33</v>
      </c>
      <c r="U560" s="2" t="s">
        <v>34</v>
      </c>
      <c r="V560" s="32">
        <v>11208945</v>
      </c>
      <c r="W560" s="20">
        <f>5600000+1300000+1700000+1000000</f>
        <v>9600000</v>
      </c>
      <c r="X560" s="51" t="s">
        <v>2974</v>
      </c>
      <c r="Y560" s="30">
        <f t="shared" si="16"/>
        <v>1608945</v>
      </c>
      <c r="Z560" s="41">
        <f t="shared" si="17"/>
        <v>0.85645883711624959</v>
      </c>
    </row>
    <row r="561" spans="1:27">
      <c r="A561" s="2">
        <v>559</v>
      </c>
      <c r="B561" s="2">
        <v>1422984</v>
      </c>
      <c r="C561" s="2">
        <v>61307006770010</v>
      </c>
      <c r="D561" s="2" t="s">
        <v>45</v>
      </c>
      <c r="E561" s="2">
        <v>6210223</v>
      </c>
      <c r="F561" s="2">
        <v>944081570</v>
      </c>
      <c r="G561" s="3">
        <v>36720</v>
      </c>
      <c r="H561" s="2" t="s">
        <v>1476</v>
      </c>
      <c r="I561" s="2" t="s">
        <v>1477</v>
      </c>
      <c r="J561" s="2" t="s">
        <v>1478</v>
      </c>
      <c r="K561" s="2" t="s">
        <v>39</v>
      </c>
      <c r="L561" s="2" t="s">
        <v>27</v>
      </c>
      <c r="M561" s="2">
        <v>5310606</v>
      </c>
      <c r="N561" s="2" t="s">
        <v>72</v>
      </c>
      <c r="O561" s="2" t="s">
        <v>60</v>
      </c>
      <c r="P561" s="2" t="s">
        <v>73</v>
      </c>
      <c r="Q561" s="5">
        <v>44492</v>
      </c>
      <c r="R561" s="2" t="s">
        <v>62</v>
      </c>
      <c r="S561" s="2">
        <v>8</v>
      </c>
      <c r="T561" s="2" t="s">
        <v>33</v>
      </c>
      <c r="U561" s="2" t="s">
        <v>34</v>
      </c>
      <c r="V561" s="32">
        <v>59781040</v>
      </c>
      <c r="Y561" s="30">
        <f t="shared" si="16"/>
        <v>59781040</v>
      </c>
      <c r="Z561" s="41">
        <f t="shared" si="17"/>
        <v>0</v>
      </c>
    </row>
    <row r="562" spans="1:27" ht="39">
      <c r="A562" s="2">
        <v>560</v>
      </c>
      <c r="B562" s="2">
        <v>3401168</v>
      </c>
      <c r="C562" s="2">
        <v>61502046590024</v>
      </c>
      <c r="D562" s="2" t="s">
        <v>22</v>
      </c>
      <c r="E562" s="2">
        <v>2724508</v>
      </c>
      <c r="F562" s="2">
        <v>900517011</v>
      </c>
      <c r="G562" s="3">
        <v>38032</v>
      </c>
      <c r="H562" s="2" t="s">
        <v>1479</v>
      </c>
      <c r="I562" s="2" t="s">
        <v>1480</v>
      </c>
      <c r="J562" s="2" t="s">
        <v>1481</v>
      </c>
      <c r="K562" s="2" t="s">
        <v>26</v>
      </c>
      <c r="L562" s="2" t="s">
        <v>27</v>
      </c>
      <c r="M562" s="2">
        <v>5341300</v>
      </c>
      <c r="N562" s="2" t="s">
        <v>92</v>
      </c>
      <c r="O562" s="2" t="s">
        <v>296</v>
      </c>
      <c r="P562" s="2" t="s">
        <v>41</v>
      </c>
      <c r="Q562" s="4">
        <v>45778</v>
      </c>
      <c r="R562" s="2" t="s">
        <v>93</v>
      </c>
      <c r="S562" s="2">
        <v>8</v>
      </c>
      <c r="T562" s="2" t="s">
        <v>33</v>
      </c>
      <c r="U562" s="2" t="s">
        <v>34</v>
      </c>
      <c r="V562" s="32">
        <v>56735520</v>
      </c>
      <c r="Y562" s="30">
        <f t="shared" si="16"/>
        <v>56735520</v>
      </c>
      <c r="Z562" s="41">
        <f t="shared" si="17"/>
        <v>0</v>
      </c>
    </row>
    <row r="563" spans="1:27">
      <c r="A563" s="2">
        <v>561</v>
      </c>
      <c r="B563" s="2">
        <v>3281716</v>
      </c>
      <c r="C563" s="2">
        <v>51405035300013</v>
      </c>
      <c r="D563" s="2" t="s">
        <v>22</v>
      </c>
      <c r="E563" s="2">
        <v>2010683</v>
      </c>
      <c r="F563" s="2">
        <v>936842505</v>
      </c>
      <c r="G563" s="3">
        <v>37755</v>
      </c>
      <c r="H563" s="2" t="s">
        <v>1482</v>
      </c>
      <c r="I563" s="2" t="s">
        <v>1483</v>
      </c>
      <c r="J563" s="2" t="s">
        <v>77</v>
      </c>
      <c r="K563" s="2" t="s">
        <v>26</v>
      </c>
      <c r="L563" s="2" t="s">
        <v>27</v>
      </c>
      <c r="M563" s="2">
        <v>5240109</v>
      </c>
      <c r="N563" s="2" t="s">
        <v>28</v>
      </c>
      <c r="O563" s="2" t="s">
        <v>309</v>
      </c>
      <c r="P563" s="2" t="s">
        <v>30</v>
      </c>
      <c r="Q563" s="2" t="s">
        <v>310</v>
      </c>
      <c r="R563" s="2" t="s">
        <v>32</v>
      </c>
      <c r="S563" s="2">
        <v>25</v>
      </c>
      <c r="T563" s="2" t="s">
        <v>33</v>
      </c>
      <c r="U563" s="2" t="s">
        <v>34</v>
      </c>
      <c r="V563" s="32">
        <v>245231500</v>
      </c>
      <c r="Y563" s="30">
        <f t="shared" si="16"/>
        <v>245231500</v>
      </c>
      <c r="Z563" s="41">
        <f t="shared" si="17"/>
        <v>0</v>
      </c>
    </row>
    <row r="564" spans="1:27" ht="26.25">
      <c r="A564" s="2">
        <v>562</v>
      </c>
      <c r="B564" s="2">
        <v>3471580</v>
      </c>
      <c r="C564" s="2">
        <v>62605037100040</v>
      </c>
      <c r="D564" s="2" t="s">
        <v>74</v>
      </c>
      <c r="E564" s="2">
        <v>158330</v>
      </c>
      <c r="F564" s="2">
        <v>901126629</v>
      </c>
      <c r="G564" s="3">
        <v>37767</v>
      </c>
      <c r="H564" s="2" t="s">
        <v>1484</v>
      </c>
      <c r="I564" s="2" t="s">
        <v>1485</v>
      </c>
      <c r="J564" s="2" t="s">
        <v>1201</v>
      </c>
      <c r="K564" s="2" t="s">
        <v>39</v>
      </c>
      <c r="L564" s="2" t="s">
        <v>57</v>
      </c>
      <c r="M564" s="2">
        <v>5350701</v>
      </c>
      <c r="N564" s="2" t="s">
        <v>338</v>
      </c>
      <c r="O564" s="2" t="s">
        <v>41</v>
      </c>
      <c r="P564" s="2" t="s">
        <v>104</v>
      </c>
      <c r="Q564" s="5">
        <v>44471</v>
      </c>
      <c r="R564" s="2" t="s">
        <v>44</v>
      </c>
      <c r="S564" s="2">
        <v>8</v>
      </c>
      <c r="T564" s="2" t="s">
        <v>33</v>
      </c>
      <c r="U564" s="2" t="s">
        <v>34</v>
      </c>
      <c r="V564" s="29" t="s">
        <v>2729</v>
      </c>
      <c r="W564" s="20">
        <v>9248000</v>
      </c>
      <c r="X564" s="2" t="s">
        <v>2680</v>
      </c>
      <c r="Y564" s="30">
        <f t="shared" si="16"/>
        <v>9246759.25</v>
      </c>
      <c r="Z564" s="41">
        <f t="shared" si="17"/>
        <v>0.50003354328605276</v>
      </c>
    </row>
    <row r="565" spans="1:27" ht="26.25">
      <c r="A565" s="2">
        <v>563</v>
      </c>
      <c r="B565" s="2">
        <v>1067888</v>
      </c>
      <c r="C565" s="2">
        <v>61006025430014</v>
      </c>
      <c r="D565" s="2" t="s">
        <v>22</v>
      </c>
      <c r="E565" s="2">
        <v>818626</v>
      </c>
      <c r="F565" s="2">
        <v>934027310</v>
      </c>
      <c r="G565" s="3">
        <v>37417</v>
      </c>
      <c r="H565" s="2" t="s">
        <v>1486</v>
      </c>
      <c r="I565" s="2" t="s">
        <v>1487</v>
      </c>
      <c r="J565" s="2" t="s">
        <v>1488</v>
      </c>
      <c r="K565" s="2" t="s">
        <v>26</v>
      </c>
      <c r="L565" s="2" t="s">
        <v>27</v>
      </c>
      <c r="M565" s="2">
        <v>5320102</v>
      </c>
      <c r="N565" s="2" t="s">
        <v>138</v>
      </c>
      <c r="O565" s="2" t="s">
        <v>41</v>
      </c>
      <c r="P565" s="2" t="s">
        <v>154</v>
      </c>
      <c r="Q565" s="4">
        <v>42064</v>
      </c>
      <c r="R565" s="2" t="s">
        <v>53</v>
      </c>
      <c r="S565" s="2">
        <v>8</v>
      </c>
      <c r="T565" s="2" t="s">
        <v>33</v>
      </c>
      <c r="U565" s="2" t="s">
        <v>34</v>
      </c>
      <c r="V565" s="32">
        <v>19237830</v>
      </c>
      <c r="W565" s="21">
        <v>10238000</v>
      </c>
      <c r="X565" s="11" t="s">
        <v>2647</v>
      </c>
      <c r="Y565" s="30">
        <f t="shared" si="16"/>
        <v>8999830</v>
      </c>
      <c r="Z565" s="41">
        <f t="shared" si="17"/>
        <v>0.53218060456922633</v>
      </c>
    </row>
    <row r="566" spans="1:27">
      <c r="A566" s="2">
        <v>564</v>
      </c>
      <c r="B566" s="2">
        <v>2218772</v>
      </c>
      <c r="C566" s="2">
        <v>62409016500016</v>
      </c>
      <c r="D566" s="2" t="s">
        <v>45</v>
      </c>
      <c r="E566" s="2">
        <v>7856134</v>
      </c>
      <c r="F566" s="2">
        <v>901869886</v>
      </c>
      <c r="G566" s="3">
        <v>37158</v>
      </c>
      <c r="H566" s="2" t="s">
        <v>1489</v>
      </c>
      <c r="I566" s="2" t="s">
        <v>1490</v>
      </c>
      <c r="J566" s="2" t="s">
        <v>1491</v>
      </c>
      <c r="K566" s="2" t="s">
        <v>39</v>
      </c>
      <c r="L566" s="2" t="s">
        <v>27</v>
      </c>
      <c r="M566" s="2">
        <v>5230104</v>
      </c>
      <c r="N566" s="2" t="s">
        <v>78</v>
      </c>
      <c r="O566" s="2" t="s">
        <v>155</v>
      </c>
      <c r="P566" s="2" t="s">
        <v>80</v>
      </c>
      <c r="Q566" s="2" t="s">
        <v>59</v>
      </c>
      <c r="R566" s="2" t="s">
        <v>82</v>
      </c>
      <c r="S566" s="2">
        <v>10</v>
      </c>
      <c r="T566" s="2" t="s">
        <v>33</v>
      </c>
      <c r="U566" s="2" t="s">
        <v>34</v>
      </c>
      <c r="V566" s="32">
        <v>104616820</v>
      </c>
      <c r="Y566" s="30">
        <f t="shared" si="16"/>
        <v>104616820</v>
      </c>
      <c r="Z566" s="41">
        <f t="shared" si="17"/>
        <v>0</v>
      </c>
    </row>
    <row r="567" spans="1:27" ht="39">
      <c r="A567" s="2">
        <v>565</v>
      </c>
      <c r="B567" s="2">
        <v>2031982</v>
      </c>
      <c r="C567" s="2">
        <v>31409966520058</v>
      </c>
      <c r="D567" s="2" t="s">
        <v>145</v>
      </c>
      <c r="E567" s="2">
        <v>282674</v>
      </c>
      <c r="F567" s="2">
        <v>887018811</v>
      </c>
      <c r="G567" s="3">
        <v>35322</v>
      </c>
      <c r="H567" s="2" t="s">
        <v>1394</v>
      </c>
      <c r="I567" s="2" t="s">
        <v>1492</v>
      </c>
      <c r="J567" s="2" t="s">
        <v>1493</v>
      </c>
      <c r="K567" s="2" t="s">
        <v>39</v>
      </c>
      <c r="L567" s="2" t="s">
        <v>27</v>
      </c>
      <c r="M567" s="2">
        <v>5340401</v>
      </c>
      <c r="N567" s="2" t="s">
        <v>349</v>
      </c>
      <c r="O567" s="2" t="s">
        <v>175</v>
      </c>
      <c r="P567" s="2" t="s">
        <v>350</v>
      </c>
      <c r="Q567" s="4">
        <v>42064</v>
      </c>
      <c r="R567" s="2" t="s">
        <v>44</v>
      </c>
      <c r="S567" s="2">
        <v>8</v>
      </c>
      <c r="T567" s="2" t="s">
        <v>33</v>
      </c>
      <c r="U567" s="2" t="s">
        <v>34</v>
      </c>
      <c r="V567" s="47">
        <f>24659679-2465967.9</f>
        <v>22193711.100000001</v>
      </c>
      <c r="W567" s="20">
        <f>11097000+1250000</f>
        <v>12347000</v>
      </c>
      <c r="X567" s="2" t="s">
        <v>2752</v>
      </c>
      <c r="Y567" s="30">
        <f t="shared" si="16"/>
        <v>9846711.1000000015</v>
      </c>
      <c r="Z567" s="41">
        <f t="shared" si="17"/>
        <v>0.55632877009019011</v>
      </c>
      <c r="AA567" s="42" t="s">
        <v>2798</v>
      </c>
    </row>
    <row r="568" spans="1:27" ht="26.25">
      <c r="A568" s="2">
        <v>566</v>
      </c>
      <c r="B568" s="2">
        <v>2102567</v>
      </c>
      <c r="C568" s="2">
        <v>52309006700013</v>
      </c>
      <c r="D568" s="2" t="s">
        <v>22</v>
      </c>
      <c r="E568" s="2">
        <v>2739900</v>
      </c>
      <c r="F568" s="2">
        <v>993629159</v>
      </c>
      <c r="G568" s="3">
        <v>36792</v>
      </c>
      <c r="H568" s="2" t="s">
        <v>531</v>
      </c>
      <c r="I568" s="2" t="s">
        <v>1343</v>
      </c>
      <c r="J568" s="2" t="s">
        <v>794</v>
      </c>
      <c r="K568" s="2" t="s">
        <v>39</v>
      </c>
      <c r="L568" s="2" t="s">
        <v>27</v>
      </c>
      <c r="M568" s="2">
        <v>5310605</v>
      </c>
      <c r="N568" s="2" t="s">
        <v>97</v>
      </c>
      <c r="O568" s="2" t="s">
        <v>207</v>
      </c>
      <c r="P568" s="2" t="s">
        <v>79</v>
      </c>
      <c r="Q568" s="2" t="s">
        <v>170</v>
      </c>
      <c r="R568" s="2" t="s">
        <v>62</v>
      </c>
      <c r="S568" s="2">
        <v>8</v>
      </c>
      <c r="T568" s="2" t="s">
        <v>33</v>
      </c>
      <c r="U568" s="2" t="s">
        <v>34</v>
      </c>
      <c r="V568" s="32">
        <v>59781040</v>
      </c>
      <c r="Y568" s="30">
        <f t="shared" si="16"/>
        <v>59781040</v>
      </c>
      <c r="Z568" s="41">
        <f t="shared" si="17"/>
        <v>0</v>
      </c>
    </row>
    <row r="569" spans="1:27">
      <c r="A569" s="2">
        <v>567</v>
      </c>
      <c r="B569" s="2">
        <v>3569356</v>
      </c>
      <c r="C569" s="2">
        <v>52006037120020</v>
      </c>
      <c r="D569" s="2" t="s">
        <v>22</v>
      </c>
      <c r="E569" s="2">
        <v>2112338</v>
      </c>
      <c r="F569" s="2">
        <v>974452444</v>
      </c>
      <c r="G569" s="3">
        <v>37792</v>
      </c>
      <c r="H569" s="2" t="s">
        <v>1494</v>
      </c>
      <c r="I569" s="2" t="s">
        <v>1495</v>
      </c>
      <c r="J569" s="2" t="s">
        <v>618</v>
      </c>
      <c r="K569" s="2" t="s">
        <v>39</v>
      </c>
      <c r="L569" s="2" t="s">
        <v>57</v>
      </c>
      <c r="M569" s="2">
        <v>5620400</v>
      </c>
      <c r="N569" s="2" t="s">
        <v>103</v>
      </c>
      <c r="O569" s="2" t="s">
        <v>211</v>
      </c>
      <c r="P569" s="2" t="s">
        <v>139</v>
      </c>
      <c r="Q569" s="2" t="s">
        <v>277</v>
      </c>
      <c r="R569" s="2" t="s">
        <v>62</v>
      </c>
      <c r="S569" s="2">
        <v>8</v>
      </c>
      <c r="T569" s="2" t="s">
        <v>33</v>
      </c>
      <c r="U569" s="2" t="s">
        <v>34</v>
      </c>
      <c r="V569" s="32">
        <v>119562080</v>
      </c>
      <c r="Y569" s="30">
        <f t="shared" si="16"/>
        <v>119562080</v>
      </c>
      <c r="Z569" s="41">
        <f t="shared" si="17"/>
        <v>0</v>
      </c>
    </row>
    <row r="570" spans="1:27" ht="26.25">
      <c r="A570" s="2">
        <v>568</v>
      </c>
      <c r="B570" s="2">
        <v>1768024</v>
      </c>
      <c r="C570" s="2">
        <v>31010997230021</v>
      </c>
      <c r="D570" s="2" t="s">
        <v>35</v>
      </c>
      <c r="E570" s="2">
        <v>1074212</v>
      </c>
      <c r="F570" s="2">
        <v>900491999</v>
      </c>
      <c r="G570" s="3">
        <v>36443</v>
      </c>
      <c r="H570" s="2" t="s">
        <v>1421</v>
      </c>
      <c r="I570" s="2" t="s">
        <v>1496</v>
      </c>
      <c r="J570" s="2" t="s">
        <v>1333</v>
      </c>
      <c r="K570" s="2" t="s">
        <v>26</v>
      </c>
      <c r="L570" s="2" t="s">
        <v>57</v>
      </c>
      <c r="M570" s="2">
        <v>5620701</v>
      </c>
      <c r="N570" s="2" t="s">
        <v>218</v>
      </c>
      <c r="O570" s="2" t="s">
        <v>439</v>
      </c>
      <c r="P570" s="2" t="s">
        <v>104</v>
      </c>
      <c r="Q570" s="2" t="s">
        <v>43</v>
      </c>
      <c r="R570" s="2" t="s">
        <v>53</v>
      </c>
      <c r="S570" s="2">
        <v>8</v>
      </c>
      <c r="T570" s="2" t="s">
        <v>33</v>
      </c>
      <c r="U570" s="2" t="s">
        <v>34</v>
      </c>
      <c r="V570" s="29" t="s">
        <v>2757</v>
      </c>
      <c r="W570" s="21">
        <f>51300000+41040000</f>
        <v>92340000</v>
      </c>
      <c r="X570" s="10" t="s">
        <v>2842</v>
      </c>
      <c r="Y570" s="30">
        <f t="shared" si="16"/>
        <v>1584</v>
      </c>
      <c r="Z570" s="41">
        <f t="shared" si="17"/>
        <v>0.99998284629815315</v>
      </c>
      <c r="AA570" s="42" t="s">
        <v>2798</v>
      </c>
    </row>
    <row r="571" spans="1:27" ht="15.75">
      <c r="A571" s="2">
        <v>569</v>
      </c>
      <c r="B571" s="2">
        <v>3310978</v>
      </c>
      <c r="C571" s="2">
        <v>50812036720037</v>
      </c>
      <c r="D571" s="2" t="s">
        <v>22</v>
      </c>
      <c r="E571" s="2">
        <v>2593900</v>
      </c>
      <c r="F571" s="2">
        <v>997750585</v>
      </c>
      <c r="G571" s="3">
        <v>37963</v>
      </c>
      <c r="H571" s="2" t="s">
        <v>1497</v>
      </c>
      <c r="I571" s="2" t="s">
        <v>1037</v>
      </c>
      <c r="J571" s="2" t="s">
        <v>1498</v>
      </c>
      <c r="K571" s="2" t="s">
        <v>26</v>
      </c>
      <c r="L571" s="2" t="s">
        <v>27</v>
      </c>
      <c r="M571" s="2">
        <v>5620400</v>
      </c>
      <c r="N571" s="2" t="s">
        <v>103</v>
      </c>
      <c r="O571" s="2" t="s">
        <v>469</v>
      </c>
      <c r="P571" s="2" t="s">
        <v>105</v>
      </c>
      <c r="Q571" s="2" t="s">
        <v>154</v>
      </c>
      <c r="R571" s="2" t="s">
        <v>53</v>
      </c>
      <c r="S571" s="2">
        <v>8</v>
      </c>
      <c r="T571" s="2" t="s">
        <v>33</v>
      </c>
      <c r="U571" s="2" t="s">
        <v>34</v>
      </c>
      <c r="V571" s="29">
        <v>92341584</v>
      </c>
      <c r="W571" s="21">
        <v>50000000</v>
      </c>
      <c r="X571" s="10" t="s">
        <v>2652</v>
      </c>
      <c r="Y571" s="30">
        <f t="shared" si="16"/>
        <v>42341584</v>
      </c>
      <c r="Z571" s="41">
        <f t="shared" si="17"/>
        <v>0.54146786132670199</v>
      </c>
    </row>
    <row r="572" spans="1:27" ht="26.25">
      <c r="A572" s="2">
        <v>570</v>
      </c>
      <c r="B572" s="2">
        <v>1450038</v>
      </c>
      <c r="C572" s="2">
        <v>52108016530021</v>
      </c>
      <c r="D572" s="2" t="s">
        <v>45</v>
      </c>
      <c r="E572" s="2">
        <v>7641279</v>
      </c>
      <c r="F572" s="2">
        <v>990005687</v>
      </c>
      <c r="G572" s="3">
        <v>37124</v>
      </c>
      <c r="H572" s="2" t="s">
        <v>1499</v>
      </c>
      <c r="I572" s="2" t="s">
        <v>1500</v>
      </c>
      <c r="J572" s="2" t="s">
        <v>1333</v>
      </c>
      <c r="K572" s="2" t="s">
        <v>39</v>
      </c>
      <c r="L572" s="2" t="s">
        <v>57</v>
      </c>
      <c r="M572" s="2">
        <v>5310701</v>
      </c>
      <c r="N572" s="2" t="s">
        <v>118</v>
      </c>
      <c r="O572" s="2" t="s">
        <v>104</v>
      </c>
      <c r="P572" s="2" t="s">
        <v>207</v>
      </c>
      <c r="Q572" s="5">
        <v>44471</v>
      </c>
      <c r="R572" s="2" t="s">
        <v>62</v>
      </c>
      <c r="S572" s="2">
        <v>8</v>
      </c>
      <c r="T572" s="2" t="s">
        <v>33</v>
      </c>
      <c r="U572" s="2" t="s">
        <v>34</v>
      </c>
      <c r="V572" s="32">
        <v>18681575</v>
      </c>
      <c r="W572" s="21">
        <v>9340788</v>
      </c>
      <c r="X572" s="12" t="s">
        <v>2667</v>
      </c>
      <c r="Y572" s="30">
        <f t="shared" si="16"/>
        <v>9340787</v>
      </c>
      <c r="Z572" s="41">
        <f t="shared" si="17"/>
        <v>0.50000002676433863</v>
      </c>
    </row>
    <row r="573" spans="1:27" ht="26.25">
      <c r="A573" s="2">
        <v>571</v>
      </c>
      <c r="B573" s="2">
        <v>2442213</v>
      </c>
      <c r="C573" s="2">
        <v>52501026500013</v>
      </c>
      <c r="D573" s="2" t="s">
        <v>45</v>
      </c>
      <c r="E573" s="2">
        <v>8768905</v>
      </c>
      <c r="F573" s="2">
        <v>935729533</v>
      </c>
      <c r="G573" s="3">
        <v>37281</v>
      </c>
      <c r="H573" s="2" t="s">
        <v>1501</v>
      </c>
      <c r="I573" s="2" t="s">
        <v>1502</v>
      </c>
      <c r="J573" s="2" t="s">
        <v>598</v>
      </c>
      <c r="K573" s="2" t="s">
        <v>39</v>
      </c>
      <c r="L573" s="2" t="s">
        <v>27</v>
      </c>
      <c r="M573" s="2">
        <v>5320102</v>
      </c>
      <c r="N573" s="2" t="s">
        <v>138</v>
      </c>
      <c r="O573" s="2" t="s">
        <v>175</v>
      </c>
      <c r="P573" s="2" t="s">
        <v>140</v>
      </c>
      <c r="Q573" s="5">
        <v>44317</v>
      </c>
      <c r="R573" s="2" t="s">
        <v>62</v>
      </c>
      <c r="S573" s="2">
        <v>8</v>
      </c>
      <c r="T573" s="2" t="s">
        <v>33</v>
      </c>
      <c r="U573" s="2" t="s">
        <v>34</v>
      </c>
      <c r="V573" s="32">
        <v>11208945</v>
      </c>
      <c r="W573" s="21">
        <v>7472630</v>
      </c>
      <c r="X573" s="10" t="s">
        <v>2664</v>
      </c>
      <c r="Y573" s="30">
        <f t="shared" si="16"/>
        <v>3736315</v>
      </c>
      <c r="Z573" s="41">
        <f t="shared" si="17"/>
        <v>0.66666666666666663</v>
      </c>
    </row>
    <row r="574" spans="1:27" ht="15.75">
      <c r="A574" s="2">
        <v>572</v>
      </c>
      <c r="B574" s="2">
        <v>1430493</v>
      </c>
      <c r="C574" s="2">
        <v>50104005730063</v>
      </c>
      <c r="D574" s="2" t="s">
        <v>45</v>
      </c>
      <c r="E574" s="2">
        <v>8493868</v>
      </c>
      <c r="F574" s="2">
        <v>913204551</v>
      </c>
      <c r="G574" s="3">
        <v>36617</v>
      </c>
      <c r="H574" s="2" t="s">
        <v>46</v>
      </c>
      <c r="I574" s="2" t="s">
        <v>1503</v>
      </c>
      <c r="J574" s="2" t="s">
        <v>1504</v>
      </c>
      <c r="K574" s="2" t="s">
        <v>39</v>
      </c>
      <c r="L574" s="2" t="s">
        <v>27</v>
      </c>
      <c r="M574" s="2">
        <v>5620101</v>
      </c>
      <c r="N574" s="2" t="s">
        <v>49</v>
      </c>
      <c r="O574" s="2" t="s">
        <v>122</v>
      </c>
      <c r="P574" s="2" t="s">
        <v>264</v>
      </c>
      <c r="Q574" s="2" t="s">
        <v>578</v>
      </c>
      <c r="R574" s="2" t="s">
        <v>62</v>
      </c>
      <c r="S574" s="2">
        <v>8</v>
      </c>
      <c r="T574" s="2" t="s">
        <v>33</v>
      </c>
      <c r="U574" s="2" t="s">
        <v>34</v>
      </c>
      <c r="V574" s="32">
        <v>59781040</v>
      </c>
      <c r="W574" s="22">
        <v>30000000</v>
      </c>
      <c r="X574" s="16" t="s">
        <v>2677</v>
      </c>
      <c r="Y574" s="30">
        <f t="shared" si="16"/>
        <v>29781040</v>
      </c>
      <c r="Z574" s="41">
        <f t="shared" si="17"/>
        <v>0.50183134987280253</v>
      </c>
    </row>
    <row r="575" spans="1:27" ht="26.25">
      <c r="A575" s="2">
        <v>573</v>
      </c>
      <c r="B575" s="2">
        <v>3555444</v>
      </c>
      <c r="C575" s="2">
        <v>51612037150012</v>
      </c>
      <c r="D575" s="2" t="s">
        <v>22</v>
      </c>
      <c r="E575" s="2">
        <v>2638742</v>
      </c>
      <c r="F575" s="2">
        <v>937454757</v>
      </c>
      <c r="G575" s="3">
        <v>37971</v>
      </c>
      <c r="H575" s="2" t="s">
        <v>1505</v>
      </c>
      <c r="I575" s="2" t="s">
        <v>1506</v>
      </c>
      <c r="J575" s="2" t="s">
        <v>1507</v>
      </c>
      <c r="K575" s="2" t="s">
        <v>39</v>
      </c>
      <c r="L575" s="2" t="s">
        <v>27</v>
      </c>
      <c r="M575" s="2">
        <v>5310601</v>
      </c>
      <c r="N575" s="2" t="s">
        <v>153</v>
      </c>
      <c r="O575" s="2" t="s">
        <v>175</v>
      </c>
      <c r="P575" s="2" t="s">
        <v>79</v>
      </c>
      <c r="Q575" s="4">
        <v>20394</v>
      </c>
      <c r="R575" s="2" t="s">
        <v>62</v>
      </c>
      <c r="S575" s="2">
        <v>8</v>
      </c>
      <c r="T575" s="2" t="s">
        <v>33</v>
      </c>
      <c r="U575" s="2" t="s">
        <v>34</v>
      </c>
      <c r="V575" s="29" t="s">
        <v>2748</v>
      </c>
      <c r="W575" s="22">
        <f>14000000+14010000+990000+15000000</f>
        <v>44000000</v>
      </c>
      <c r="X575" s="16" t="s">
        <v>2932</v>
      </c>
      <c r="Y575" s="30">
        <f t="shared" si="16"/>
        <v>9802936</v>
      </c>
      <c r="Z575" s="41">
        <f t="shared" si="17"/>
        <v>0.8177992368297522</v>
      </c>
      <c r="AA575" s="42" t="s">
        <v>2798</v>
      </c>
    </row>
    <row r="576" spans="1:27" ht="39">
      <c r="A576" s="2">
        <v>574</v>
      </c>
      <c r="B576" s="2">
        <v>1047777</v>
      </c>
      <c r="C576" s="2">
        <v>50405025140026</v>
      </c>
      <c r="D576" s="2" t="s">
        <v>45</v>
      </c>
      <c r="E576" s="2">
        <v>9552650</v>
      </c>
      <c r="F576" s="2">
        <v>914907262</v>
      </c>
      <c r="G576" s="3">
        <v>37380</v>
      </c>
      <c r="H576" s="2" t="s">
        <v>430</v>
      </c>
      <c r="I576" s="2" t="s">
        <v>505</v>
      </c>
      <c r="J576" s="2" t="s">
        <v>624</v>
      </c>
      <c r="K576" s="2" t="s">
        <v>39</v>
      </c>
      <c r="L576" s="2" t="s">
        <v>27</v>
      </c>
      <c r="M576" s="2">
        <v>5320200</v>
      </c>
      <c r="N576" s="2" t="s">
        <v>66</v>
      </c>
      <c r="O576" s="2" t="s">
        <v>225</v>
      </c>
      <c r="P576" s="2" t="s">
        <v>68</v>
      </c>
      <c r="Q576" s="2" t="s">
        <v>111</v>
      </c>
      <c r="R576" s="2" t="s">
        <v>62</v>
      </c>
      <c r="S576" s="2">
        <v>8</v>
      </c>
      <c r="T576" s="2" t="s">
        <v>33</v>
      </c>
      <c r="U576" s="2" t="s">
        <v>34</v>
      </c>
      <c r="V576" s="32">
        <v>59781040</v>
      </c>
      <c r="Y576" s="30">
        <f t="shared" si="16"/>
        <v>59781040</v>
      </c>
      <c r="Z576" s="41">
        <f t="shared" si="17"/>
        <v>0</v>
      </c>
    </row>
    <row r="577" spans="1:27">
      <c r="A577" s="2">
        <v>575</v>
      </c>
      <c r="B577" s="2">
        <v>3343389</v>
      </c>
      <c r="C577" s="2">
        <v>60103037360047</v>
      </c>
      <c r="D577" s="2" t="s">
        <v>74</v>
      </c>
      <c r="E577" s="2">
        <v>176373</v>
      </c>
      <c r="F577" s="2">
        <v>907080103</v>
      </c>
      <c r="G577" s="3">
        <v>37681</v>
      </c>
      <c r="H577" s="2" t="s">
        <v>1508</v>
      </c>
      <c r="I577" s="2" t="s">
        <v>1509</v>
      </c>
      <c r="J577" s="2" t="s">
        <v>1510</v>
      </c>
      <c r="K577" s="2" t="s">
        <v>39</v>
      </c>
      <c r="L577" s="2" t="s">
        <v>57</v>
      </c>
      <c r="M577" s="2">
        <v>5310400</v>
      </c>
      <c r="N577" s="2" t="s">
        <v>232</v>
      </c>
      <c r="O577" s="2" t="s">
        <v>154</v>
      </c>
      <c r="P577" s="2" t="s">
        <v>139</v>
      </c>
      <c r="Q577" s="5">
        <v>44471</v>
      </c>
      <c r="R577" s="2" t="s">
        <v>62</v>
      </c>
      <c r="S577" s="2">
        <v>8</v>
      </c>
      <c r="T577" s="2" t="s">
        <v>33</v>
      </c>
      <c r="U577" s="2" t="s">
        <v>34</v>
      </c>
      <c r="V577" s="29" t="s">
        <v>2723</v>
      </c>
      <c r="Y577" s="30">
        <f t="shared" si="16"/>
        <v>16813417.5</v>
      </c>
      <c r="Z577" s="41">
        <f t="shared" si="17"/>
        <v>0</v>
      </c>
    </row>
    <row r="578" spans="1:27" ht="26.25">
      <c r="A578" s="2">
        <v>576</v>
      </c>
      <c r="B578" s="2">
        <v>3251799</v>
      </c>
      <c r="C578" s="2">
        <v>50109037250057</v>
      </c>
      <c r="D578" s="2" t="s">
        <v>35</v>
      </c>
      <c r="E578" s="2">
        <v>1312081</v>
      </c>
      <c r="F578" s="2">
        <v>999555556</v>
      </c>
      <c r="G578" s="3">
        <v>37865</v>
      </c>
      <c r="H578" s="2" t="s">
        <v>926</v>
      </c>
      <c r="I578" s="2" t="s">
        <v>1511</v>
      </c>
      <c r="J578" s="2" t="s">
        <v>1512</v>
      </c>
      <c r="K578" s="2" t="s">
        <v>26</v>
      </c>
      <c r="L578" s="2" t="s">
        <v>57</v>
      </c>
      <c r="M578" s="2">
        <v>5310603</v>
      </c>
      <c r="N578" s="2" t="s">
        <v>295</v>
      </c>
      <c r="O578" s="2" t="s">
        <v>281</v>
      </c>
      <c r="P578" s="2" t="s">
        <v>60</v>
      </c>
      <c r="Q578" s="5">
        <v>44317</v>
      </c>
      <c r="R578" s="2" t="s">
        <v>53</v>
      </c>
      <c r="S578" s="2">
        <v>8</v>
      </c>
      <c r="T578" s="2" t="s">
        <v>33</v>
      </c>
      <c r="U578" s="2" t="s">
        <v>34</v>
      </c>
      <c r="V578" s="32">
        <v>102601760</v>
      </c>
      <c r="Y578" s="30">
        <f t="shared" si="16"/>
        <v>102601760</v>
      </c>
      <c r="Z578" s="41">
        <f t="shared" si="17"/>
        <v>0</v>
      </c>
    </row>
    <row r="579" spans="1:27" ht="39">
      <c r="A579" s="2">
        <v>577</v>
      </c>
      <c r="B579" s="2">
        <v>1174743</v>
      </c>
      <c r="C579" s="2">
        <v>50708015840011</v>
      </c>
      <c r="D579" s="2" t="s">
        <v>45</v>
      </c>
      <c r="E579" s="2">
        <v>7466823</v>
      </c>
      <c r="F579" s="2">
        <v>913381499</v>
      </c>
      <c r="G579" s="3">
        <v>37110</v>
      </c>
      <c r="H579" s="2" t="s">
        <v>1513</v>
      </c>
      <c r="I579" s="2" t="s">
        <v>1514</v>
      </c>
      <c r="J579" s="2" t="s">
        <v>1515</v>
      </c>
      <c r="K579" s="2" t="s">
        <v>39</v>
      </c>
      <c r="L579" s="2" t="s">
        <v>57</v>
      </c>
      <c r="M579" s="2">
        <v>5311003</v>
      </c>
      <c r="N579" s="2" t="s">
        <v>144</v>
      </c>
      <c r="O579" s="2" t="s">
        <v>207</v>
      </c>
      <c r="P579" s="2" t="s">
        <v>155</v>
      </c>
      <c r="Q579" s="5">
        <v>44471</v>
      </c>
      <c r="R579" s="2" t="s">
        <v>62</v>
      </c>
      <c r="S579" s="2">
        <v>8</v>
      </c>
      <c r="T579" s="2" t="s">
        <v>33</v>
      </c>
      <c r="U579" s="2" t="s">
        <v>34</v>
      </c>
      <c r="V579" s="32">
        <v>18681575</v>
      </c>
      <c r="W579" s="20">
        <v>10000000</v>
      </c>
      <c r="X579" s="2" t="s">
        <v>2698</v>
      </c>
      <c r="Y579" s="30">
        <f t="shared" si="16"/>
        <v>8681575</v>
      </c>
      <c r="Z579" s="41">
        <f t="shared" si="17"/>
        <v>0.53528677319765594</v>
      </c>
    </row>
    <row r="580" spans="1:27" ht="26.25">
      <c r="A580" s="2">
        <v>578</v>
      </c>
      <c r="B580" s="2">
        <v>2321208</v>
      </c>
      <c r="C580" s="2">
        <v>51703026900012</v>
      </c>
      <c r="D580" s="2" t="s">
        <v>22</v>
      </c>
      <c r="E580" s="2">
        <v>271099</v>
      </c>
      <c r="F580" s="2">
        <v>934183969</v>
      </c>
      <c r="G580" s="3">
        <v>37332</v>
      </c>
      <c r="H580" s="2" t="s">
        <v>695</v>
      </c>
      <c r="I580" s="2" t="s">
        <v>1516</v>
      </c>
      <c r="J580" s="2" t="s">
        <v>1517</v>
      </c>
      <c r="K580" s="2" t="s">
        <v>39</v>
      </c>
      <c r="L580" s="2" t="s">
        <v>27</v>
      </c>
      <c r="M580" s="2">
        <v>5640202</v>
      </c>
      <c r="N580" s="2" t="s">
        <v>240</v>
      </c>
      <c r="O580" s="2" t="s">
        <v>629</v>
      </c>
      <c r="P580" s="2" t="s">
        <v>241</v>
      </c>
      <c r="Q580" s="5">
        <v>44317</v>
      </c>
      <c r="R580" s="2" t="s">
        <v>62</v>
      </c>
      <c r="S580" s="2">
        <v>8</v>
      </c>
      <c r="T580" s="2" t="s">
        <v>33</v>
      </c>
      <c r="U580" s="2" t="s">
        <v>34</v>
      </c>
      <c r="V580" s="32">
        <v>11208945</v>
      </c>
      <c r="W580" s="21">
        <v>5605000</v>
      </c>
      <c r="X580" s="12" t="s">
        <v>2643</v>
      </c>
      <c r="Y580" s="30">
        <f t="shared" ref="Y580:Y643" si="18">V580-W580</f>
        <v>5603945</v>
      </c>
      <c r="Z580" s="41">
        <f t="shared" ref="Z580:Z643" si="19">W580/V580</f>
        <v>0.50004706062881032</v>
      </c>
    </row>
    <row r="581" spans="1:27">
      <c r="A581" s="2">
        <v>579</v>
      </c>
      <c r="B581" s="2">
        <v>2146915</v>
      </c>
      <c r="C581" s="2">
        <v>52209016810024</v>
      </c>
      <c r="D581" s="2" t="s">
        <v>45</v>
      </c>
      <c r="E581" s="2">
        <v>7880507</v>
      </c>
      <c r="F581" s="2">
        <v>946270922</v>
      </c>
      <c r="G581" s="3">
        <v>37156</v>
      </c>
      <c r="H581" s="2" t="s">
        <v>1518</v>
      </c>
      <c r="I581" s="2" t="s">
        <v>1519</v>
      </c>
      <c r="J581" s="2" t="s">
        <v>1520</v>
      </c>
      <c r="K581" s="2" t="s">
        <v>39</v>
      </c>
      <c r="L581" s="2" t="s">
        <v>27</v>
      </c>
      <c r="M581" s="2">
        <v>5620400</v>
      </c>
      <c r="N581" s="2" t="s">
        <v>103</v>
      </c>
      <c r="O581" s="2" t="s">
        <v>87</v>
      </c>
      <c r="P581" s="2" t="s">
        <v>123</v>
      </c>
      <c r="Q581" s="2" t="s">
        <v>549</v>
      </c>
      <c r="R581" s="2" t="s">
        <v>62</v>
      </c>
      <c r="S581" s="2">
        <v>8</v>
      </c>
      <c r="T581" s="2" t="s">
        <v>33</v>
      </c>
      <c r="U581" s="2" t="s">
        <v>34</v>
      </c>
      <c r="V581" s="32">
        <v>59781040</v>
      </c>
      <c r="W581" s="25">
        <v>29900000</v>
      </c>
      <c r="X581" s="2" t="s">
        <v>2701</v>
      </c>
      <c r="Y581" s="30">
        <f t="shared" si="18"/>
        <v>29881040</v>
      </c>
      <c r="Z581" s="41">
        <f t="shared" si="19"/>
        <v>0.50015857870655978</v>
      </c>
    </row>
    <row r="582" spans="1:27" ht="15.75">
      <c r="A582" s="2">
        <v>580</v>
      </c>
      <c r="B582" s="2">
        <v>3581692</v>
      </c>
      <c r="C582" s="2">
        <v>53103036930041</v>
      </c>
      <c r="D582" s="2" t="s">
        <v>22</v>
      </c>
      <c r="E582" s="2">
        <v>3128365</v>
      </c>
      <c r="F582" s="2">
        <v>944969687</v>
      </c>
      <c r="G582" s="3">
        <v>37711</v>
      </c>
      <c r="H582" s="2" t="s">
        <v>1521</v>
      </c>
      <c r="I582" s="2" t="s">
        <v>811</v>
      </c>
      <c r="J582" s="2" t="s">
        <v>643</v>
      </c>
      <c r="K582" s="2" t="s">
        <v>26</v>
      </c>
      <c r="L582" s="2" t="s">
        <v>57</v>
      </c>
      <c r="M582" s="2">
        <v>5620400</v>
      </c>
      <c r="N582" s="2" t="s">
        <v>103</v>
      </c>
      <c r="O582" s="2" t="s">
        <v>87</v>
      </c>
      <c r="P582" s="2">
        <v>63</v>
      </c>
      <c r="Q582" s="5">
        <v>44471</v>
      </c>
      <c r="R582" s="2" t="s">
        <v>53</v>
      </c>
      <c r="S582" s="2">
        <v>8</v>
      </c>
      <c r="T582" s="2" t="s">
        <v>33</v>
      </c>
      <c r="U582" s="2" t="s">
        <v>34</v>
      </c>
      <c r="V582" s="29" t="s">
        <v>2730</v>
      </c>
      <c r="W582" s="21">
        <v>8050000</v>
      </c>
      <c r="X582" s="10" t="s">
        <v>2651</v>
      </c>
      <c r="Y582" s="30">
        <f t="shared" si="18"/>
        <v>6378372.5</v>
      </c>
      <c r="Z582" s="41">
        <f t="shared" si="19"/>
        <v>0.5579284843110337</v>
      </c>
      <c r="AA582" s="42" t="s">
        <v>2798</v>
      </c>
    </row>
    <row r="583" spans="1:27">
      <c r="A583" s="2">
        <v>581</v>
      </c>
      <c r="B583" s="2">
        <v>3302706</v>
      </c>
      <c r="C583" s="2">
        <v>50109035840012</v>
      </c>
      <c r="D583" s="2" t="s">
        <v>22</v>
      </c>
      <c r="E583" s="2">
        <v>2199221</v>
      </c>
      <c r="F583" s="2">
        <v>992455004</v>
      </c>
      <c r="G583" s="3">
        <v>37865</v>
      </c>
      <c r="H583" s="2" t="s">
        <v>89</v>
      </c>
      <c r="I583" s="2" t="s">
        <v>1278</v>
      </c>
      <c r="J583" s="2" t="s">
        <v>1522</v>
      </c>
      <c r="K583" s="2" t="s">
        <v>26</v>
      </c>
      <c r="L583" s="2" t="s">
        <v>27</v>
      </c>
      <c r="M583" s="2">
        <v>5240109</v>
      </c>
      <c r="N583" s="2" t="s">
        <v>28</v>
      </c>
      <c r="O583" s="2" t="s">
        <v>339</v>
      </c>
      <c r="P583" s="2" t="s">
        <v>30</v>
      </c>
      <c r="Q583" s="2" t="s">
        <v>709</v>
      </c>
      <c r="R583" s="2" t="s">
        <v>32</v>
      </c>
      <c r="S583" s="2">
        <v>25</v>
      </c>
      <c r="T583" s="2" t="s">
        <v>33</v>
      </c>
      <c r="U583" s="2" t="s">
        <v>34</v>
      </c>
      <c r="V583" s="32">
        <v>245231500</v>
      </c>
      <c r="Y583" s="30">
        <f t="shared" si="18"/>
        <v>245231500</v>
      </c>
      <c r="Z583" s="41">
        <f t="shared" si="19"/>
        <v>0</v>
      </c>
    </row>
    <row r="584" spans="1:27" ht="26.25">
      <c r="A584" s="2">
        <v>582</v>
      </c>
      <c r="B584" s="2">
        <v>3348373</v>
      </c>
      <c r="C584" s="2">
        <v>51306035330016</v>
      </c>
      <c r="D584" s="2" t="s">
        <v>22</v>
      </c>
      <c r="E584" s="2">
        <v>2010290</v>
      </c>
      <c r="F584" s="2">
        <v>912409566</v>
      </c>
      <c r="G584" s="3">
        <v>37785</v>
      </c>
      <c r="H584" s="2" t="s">
        <v>1523</v>
      </c>
      <c r="I584" s="2" t="s">
        <v>1524</v>
      </c>
      <c r="J584" s="2" t="s">
        <v>1525</v>
      </c>
      <c r="K584" s="2" t="s">
        <v>39</v>
      </c>
      <c r="L584" s="2" t="s">
        <v>27</v>
      </c>
      <c r="M584" s="2">
        <v>5340603</v>
      </c>
      <c r="N584" s="2" t="s">
        <v>174</v>
      </c>
      <c r="O584" s="2" t="s">
        <v>149</v>
      </c>
      <c r="P584" s="2" t="s">
        <v>175</v>
      </c>
      <c r="Q584" s="5">
        <v>44471</v>
      </c>
      <c r="R584" s="2" t="s">
        <v>44</v>
      </c>
      <c r="S584" s="2">
        <v>8</v>
      </c>
      <c r="T584" s="2" t="s">
        <v>33</v>
      </c>
      <c r="U584" s="2" t="s">
        <v>34</v>
      </c>
      <c r="V584" s="32" t="s">
        <v>2726</v>
      </c>
      <c r="W584" s="20">
        <v>10300000</v>
      </c>
      <c r="X584" s="2" t="s">
        <v>2712</v>
      </c>
      <c r="Y584" s="30">
        <f t="shared" si="18"/>
        <v>10249732.5</v>
      </c>
      <c r="Z584" s="41">
        <f t="shared" si="19"/>
        <v>0.5012230694487142</v>
      </c>
    </row>
    <row r="585" spans="1:27" ht="26.25">
      <c r="A585" s="2">
        <v>583</v>
      </c>
      <c r="B585" s="2">
        <v>2817349</v>
      </c>
      <c r="C585" s="2">
        <v>32405931590076</v>
      </c>
      <c r="D585" s="2" t="s">
        <v>145</v>
      </c>
      <c r="E585" s="2">
        <v>1929389</v>
      </c>
      <c r="F585" s="2">
        <v>976130606</v>
      </c>
      <c r="G585" s="3">
        <v>34113</v>
      </c>
      <c r="H585" s="2" t="s">
        <v>1526</v>
      </c>
      <c r="I585" s="2" t="s">
        <v>505</v>
      </c>
      <c r="J585" s="2" t="s">
        <v>379</v>
      </c>
      <c r="K585" s="2" t="s">
        <v>39</v>
      </c>
      <c r="L585" s="2" t="s">
        <v>57</v>
      </c>
      <c r="M585" s="2">
        <v>5310601</v>
      </c>
      <c r="N585" s="2" t="s">
        <v>153</v>
      </c>
      <c r="O585" s="2" t="s">
        <v>154</v>
      </c>
      <c r="P585" s="2" t="s">
        <v>155</v>
      </c>
      <c r="Q585" s="4">
        <v>42064</v>
      </c>
      <c r="R585" s="2" t="s">
        <v>62</v>
      </c>
      <c r="S585" s="2">
        <v>8</v>
      </c>
      <c r="T585" s="2" t="s">
        <v>33</v>
      </c>
      <c r="U585" s="2" t="s">
        <v>34</v>
      </c>
      <c r="V585" s="32">
        <v>20176101</v>
      </c>
      <c r="W585" s="21">
        <v>11209000</v>
      </c>
      <c r="X585" s="11" t="s">
        <v>2624</v>
      </c>
      <c r="Y585" s="30">
        <f t="shared" si="18"/>
        <v>8967101</v>
      </c>
      <c r="Z585" s="41">
        <f t="shared" si="19"/>
        <v>0.55555828155301168</v>
      </c>
    </row>
    <row r="586" spans="1:27" ht="15.75">
      <c r="A586" s="2">
        <v>584</v>
      </c>
      <c r="B586" s="2">
        <v>1381263</v>
      </c>
      <c r="C586" s="2">
        <v>31504976710032</v>
      </c>
      <c r="D586" s="2" t="s">
        <v>145</v>
      </c>
      <c r="E586" s="2">
        <v>4054340</v>
      </c>
      <c r="F586" s="2">
        <v>994888369</v>
      </c>
      <c r="G586" s="3">
        <v>35535</v>
      </c>
      <c r="H586" s="2" t="s">
        <v>821</v>
      </c>
      <c r="I586" s="2" t="s">
        <v>535</v>
      </c>
      <c r="J586" s="2" t="s">
        <v>763</v>
      </c>
      <c r="K586" s="2" t="s">
        <v>39</v>
      </c>
      <c r="L586" s="2" t="s">
        <v>57</v>
      </c>
      <c r="M586" s="2">
        <v>5620400</v>
      </c>
      <c r="N586" s="2" t="s">
        <v>103</v>
      </c>
      <c r="O586" s="2" t="s">
        <v>104</v>
      </c>
      <c r="P586" s="2" t="s">
        <v>139</v>
      </c>
      <c r="Q586" s="4">
        <v>42064</v>
      </c>
      <c r="R586" s="2" t="s">
        <v>62</v>
      </c>
      <c r="S586" s="2">
        <v>8</v>
      </c>
      <c r="T586" s="2" t="s">
        <v>33</v>
      </c>
      <c r="U586" s="2" t="s">
        <v>34</v>
      </c>
      <c r="V586" s="32">
        <v>22417890</v>
      </c>
      <c r="W586" s="21">
        <v>12417890</v>
      </c>
      <c r="X586" s="10" t="s">
        <v>2653</v>
      </c>
      <c r="Y586" s="30">
        <f t="shared" si="18"/>
        <v>10000000</v>
      </c>
      <c r="Z586" s="41">
        <f t="shared" si="19"/>
        <v>0.55392768900195333</v>
      </c>
    </row>
    <row r="587" spans="1:27" ht="15.75">
      <c r="A587" s="2">
        <v>585</v>
      </c>
      <c r="B587" s="2">
        <v>3051012</v>
      </c>
      <c r="C587" s="2">
        <v>53105026590048</v>
      </c>
      <c r="D587" s="2" t="s">
        <v>22</v>
      </c>
      <c r="E587" s="2">
        <v>1069445</v>
      </c>
      <c r="F587" s="2">
        <v>930006714</v>
      </c>
      <c r="G587" s="3">
        <v>37407</v>
      </c>
      <c r="H587" s="2" t="s">
        <v>1356</v>
      </c>
      <c r="I587" s="2" t="s">
        <v>1527</v>
      </c>
      <c r="J587" s="2" t="s">
        <v>401</v>
      </c>
      <c r="K587" s="2" t="s">
        <v>26</v>
      </c>
      <c r="L587" s="2" t="s">
        <v>27</v>
      </c>
      <c r="M587" s="2">
        <v>5620600</v>
      </c>
      <c r="N587" s="2" t="s">
        <v>1528</v>
      </c>
      <c r="O587" s="2" t="s">
        <v>155</v>
      </c>
      <c r="P587" s="2" t="s">
        <v>345</v>
      </c>
      <c r="Q587" s="2" t="s">
        <v>61</v>
      </c>
      <c r="R587" s="2" t="s">
        <v>53</v>
      </c>
      <c r="S587" s="2">
        <v>8</v>
      </c>
      <c r="T587" s="2" t="s">
        <v>33</v>
      </c>
      <c r="U587" s="2" t="s">
        <v>34</v>
      </c>
      <c r="V587" s="29">
        <v>46170792</v>
      </c>
      <c r="W587" s="22">
        <v>23086000</v>
      </c>
      <c r="X587" s="16" t="s">
        <v>2672</v>
      </c>
      <c r="Y587" s="30">
        <f t="shared" si="18"/>
        <v>23084792</v>
      </c>
      <c r="Z587" s="41">
        <f t="shared" si="19"/>
        <v>0.50001308186352966</v>
      </c>
    </row>
    <row r="588" spans="1:27">
      <c r="A588" s="2">
        <v>586</v>
      </c>
      <c r="B588" s="2">
        <v>2372587</v>
      </c>
      <c r="C588" s="2">
        <v>51811016750027</v>
      </c>
      <c r="D588" s="2" t="s">
        <v>45</v>
      </c>
      <c r="E588" s="2">
        <v>8427902</v>
      </c>
      <c r="F588" s="2">
        <v>998664123</v>
      </c>
      <c r="G588" s="3">
        <v>37213</v>
      </c>
      <c r="H588" s="2" t="s">
        <v>1218</v>
      </c>
      <c r="I588" s="2" t="s">
        <v>1529</v>
      </c>
      <c r="J588" s="2" t="s">
        <v>1530</v>
      </c>
      <c r="K588" s="2" t="s">
        <v>39</v>
      </c>
      <c r="L588" s="2" t="s">
        <v>27</v>
      </c>
      <c r="M588" s="2">
        <v>5340603</v>
      </c>
      <c r="N588" s="2" t="s">
        <v>174</v>
      </c>
      <c r="O588" s="2" t="s">
        <v>139</v>
      </c>
      <c r="P588" s="2" t="s">
        <v>175</v>
      </c>
      <c r="Q588" s="4">
        <v>43922</v>
      </c>
      <c r="R588" s="2" t="s">
        <v>44</v>
      </c>
      <c r="S588" s="2">
        <v>8</v>
      </c>
      <c r="T588" s="2" t="s">
        <v>33</v>
      </c>
      <c r="U588" s="2" t="s">
        <v>34</v>
      </c>
      <c r="V588" s="32">
        <v>65759144</v>
      </c>
      <c r="Y588" s="30">
        <f t="shared" si="18"/>
        <v>65759144</v>
      </c>
      <c r="Z588" s="41">
        <f t="shared" si="19"/>
        <v>0</v>
      </c>
    </row>
    <row r="589" spans="1:27" ht="26.25">
      <c r="A589" s="2">
        <v>587</v>
      </c>
      <c r="B589" s="2">
        <v>3730770</v>
      </c>
      <c r="C589" s="2">
        <v>52110037230080</v>
      </c>
      <c r="D589" s="2" t="s">
        <v>74</v>
      </c>
      <c r="E589" s="2">
        <v>288387</v>
      </c>
      <c r="F589" s="2">
        <v>994537785</v>
      </c>
      <c r="G589" s="3">
        <v>37915</v>
      </c>
      <c r="H589" s="2" t="s">
        <v>1531</v>
      </c>
      <c r="I589" s="2" t="s">
        <v>1532</v>
      </c>
      <c r="J589" s="2" t="s">
        <v>1533</v>
      </c>
      <c r="K589" s="2" t="s">
        <v>39</v>
      </c>
      <c r="L589" s="2" t="s">
        <v>27</v>
      </c>
      <c r="M589" s="2">
        <v>5640202</v>
      </c>
      <c r="N589" s="2" t="s">
        <v>240</v>
      </c>
      <c r="O589" s="2" t="s">
        <v>225</v>
      </c>
      <c r="P589" s="2" t="s">
        <v>241</v>
      </c>
      <c r="Q589" s="2" t="s">
        <v>277</v>
      </c>
      <c r="R589" s="2" t="s">
        <v>62</v>
      </c>
      <c r="S589" s="2">
        <v>8</v>
      </c>
      <c r="T589" s="2" t="s">
        <v>33</v>
      </c>
      <c r="U589" s="2" t="s">
        <v>34</v>
      </c>
      <c r="V589" s="32">
        <v>59781040</v>
      </c>
      <c r="Y589" s="30">
        <f t="shared" si="18"/>
        <v>59781040</v>
      </c>
      <c r="Z589" s="41">
        <f t="shared" si="19"/>
        <v>0</v>
      </c>
    </row>
    <row r="590" spans="1:27" ht="15.75">
      <c r="A590" s="2">
        <v>588</v>
      </c>
      <c r="B590" s="2">
        <v>2099679</v>
      </c>
      <c r="C590" s="2">
        <v>30604930660045</v>
      </c>
      <c r="D590" s="2" t="s">
        <v>45</v>
      </c>
      <c r="E590" s="2">
        <v>2225828</v>
      </c>
      <c r="F590" s="2">
        <v>931820717</v>
      </c>
      <c r="G590" s="3">
        <v>34065</v>
      </c>
      <c r="H590" s="2" t="s">
        <v>115</v>
      </c>
      <c r="I590" s="2" t="s">
        <v>762</v>
      </c>
      <c r="J590" s="2" t="s">
        <v>1247</v>
      </c>
      <c r="K590" s="2" t="s">
        <v>39</v>
      </c>
      <c r="L590" s="2" t="s">
        <v>27</v>
      </c>
      <c r="M590" s="2">
        <v>5620400</v>
      </c>
      <c r="N590" s="2" t="s">
        <v>103</v>
      </c>
      <c r="O590" s="5">
        <v>44282</v>
      </c>
      <c r="P590" s="2" t="s">
        <v>123</v>
      </c>
      <c r="Q590" s="2" t="s">
        <v>88</v>
      </c>
      <c r="R590" s="2" t="s">
        <v>62</v>
      </c>
      <c r="S590" s="2">
        <v>8</v>
      </c>
      <c r="T590" s="2" t="s">
        <v>33</v>
      </c>
      <c r="U590" s="2" t="s">
        <v>34</v>
      </c>
      <c r="V590" s="29" t="s">
        <v>2908</v>
      </c>
      <c r="W590" s="22">
        <f>59782000+14000000+6000000</f>
        <v>79782000</v>
      </c>
      <c r="X590" s="16" t="s">
        <v>2945</v>
      </c>
      <c r="Y590" s="30">
        <f t="shared" si="18"/>
        <v>27823872</v>
      </c>
      <c r="Z590" s="41">
        <f t="shared" si="19"/>
        <v>0.74142793991762834</v>
      </c>
      <c r="AA590" s="42" t="s">
        <v>2798</v>
      </c>
    </row>
    <row r="591" spans="1:27" ht="26.25">
      <c r="A591" s="2">
        <v>589</v>
      </c>
      <c r="B591" s="2">
        <v>1335732</v>
      </c>
      <c r="C591" s="2">
        <v>31704880660043</v>
      </c>
      <c r="D591" s="2" t="s">
        <v>145</v>
      </c>
      <c r="E591" s="2">
        <v>537230</v>
      </c>
      <c r="F591" s="2">
        <v>935185606</v>
      </c>
      <c r="G591" s="3">
        <v>32250</v>
      </c>
      <c r="H591" s="2" t="s">
        <v>1534</v>
      </c>
      <c r="I591" s="2" t="s">
        <v>1535</v>
      </c>
      <c r="J591" s="2" t="s">
        <v>1536</v>
      </c>
      <c r="K591" s="2" t="s">
        <v>39</v>
      </c>
      <c r="L591" s="2" t="s">
        <v>27</v>
      </c>
      <c r="M591" s="2">
        <v>5620701</v>
      </c>
      <c r="N591" s="2" t="s">
        <v>218</v>
      </c>
      <c r="O591" s="2" t="s">
        <v>639</v>
      </c>
      <c r="P591" s="2" t="s">
        <v>219</v>
      </c>
      <c r="Q591" s="2" t="s">
        <v>223</v>
      </c>
      <c r="R591" s="2" t="s">
        <v>62</v>
      </c>
      <c r="S591" s="2">
        <v>8</v>
      </c>
      <c r="T591" s="2" t="s">
        <v>33</v>
      </c>
      <c r="U591" s="2" t="s">
        <v>34</v>
      </c>
      <c r="V591" s="32">
        <v>119562080</v>
      </c>
      <c r="Y591" s="30">
        <f t="shared" si="18"/>
        <v>119562080</v>
      </c>
      <c r="Z591" s="41">
        <f t="shared" si="19"/>
        <v>0</v>
      </c>
    </row>
    <row r="592" spans="1:27" ht="26.25">
      <c r="A592" s="2">
        <v>590</v>
      </c>
      <c r="B592" s="2">
        <v>3448998</v>
      </c>
      <c r="C592" s="2">
        <v>50805035590057</v>
      </c>
      <c r="D592" s="2" t="s">
        <v>22</v>
      </c>
      <c r="E592" s="2">
        <v>2711564</v>
      </c>
      <c r="F592" s="2">
        <v>993481503</v>
      </c>
      <c r="G592" s="3">
        <v>37749</v>
      </c>
      <c r="H592" s="2" t="s">
        <v>1537</v>
      </c>
      <c r="I592" s="2" t="s">
        <v>1538</v>
      </c>
      <c r="J592" s="2" t="s">
        <v>1539</v>
      </c>
      <c r="K592" s="2" t="s">
        <v>26</v>
      </c>
      <c r="L592" s="2" t="s">
        <v>27</v>
      </c>
      <c r="M592" s="2">
        <v>5340609</v>
      </c>
      <c r="N592" s="2" t="s">
        <v>861</v>
      </c>
      <c r="O592" s="2" t="s">
        <v>154</v>
      </c>
      <c r="P592" s="2" t="s">
        <v>149</v>
      </c>
      <c r="Q592" s="4">
        <v>43922</v>
      </c>
      <c r="R592" s="2" t="s">
        <v>93</v>
      </c>
      <c r="S592" s="2">
        <v>8</v>
      </c>
      <c r="T592" s="2" t="s">
        <v>33</v>
      </c>
      <c r="U592" s="2" t="s">
        <v>34</v>
      </c>
      <c r="V592" s="32">
        <v>56735520</v>
      </c>
      <c r="Y592" s="30">
        <f t="shared" si="18"/>
        <v>56735520</v>
      </c>
      <c r="Z592" s="41">
        <f t="shared" si="19"/>
        <v>0</v>
      </c>
    </row>
    <row r="593" spans="1:27" ht="15.75">
      <c r="A593" s="2">
        <v>591</v>
      </c>
      <c r="B593" s="2">
        <v>2815678</v>
      </c>
      <c r="C593" s="2">
        <v>31304927000010</v>
      </c>
      <c r="D593" s="2" t="s">
        <v>145</v>
      </c>
      <c r="E593" s="2">
        <v>1639361</v>
      </c>
      <c r="F593" s="2">
        <v>977437500</v>
      </c>
      <c r="G593" s="3">
        <v>33707</v>
      </c>
      <c r="H593" s="2" t="s">
        <v>1540</v>
      </c>
      <c r="I593" s="2" t="s">
        <v>1541</v>
      </c>
      <c r="J593" s="2" t="s">
        <v>406</v>
      </c>
      <c r="K593" s="2" t="s">
        <v>39</v>
      </c>
      <c r="L593" s="2" t="s">
        <v>27</v>
      </c>
      <c r="M593" s="2">
        <v>5310606</v>
      </c>
      <c r="N593" s="2" t="s">
        <v>72</v>
      </c>
      <c r="O593" s="2" t="s">
        <v>42</v>
      </c>
      <c r="P593" s="2" t="s">
        <v>73</v>
      </c>
      <c r="Q593" s="5">
        <v>44317</v>
      </c>
      <c r="R593" s="2" t="s">
        <v>62</v>
      </c>
      <c r="S593" s="2">
        <v>8</v>
      </c>
      <c r="T593" s="2" t="s">
        <v>33</v>
      </c>
      <c r="U593" s="2" t="s">
        <v>34</v>
      </c>
      <c r="V593" s="29">
        <v>10088050.5</v>
      </c>
      <c r="W593" s="21">
        <f>7472630+2617000</f>
        <v>10089630</v>
      </c>
      <c r="X593" s="10" t="s">
        <v>2852</v>
      </c>
      <c r="Y593" s="30">
        <f t="shared" si="18"/>
        <v>-1579.5</v>
      </c>
      <c r="Z593" s="41">
        <f t="shared" si="19"/>
        <v>1.0001565713811602</v>
      </c>
    </row>
    <row r="594" spans="1:27" ht="15.75">
      <c r="A594" s="2">
        <v>592</v>
      </c>
      <c r="B594" s="2">
        <v>3116012</v>
      </c>
      <c r="C594" s="2">
        <v>32608930460010</v>
      </c>
      <c r="D594" s="2" t="s">
        <v>45</v>
      </c>
      <c r="E594" s="2">
        <v>4107710</v>
      </c>
      <c r="F594" s="2">
        <v>903483939</v>
      </c>
      <c r="G594" s="3">
        <v>34207</v>
      </c>
      <c r="H594" s="2" t="s">
        <v>1542</v>
      </c>
      <c r="I594" s="2" t="s">
        <v>1543</v>
      </c>
      <c r="J594" s="2" t="s">
        <v>1544</v>
      </c>
      <c r="K594" s="2" t="s">
        <v>39</v>
      </c>
      <c r="L594" s="2" t="s">
        <v>27</v>
      </c>
      <c r="M594" s="2">
        <v>5620400</v>
      </c>
      <c r="N594" s="2" t="s">
        <v>103</v>
      </c>
      <c r="O594" s="2" t="s">
        <v>60</v>
      </c>
      <c r="P594" s="2" t="s">
        <v>123</v>
      </c>
      <c r="Q594" s="2" t="s">
        <v>340</v>
      </c>
      <c r="R594" s="2" t="s">
        <v>62</v>
      </c>
      <c r="S594" s="2">
        <v>8</v>
      </c>
      <c r="T594" s="2" t="s">
        <v>33</v>
      </c>
      <c r="U594" s="2" t="s">
        <v>34</v>
      </c>
      <c r="V594" s="29" t="s">
        <v>2748</v>
      </c>
      <c r="W594" s="21">
        <f>29891000+15000000</f>
        <v>44891000</v>
      </c>
      <c r="X594" s="10" t="s">
        <v>2946</v>
      </c>
      <c r="Y594" s="30">
        <f t="shared" si="18"/>
        <v>8911936</v>
      </c>
      <c r="Z594" s="41">
        <f t="shared" si="19"/>
        <v>0.83435967137555467</v>
      </c>
      <c r="AA594" s="42" t="s">
        <v>2798</v>
      </c>
    </row>
    <row r="595" spans="1:27">
      <c r="A595" s="2">
        <v>593</v>
      </c>
      <c r="B595" s="2">
        <v>3451276</v>
      </c>
      <c r="C595" s="2">
        <v>50810036820018</v>
      </c>
      <c r="D595" s="2" t="s">
        <v>22</v>
      </c>
      <c r="E595" s="2">
        <v>2350489</v>
      </c>
      <c r="F595" s="2">
        <v>990119025</v>
      </c>
      <c r="G595" s="3">
        <v>37902</v>
      </c>
      <c r="H595" s="2" t="s">
        <v>569</v>
      </c>
      <c r="I595" s="2" t="s">
        <v>1545</v>
      </c>
      <c r="J595" s="2" t="s">
        <v>1546</v>
      </c>
      <c r="K595" s="2" t="s">
        <v>26</v>
      </c>
      <c r="L595" s="2" t="s">
        <v>27</v>
      </c>
      <c r="M595" s="2">
        <v>5620600</v>
      </c>
      <c r="N595" s="2" t="s">
        <v>1528</v>
      </c>
      <c r="O595" s="2" t="s">
        <v>122</v>
      </c>
      <c r="P595" s="2" t="s">
        <v>345</v>
      </c>
      <c r="Q595" s="2" t="s">
        <v>288</v>
      </c>
      <c r="R595" s="2" t="s">
        <v>53</v>
      </c>
      <c r="S595" s="2">
        <v>8</v>
      </c>
      <c r="T595" s="2" t="s">
        <v>33</v>
      </c>
      <c r="U595" s="2" t="s">
        <v>34</v>
      </c>
      <c r="V595" s="32">
        <v>51300880</v>
      </c>
      <c r="W595" s="20">
        <v>25650440</v>
      </c>
      <c r="X595" s="2" t="s">
        <v>2680</v>
      </c>
      <c r="Y595" s="30">
        <f t="shared" si="18"/>
        <v>25650440</v>
      </c>
      <c r="Z595" s="41">
        <f t="shared" si="19"/>
        <v>0.5</v>
      </c>
    </row>
    <row r="596" spans="1:27" ht="26.25">
      <c r="A596" s="2">
        <v>594</v>
      </c>
      <c r="B596" s="2">
        <v>2695941</v>
      </c>
      <c r="C596" s="2">
        <v>51512006110071</v>
      </c>
      <c r="D596" s="2" t="s">
        <v>45</v>
      </c>
      <c r="E596" s="2">
        <v>6950849</v>
      </c>
      <c r="F596" s="2">
        <v>979282008</v>
      </c>
      <c r="G596" s="3">
        <v>36875</v>
      </c>
      <c r="H596" s="2" t="s">
        <v>1329</v>
      </c>
      <c r="I596" s="2" t="s">
        <v>948</v>
      </c>
      <c r="J596" s="2" t="s">
        <v>1547</v>
      </c>
      <c r="K596" s="2" t="s">
        <v>26</v>
      </c>
      <c r="L596" s="2" t="s">
        <v>57</v>
      </c>
      <c r="M596" s="2">
        <v>5310603</v>
      </c>
      <c r="N596" s="2" t="s">
        <v>295</v>
      </c>
      <c r="O596" s="2" t="s">
        <v>263</v>
      </c>
      <c r="P596" s="2" t="s">
        <v>60</v>
      </c>
      <c r="Q596" s="4">
        <v>14824</v>
      </c>
      <c r="R596" s="2" t="s">
        <v>53</v>
      </c>
      <c r="S596" s="2">
        <v>8</v>
      </c>
      <c r="T596" s="2" t="s">
        <v>33</v>
      </c>
      <c r="U596" s="2" t="s">
        <v>34</v>
      </c>
      <c r="V596" s="32">
        <v>102601760</v>
      </c>
      <c r="Y596" s="30">
        <f t="shared" si="18"/>
        <v>102601760</v>
      </c>
      <c r="Z596" s="41">
        <f t="shared" si="19"/>
        <v>0</v>
      </c>
    </row>
    <row r="597" spans="1:27" ht="31.5">
      <c r="A597" s="2">
        <v>595</v>
      </c>
      <c r="B597" s="2">
        <v>3551526</v>
      </c>
      <c r="C597" s="2">
        <v>51106047210012</v>
      </c>
      <c r="D597" s="2" t="s">
        <v>22</v>
      </c>
      <c r="E597" s="2">
        <v>2853113</v>
      </c>
      <c r="F597" s="2">
        <v>901350864</v>
      </c>
      <c r="G597" s="3">
        <v>38149</v>
      </c>
      <c r="H597" s="2" t="s">
        <v>257</v>
      </c>
      <c r="I597" s="2" t="s">
        <v>1293</v>
      </c>
      <c r="J597" s="2" t="s">
        <v>1548</v>
      </c>
      <c r="K597" s="2" t="s">
        <v>26</v>
      </c>
      <c r="L597" s="2" t="s">
        <v>27</v>
      </c>
      <c r="M597" s="2">
        <v>5240109</v>
      </c>
      <c r="N597" s="2" t="s">
        <v>28</v>
      </c>
      <c r="O597" s="2" t="s">
        <v>236</v>
      </c>
      <c r="P597" s="2" t="s">
        <v>30</v>
      </c>
      <c r="Q597" s="4">
        <v>42064</v>
      </c>
      <c r="R597" s="2" t="s">
        <v>32</v>
      </c>
      <c r="S597" s="2">
        <v>25</v>
      </c>
      <c r="T597" s="2" t="s">
        <v>33</v>
      </c>
      <c r="U597" s="2" t="s">
        <v>34</v>
      </c>
      <c r="V597" s="32">
        <v>29427780</v>
      </c>
      <c r="W597" s="24">
        <f>14713890+7385445</f>
        <v>22099335</v>
      </c>
      <c r="X597" s="14" t="s">
        <v>2830</v>
      </c>
      <c r="Y597" s="30">
        <f t="shared" si="18"/>
        <v>7328445</v>
      </c>
      <c r="Z597" s="41">
        <f t="shared" si="19"/>
        <v>0.75096847264727407</v>
      </c>
    </row>
    <row r="598" spans="1:27" ht="26.25">
      <c r="A598" s="2">
        <v>596</v>
      </c>
      <c r="B598" s="2">
        <v>3664252</v>
      </c>
      <c r="C598" s="2">
        <v>51707035680066</v>
      </c>
      <c r="D598" s="2" t="s">
        <v>74</v>
      </c>
      <c r="E598" s="2">
        <v>178175</v>
      </c>
      <c r="F598" s="2">
        <v>904277055</v>
      </c>
      <c r="G598" s="3">
        <v>37819</v>
      </c>
      <c r="H598" s="2" t="s">
        <v>1549</v>
      </c>
      <c r="I598" s="2" t="s">
        <v>1550</v>
      </c>
      <c r="J598" s="2" t="s">
        <v>1551</v>
      </c>
      <c r="K598" s="2" t="s">
        <v>26</v>
      </c>
      <c r="L598" s="2" t="s">
        <v>27</v>
      </c>
      <c r="M598" s="2">
        <v>5320102</v>
      </c>
      <c r="N598" s="2" t="s">
        <v>138</v>
      </c>
      <c r="O598" s="2" t="s">
        <v>225</v>
      </c>
      <c r="P598" s="2" t="s">
        <v>154</v>
      </c>
      <c r="Q598" s="5">
        <v>44471</v>
      </c>
      <c r="R598" s="2" t="s">
        <v>53</v>
      </c>
      <c r="S598" s="2">
        <v>8</v>
      </c>
      <c r="T598" s="2" t="s">
        <v>33</v>
      </c>
      <c r="U598" s="2" t="s">
        <v>34</v>
      </c>
      <c r="V598" s="32" t="s">
        <v>2730</v>
      </c>
      <c r="W598" s="21">
        <f>8000000+5200000+1230000</f>
        <v>14430000</v>
      </c>
      <c r="X598" s="11" t="s">
        <v>2841</v>
      </c>
      <c r="Y598" s="30">
        <f t="shared" si="18"/>
        <v>-1627.5</v>
      </c>
      <c r="Z598" s="41">
        <f t="shared" si="19"/>
        <v>1.0001127985848717</v>
      </c>
    </row>
    <row r="599" spans="1:27" ht="15.75">
      <c r="A599" s="2">
        <v>597</v>
      </c>
      <c r="B599" s="2">
        <v>3760695</v>
      </c>
      <c r="C599" s="2">
        <v>61308036410019</v>
      </c>
      <c r="D599" s="2" t="s">
        <v>74</v>
      </c>
      <c r="E599" s="2">
        <v>1983620</v>
      </c>
      <c r="F599" s="2">
        <v>994791626</v>
      </c>
      <c r="G599" s="3">
        <v>37846</v>
      </c>
      <c r="H599" s="2" t="s">
        <v>1552</v>
      </c>
      <c r="I599" s="2" t="s">
        <v>1553</v>
      </c>
      <c r="J599" s="2" t="s">
        <v>1554</v>
      </c>
      <c r="K599" s="2" t="s">
        <v>26</v>
      </c>
      <c r="L599" s="2" t="s">
        <v>27</v>
      </c>
      <c r="M599" s="2">
        <v>5310606</v>
      </c>
      <c r="N599" s="2" t="s">
        <v>72</v>
      </c>
      <c r="O599" s="2" t="s">
        <v>207</v>
      </c>
      <c r="P599" s="2" t="s">
        <v>149</v>
      </c>
      <c r="Q599" s="4">
        <v>42064</v>
      </c>
      <c r="R599" s="2" t="s">
        <v>53</v>
      </c>
      <c r="S599" s="2">
        <v>8</v>
      </c>
      <c r="T599" s="2" t="s">
        <v>33</v>
      </c>
      <c r="U599" s="2" t="s">
        <v>34</v>
      </c>
      <c r="V599" s="32">
        <v>19237830</v>
      </c>
      <c r="W599" s="24">
        <v>9500000</v>
      </c>
      <c r="X599" s="14" t="s">
        <v>2649</v>
      </c>
      <c r="Y599" s="30">
        <f t="shared" si="18"/>
        <v>9737830</v>
      </c>
      <c r="Z599" s="41">
        <f t="shared" si="19"/>
        <v>0.49381868952995217</v>
      </c>
    </row>
    <row r="600" spans="1:27" ht="39">
      <c r="A600" s="2">
        <v>598</v>
      </c>
      <c r="B600" s="2">
        <v>2774463</v>
      </c>
      <c r="C600" s="2">
        <v>51109025780015</v>
      </c>
      <c r="D600" s="2" t="s">
        <v>22</v>
      </c>
      <c r="E600" s="2">
        <v>1750278</v>
      </c>
      <c r="F600" s="2">
        <v>885593919</v>
      </c>
      <c r="G600" s="3">
        <v>37510</v>
      </c>
      <c r="H600" s="2" t="s">
        <v>1555</v>
      </c>
      <c r="I600" s="2" t="s">
        <v>1556</v>
      </c>
      <c r="J600" s="2" t="s">
        <v>822</v>
      </c>
      <c r="K600" s="2" t="s">
        <v>39</v>
      </c>
      <c r="L600" s="2" t="s">
        <v>27</v>
      </c>
      <c r="M600" s="2">
        <v>5340603</v>
      </c>
      <c r="N600" s="2" t="s">
        <v>174</v>
      </c>
      <c r="O600" s="2" t="s">
        <v>194</v>
      </c>
      <c r="P600" s="2" t="s">
        <v>175</v>
      </c>
      <c r="Q600" s="5">
        <v>44317</v>
      </c>
      <c r="R600" s="2" t="s">
        <v>44</v>
      </c>
      <c r="S600" s="2">
        <v>8</v>
      </c>
      <c r="T600" s="2" t="s">
        <v>33</v>
      </c>
      <c r="U600" s="2" t="s">
        <v>34</v>
      </c>
      <c r="V600" s="32" t="s">
        <v>2731</v>
      </c>
      <c r="W600" s="20">
        <f>6165000+1130000+1970000</f>
        <v>9265000</v>
      </c>
      <c r="X600" s="2" t="s">
        <v>2982</v>
      </c>
      <c r="Y600" s="30">
        <f t="shared" si="18"/>
        <v>3064839.5</v>
      </c>
      <c r="Z600" s="41">
        <f t="shared" si="19"/>
        <v>0.75142908389034591</v>
      </c>
    </row>
    <row r="601" spans="1:27" ht="15.75">
      <c r="A601" s="2">
        <v>599</v>
      </c>
      <c r="B601" s="2">
        <v>3487202</v>
      </c>
      <c r="C601" s="2">
        <v>50411036560012</v>
      </c>
      <c r="D601" s="2" t="s">
        <v>22</v>
      </c>
      <c r="E601" s="2">
        <v>2389707</v>
      </c>
      <c r="F601" s="2">
        <v>996072607</v>
      </c>
      <c r="G601" s="3">
        <v>37929</v>
      </c>
      <c r="H601" s="2" t="s">
        <v>441</v>
      </c>
      <c r="I601" s="2" t="s">
        <v>1557</v>
      </c>
      <c r="J601" s="2" t="s">
        <v>1558</v>
      </c>
      <c r="K601" s="2" t="s">
        <v>26</v>
      </c>
      <c r="L601" s="2" t="s">
        <v>27</v>
      </c>
      <c r="M601" s="2">
        <v>5230407</v>
      </c>
      <c r="N601" s="2" t="s">
        <v>186</v>
      </c>
      <c r="O601" s="2" t="s">
        <v>132</v>
      </c>
      <c r="P601" s="2" t="s">
        <v>187</v>
      </c>
      <c r="Q601" s="5">
        <v>44317</v>
      </c>
      <c r="R601" s="2" t="s">
        <v>134</v>
      </c>
      <c r="S601" s="2">
        <v>10</v>
      </c>
      <c r="T601" s="2" t="s">
        <v>33</v>
      </c>
      <c r="U601" s="2" t="s">
        <v>34</v>
      </c>
      <c r="V601" s="32">
        <v>13694895</v>
      </c>
      <c r="W601" s="24">
        <v>9260000</v>
      </c>
      <c r="X601" s="15" t="s">
        <v>2651</v>
      </c>
      <c r="Y601" s="30">
        <f t="shared" si="18"/>
        <v>4434895</v>
      </c>
      <c r="Z601" s="41">
        <f t="shared" si="19"/>
        <v>0.67616436635695276</v>
      </c>
    </row>
    <row r="602" spans="1:27">
      <c r="A602" s="2">
        <v>600</v>
      </c>
      <c r="B602" s="2">
        <v>3321790</v>
      </c>
      <c r="C602" s="2">
        <v>52406045180096</v>
      </c>
      <c r="D602" s="2" t="s">
        <v>22</v>
      </c>
      <c r="E602" s="2">
        <v>3135902</v>
      </c>
      <c r="F602" s="2">
        <v>937391122</v>
      </c>
      <c r="G602" s="3">
        <v>38162</v>
      </c>
      <c r="H602" s="2" t="s">
        <v>23</v>
      </c>
      <c r="I602" s="2" t="s">
        <v>1559</v>
      </c>
      <c r="J602" s="2" t="s">
        <v>1560</v>
      </c>
      <c r="K602" s="2" t="s">
        <v>26</v>
      </c>
      <c r="L602" s="2" t="s">
        <v>27</v>
      </c>
      <c r="M602" s="2">
        <v>5240109</v>
      </c>
      <c r="N602" s="2" t="s">
        <v>28</v>
      </c>
      <c r="O602" s="2">
        <v>126</v>
      </c>
      <c r="P602" s="2" t="s">
        <v>30</v>
      </c>
      <c r="Q602" s="2" t="s">
        <v>421</v>
      </c>
      <c r="R602" s="2" t="s">
        <v>32</v>
      </c>
      <c r="S602" s="2">
        <v>25</v>
      </c>
      <c r="T602" s="2" t="s">
        <v>33</v>
      </c>
      <c r="U602" s="2" t="s">
        <v>34</v>
      </c>
      <c r="V602" s="32">
        <v>245231500</v>
      </c>
      <c r="Y602" s="30">
        <f t="shared" si="18"/>
        <v>245231500</v>
      </c>
      <c r="Z602" s="41">
        <f t="shared" si="19"/>
        <v>0</v>
      </c>
    </row>
    <row r="603" spans="1:27" ht="26.25">
      <c r="A603" s="2">
        <v>601</v>
      </c>
      <c r="B603" s="2">
        <v>3585403</v>
      </c>
      <c r="C603" s="2">
        <v>51412035550018</v>
      </c>
      <c r="D603" s="2" t="s">
        <v>22</v>
      </c>
      <c r="E603" s="2">
        <v>2367782</v>
      </c>
      <c r="F603" s="2">
        <v>912108125</v>
      </c>
      <c r="G603" s="3">
        <v>37969</v>
      </c>
      <c r="H603" s="2" t="s">
        <v>1169</v>
      </c>
      <c r="I603" s="2" t="s">
        <v>836</v>
      </c>
      <c r="J603" s="2" t="s">
        <v>1561</v>
      </c>
      <c r="K603" s="2" t="s">
        <v>39</v>
      </c>
      <c r="L603" s="2" t="s">
        <v>57</v>
      </c>
      <c r="M603" s="2">
        <v>5620702</v>
      </c>
      <c r="N603" s="2" t="s">
        <v>159</v>
      </c>
      <c r="O603" s="2">
        <v>63</v>
      </c>
      <c r="P603" s="2" t="s">
        <v>139</v>
      </c>
      <c r="Q603" s="4">
        <v>12966</v>
      </c>
      <c r="R603" s="2" t="s">
        <v>62</v>
      </c>
      <c r="S603" s="2">
        <v>8</v>
      </c>
      <c r="T603" s="2" t="s">
        <v>33</v>
      </c>
      <c r="U603" s="2" t="s">
        <v>34</v>
      </c>
      <c r="V603" s="32">
        <v>59781040</v>
      </c>
      <c r="W603" s="20">
        <v>30000000</v>
      </c>
      <c r="X603" s="2" t="s">
        <v>2687</v>
      </c>
      <c r="Y603" s="30">
        <f t="shared" si="18"/>
        <v>29781040</v>
      </c>
      <c r="Z603" s="41">
        <f t="shared" si="19"/>
        <v>0.50183134987280253</v>
      </c>
    </row>
    <row r="604" spans="1:27" ht="15.75">
      <c r="A604" s="2">
        <v>602</v>
      </c>
      <c r="B604" s="2">
        <v>1658872</v>
      </c>
      <c r="C604" s="2">
        <v>31202832900013</v>
      </c>
      <c r="D604" s="2" t="s">
        <v>145</v>
      </c>
      <c r="E604" s="2">
        <v>1676353</v>
      </c>
      <c r="F604" s="2">
        <v>881290212</v>
      </c>
      <c r="G604" s="3">
        <v>30359</v>
      </c>
      <c r="H604" s="2" t="s">
        <v>1562</v>
      </c>
      <c r="I604" s="2" t="s">
        <v>1563</v>
      </c>
      <c r="J604" s="2" t="s">
        <v>1564</v>
      </c>
      <c r="K604" s="2" t="s">
        <v>39</v>
      </c>
      <c r="L604" s="2" t="s">
        <v>57</v>
      </c>
      <c r="M604" s="2">
        <v>5310202</v>
      </c>
      <c r="N604" s="2" t="s">
        <v>86</v>
      </c>
      <c r="O604" s="2" t="s">
        <v>225</v>
      </c>
      <c r="P604" s="2" t="s">
        <v>154</v>
      </c>
      <c r="Q604" s="5">
        <v>44471</v>
      </c>
      <c r="R604" s="2" t="s">
        <v>62</v>
      </c>
      <c r="S604" s="2">
        <v>8</v>
      </c>
      <c r="T604" s="2" t="s">
        <v>33</v>
      </c>
      <c r="U604" s="2" t="s">
        <v>34</v>
      </c>
      <c r="V604" s="32">
        <v>18681575</v>
      </c>
      <c r="W604" s="21">
        <v>9345000</v>
      </c>
      <c r="X604" s="11" t="s">
        <v>2627</v>
      </c>
      <c r="Y604" s="30">
        <f t="shared" si="18"/>
        <v>9336575</v>
      </c>
      <c r="Z604" s="41">
        <f t="shared" si="19"/>
        <v>0.50022548955320956</v>
      </c>
    </row>
    <row r="605" spans="1:27" ht="26.25">
      <c r="A605" s="2">
        <v>603</v>
      </c>
      <c r="B605" s="2">
        <v>3049334</v>
      </c>
      <c r="C605" s="2">
        <v>31006917160026</v>
      </c>
      <c r="D605" s="2" t="s">
        <v>145</v>
      </c>
      <c r="E605" s="2">
        <v>8347648</v>
      </c>
      <c r="F605" s="2">
        <v>901899606</v>
      </c>
      <c r="G605" s="3">
        <v>33399</v>
      </c>
      <c r="H605" s="2" t="s">
        <v>46</v>
      </c>
      <c r="I605" s="2" t="s">
        <v>1565</v>
      </c>
      <c r="J605" s="2" t="s">
        <v>1566</v>
      </c>
      <c r="K605" s="2" t="s">
        <v>39</v>
      </c>
      <c r="L605" s="2" t="s">
        <v>27</v>
      </c>
      <c r="M605" s="2">
        <v>5310701</v>
      </c>
      <c r="N605" s="2" t="s">
        <v>118</v>
      </c>
      <c r="O605" s="2" t="s">
        <v>149</v>
      </c>
      <c r="P605" s="2" t="s">
        <v>123</v>
      </c>
      <c r="Q605" s="2" t="s">
        <v>111</v>
      </c>
      <c r="R605" s="2" t="s">
        <v>62</v>
      </c>
      <c r="S605" s="2">
        <v>8</v>
      </c>
      <c r="T605" s="2" t="s">
        <v>33</v>
      </c>
      <c r="U605" s="2" t="s">
        <v>34</v>
      </c>
      <c r="V605" s="32">
        <v>59781040</v>
      </c>
      <c r="Y605" s="30">
        <f t="shared" si="18"/>
        <v>59781040</v>
      </c>
      <c r="Z605" s="41">
        <f t="shared" si="19"/>
        <v>0</v>
      </c>
    </row>
    <row r="606" spans="1:27" ht="26.25">
      <c r="A606" s="2">
        <v>604</v>
      </c>
      <c r="B606" s="2">
        <v>2302792</v>
      </c>
      <c r="C606" s="2">
        <v>50101025300018</v>
      </c>
      <c r="D606" s="2" t="s">
        <v>45</v>
      </c>
      <c r="E606" s="2">
        <v>8628473</v>
      </c>
      <c r="F606" s="2">
        <v>993424732</v>
      </c>
      <c r="G606" s="3">
        <v>37257</v>
      </c>
      <c r="H606" s="2" t="s">
        <v>1567</v>
      </c>
      <c r="I606" s="2" t="s">
        <v>637</v>
      </c>
      <c r="J606" s="2" t="s">
        <v>1568</v>
      </c>
      <c r="K606" s="2" t="s">
        <v>39</v>
      </c>
      <c r="L606" s="2" t="s">
        <v>27</v>
      </c>
      <c r="M606" s="2">
        <v>5310701</v>
      </c>
      <c r="N606" s="2" t="s">
        <v>118</v>
      </c>
      <c r="O606" s="2" t="s">
        <v>122</v>
      </c>
      <c r="P606" s="2" t="s">
        <v>123</v>
      </c>
      <c r="Q606" s="2" t="s">
        <v>124</v>
      </c>
      <c r="R606" s="2" t="s">
        <v>62</v>
      </c>
      <c r="S606" s="2">
        <v>8</v>
      </c>
      <c r="T606" s="2" t="s">
        <v>33</v>
      </c>
      <c r="U606" s="2" t="s">
        <v>34</v>
      </c>
      <c r="V606" s="29">
        <v>53802936</v>
      </c>
      <c r="W606" s="20">
        <v>30000000</v>
      </c>
      <c r="X606" s="2" t="s">
        <v>2677</v>
      </c>
      <c r="Y606" s="30">
        <f t="shared" si="18"/>
        <v>23802936</v>
      </c>
      <c r="Z606" s="41">
        <f t="shared" si="19"/>
        <v>0.55759038874755829</v>
      </c>
    </row>
    <row r="607" spans="1:27" ht="26.25">
      <c r="A607" s="2">
        <v>605</v>
      </c>
      <c r="B607" s="2">
        <v>3112440</v>
      </c>
      <c r="C607" s="2">
        <v>30911996350015</v>
      </c>
      <c r="D607" s="2" t="s">
        <v>45</v>
      </c>
      <c r="E607" s="2">
        <v>2162313</v>
      </c>
      <c r="F607" s="2">
        <v>905199500</v>
      </c>
      <c r="G607" s="3">
        <v>36473</v>
      </c>
      <c r="H607" s="2" t="s">
        <v>135</v>
      </c>
      <c r="I607" s="2" t="s">
        <v>513</v>
      </c>
      <c r="J607" s="2" t="s">
        <v>1569</v>
      </c>
      <c r="K607" s="2" t="s">
        <v>39</v>
      </c>
      <c r="L607" s="2" t="s">
        <v>27</v>
      </c>
      <c r="M607" s="2">
        <v>5620701</v>
      </c>
      <c r="N607" s="2" t="s">
        <v>218</v>
      </c>
      <c r="O607" s="2" t="s">
        <v>155</v>
      </c>
      <c r="P607" s="2" t="s">
        <v>219</v>
      </c>
      <c r="Q607" s="2" t="s">
        <v>133</v>
      </c>
      <c r="R607" s="2" t="s">
        <v>62</v>
      </c>
      <c r="S607" s="2">
        <v>8</v>
      </c>
      <c r="T607" s="2" t="s">
        <v>33</v>
      </c>
      <c r="U607" s="2" t="s">
        <v>34</v>
      </c>
      <c r="V607" s="32">
        <v>53802936</v>
      </c>
      <c r="W607" s="20">
        <f>26901468+26901460</f>
        <v>53802928</v>
      </c>
      <c r="X607" s="2" t="s">
        <v>2687</v>
      </c>
      <c r="Y607" s="30">
        <f t="shared" si="18"/>
        <v>8</v>
      </c>
      <c r="Z607" s="41">
        <f t="shared" si="19"/>
        <v>0.99999985130922964</v>
      </c>
    </row>
    <row r="608" spans="1:27" ht="26.25">
      <c r="A608" s="2">
        <v>606</v>
      </c>
      <c r="B608" s="2">
        <v>3562469</v>
      </c>
      <c r="C608" s="2">
        <v>52212035580010</v>
      </c>
      <c r="D608" s="2" t="s">
        <v>22</v>
      </c>
      <c r="E608" s="2">
        <v>2484308</v>
      </c>
      <c r="F608" s="2">
        <v>978521280</v>
      </c>
      <c r="G608" s="3">
        <v>37977</v>
      </c>
      <c r="H608" s="2" t="s">
        <v>125</v>
      </c>
      <c r="I608" s="2" t="s">
        <v>1570</v>
      </c>
      <c r="J608" s="2" t="s">
        <v>1160</v>
      </c>
      <c r="K608" s="2" t="s">
        <v>26</v>
      </c>
      <c r="L608" s="2" t="s">
        <v>27</v>
      </c>
      <c r="M608" s="2">
        <v>5310602</v>
      </c>
      <c r="N608" s="2" t="s">
        <v>518</v>
      </c>
      <c r="O608" s="2" t="s">
        <v>87</v>
      </c>
      <c r="P608" s="2" t="s">
        <v>88</v>
      </c>
      <c r="Q608" s="4">
        <v>42064</v>
      </c>
      <c r="R608" s="2" t="s">
        <v>53</v>
      </c>
      <c r="S608" s="2">
        <v>8</v>
      </c>
      <c r="T608" s="2" t="s">
        <v>33</v>
      </c>
      <c r="U608" s="2" t="s">
        <v>34</v>
      </c>
      <c r="V608" s="32">
        <v>19237830</v>
      </c>
      <c r="W608" s="24">
        <v>9900000</v>
      </c>
      <c r="X608" s="15" t="s">
        <v>2661</v>
      </c>
      <c r="Y608" s="30">
        <f t="shared" si="18"/>
        <v>9337830</v>
      </c>
      <c r="Z608" s="41">
        <f t="shared" si="19"/>
        <v>0.51461105540489749</v>
      </c>
    </row>
    <row r="609" spans="1:27" ht="26.25">
      <c r="A609" s="2">
        <v>607</v>
      </c>
      <c r="B609" s="2">
        <v>2500526</v>
      </c>
      <c r="C609" s="2">
        <v>51506035750047</v>
      </c>
      <c r="D609" s="2" t="s">
        <v>22</v>
      </c>
      <c r="E609" s="2">
        <v>2606492</v>
      </c>
      <c r="F609" s="2">
        <v>907163586</v>
      </c>
      <c r="G609" s="3">
        <v>37787</v>
      </c>
      <c r="H609" s="2" t="s">
        <v>125</v>
      </c>
      <c r="I609" s="2" t="s">
        <v>1571</v>
      </c>
      <c r="J609" s="2" t="s">
        <v>493</v>
      </c>
      <c r="K609" s="2" t="s">
        <v>39</v>
      </c>
      <c r="L609" s="2" t="s">
        <v>27</v>
      </c>
      <c r="M609" s="2">
        <v>5340602</v>
      </c>
      <c r="N609" s="2" t="s">
        <v>628</v>
      </c>
      <c r="O609" s="2" t="s">
        <v>175</v>
      </c>
      <c r="P609" s="2" t="s">
        <v>629</v>
      </c>
      <c r="Q609" s="4">
        <v>11110</v>
      </c>
      <c r="R609" s="2" t="s">
        <v>44</v>
      </c>
      <c r="S609" s="2">
        <v>8</v>
      </c>
      <c r="T609" s="2" t="s">
        <v>508</v>
      </c>
      <c r="U609" s="2" t="s">
        <v>34</v>
      </c>
      <c r="V609" s="32">
        <v>65759144</v>
      </c>
      <c r="Y609" s="30">
        <f t="shared" si="18"/>
        <v>65759144</v>
      </c>
      <c r="Z609" s="41">
        <f t="shared" si="19"/>
        <v>0</v>
      </c>
    </row>
    <row r="610" spans="1:27" ht="26.25">
      <c r="A610" s="2">
        <v>608</v>
      </c>
      <c r="B610" s="2">
        <v>3532644</v>
      </c>
      <c r="C610" s="2">
        <v>50105046080096</v>
      </c>
      <c r="D610" s="2" t="s">
        <v>22</v>
      </c>
      <c r="E610" s="2">
        <v>3220843</v>
      </c>
      <c r="F610" s="2">
        <v>974551617</v>
      </c>
      <c r="G610" s="3">
        <v>38108</v>
      </c>
      <c r="H610" s="2" t="s">
        <v>1572</v>
      </c>
      <c r="I610" s="2" t="s">
        <v>1573</v>
      </c>
      <c r="J610" s="2" t="s">
        <v>1574</v>
      </c>
      <c r="K610" s="2" t="s">
        <v>26</v>
      </c>
      <c r="L610" s="2" t="s">
        <v>27</v>
      </c>
      <c r="M610" s="2">
        <v>5330202</v>
      </c>
      <c r="N610" s="2" t="s">
        <v>164</v>
      </c>
      <c r="O610" s="2" t="s">
        <v>104</v>
      </c>
      <c r="P610" s="2" t="s">
        <v>165</v>
      </c>
      <c r="Q610" s="2" t="s">
        <v>602</v>
      </c>
      <c r="R610" s="2" t="s">
        <v>93</v>
      </c>
      <c r="S610" s="2">
        <v>10</v>
      </c>
      <c r="T610" s="2" t="s">
        <v>33</v>
      </c>
      <c r="U610" s="2" t="s">
        <v>34</v>
      </c>
      <c r="V610" s="32">
        <v>63827460</v>
      </c>
      <c r="W610" s="21">
        <f>31913730+2900000+2894000</f>
        <v>37707730</v>
      </c>
      <c r="X610" s="10" t="s">
        <v>2887</v>
      </c>
      <c r="Y610" s="30">
        <f t="shared" si="18"/>
        <v>26119730</v>
      </c>
      <c r="Z610" s="41">
        <f t="shared" si="19"/>
        <v>0.59077597635876467</v>
      </c>
    </row>
    <row r="611" spans="1:27" ht="15.75">
      <c r="A611" s="2">
        <v>609</v>
      </c>
      <c r="B611" s="2">
        <v>2005472</v>
      </c>
      <c r="C611" s="2">
        <v>32806986800035</v>
      </c>
      <c r="D611" s="2" t="s">
        <v>45</v>
      </c>
      <c r="E611" s="2">
        <v>793667</v>
      </c>
      <c r="F611" s="2">
        <v>977656958</v>
      </c>
      <c r="G611" s="3">
        <v>35974</v>
      </c>
      <c r="H611" s="2" t="s">
        <v>1575</v>
      </c>
      <c r="I611" s="2" t="s">
        <v>1576</v>
      </c>
      <c r="J611" s="2" t="s">
        <v>1475</v>
      </c>
      <c r="K611" s="2" t="s">
        <v>39</v>
      </c>
      <c r="L611" s="2" t="s">
        <v>27</v>
      </c>
      <c r="M611" s="2">
        <v>5620400</v>
      </c>
      <c r="N611" s="2" t="s">
        <v>103</v>
      </c>
      <c r="O611" s="2" t="s">
        <v>104</v>
      </c>
      <c r="P611" s="2" t="s">
        <v>123</v>
      </c>
      <c r="Q611" s="2" t="s">
        <v>61</v>
      </c>
      <c r="R611" s="2" t="s">
        <v>62</v>
      </c>
      <c r="S611" s="2">
        <v>8</v>
      </c>
      <c r="T611" s="2" t="s">
        <v>33</v>
      </c>
      <c r="U611" s="2" t="s">
        <v>34</v>
      </c>
      <c r="V611" s="32">
        <v>53802936</v>
      </c>
      <c r="W611" s="21">
        <f>29891000+11000000</f>
        <v>40891000</v>
      </c>
      <c r="X611" s="12" t="s">
        <v>2962</v>
      </c>
      <c r="Y611" s="30">
        <f t="shared" si="18"/>
        <v>12911936</v>
      </c>
      <c r="Z611" s="41">
        <f t="shared" si="19"/>
        <v>0.76001428620921352</v>
      </c>
    </row>
    <row r="612" spans="1:27">
      <c r="A612" s="2">
        <v>610</v>
      </c>
      <c r="B612" s="2">
        <v>1792023</v>
      </c>
      <c r="C612" s="2">
        <v>31704942890014</v>
      </c>
      <c r="D612" s="2" t="s">
        <v>145</v>
      </c>
      <c r="E612" s="2">
        <v>3652149</v>
      </c>
      <c r="F612" s="2">
        <v>990400105</v>
      </c>
      <c r="G612" s="3">
        <v>34441</v>
      </c>
      <c r="H612" s="2" t="s">
        <v>606</v>
      </c>
      <c r="I612" s="2" t="s">
        <v>24</v>
      </c>
      <c r="J612" s="2" t="s">
        <v>1577</v>
      </c>
      <c r="K612" s="2" t="s">
        <v>39</v>
      </c>
      <c r="L612" s="2" t="s">
        <v>27</v>
      </c>
      <c r="M612" s="2">
        <v>5310606</v>
      </c>
      <c r="N612" s="2" t="s">
        <v>72</v>
      </c>
      <c r="O612" s="2" t="s">
        <v>42</v>
      </c>
      <c r="P612" s="2" t="s">
        <v>73</v>
      </c>
      <c r="Q612" s="5">
        <v>44317</v>
      </c>
      <c r="R612" s="2" t="s">
        <v>62</v>
      </c>
      <c r="S612" s="2">
        <v>8</v>
      </c>
      <c r="T612" s="2" t="s">
        <v>33</v>
      </c>
      <c r="U612" s="2" t="s">
        <v>34</v>
      </c>
      <c r="V612" s="29" t="s">
        <v>2725</v>
      </c>
      <c r="W612" s="20">
        <v>5050000</v>
      </c>
      <c r="X612" s="2" t="s">
        <v>2663</v>
      </c>
      <c r="Y612" s="30">
        <f t="shared" si="18"/>
        <v>5038050.5</v>
      </c>
      <c r="Z612" s="41">
        <f t="shared" si="19"/>
        <v>0.50059226012003011</v>
      </c>
      <c r="AA612" s="42" t="s">
        <v>2798</v>
      </c>
    </row>
    <row r="613" spans="1:27">
      <c r="A613" s="2">
        <v>611</v>
      </c>
      <c r="B613" s="2">
        <v>2792179</v>
      </c>
      <c r="C613" s="2">
        <v>31005965780039</v>
      </c>
      <c r="D613" s="2" t="s">
        <v>145</v>
      </c>
      <c r="E613" s="2">
        <v>1308180</v>
      </c>
      <c r="F613" s="2">
        <v>901351515</v>
      </c>
      <c r="G613" s="3">
        <v>35195</v>
      </c>
      <c r="H613" s="2" t="s">
        <v>1329</v>
      </c>
      <c r="I613" s="2" t="s">
        <v>1578</v>
      </c>
      <c r="J613" s="2" t="s">
        <v>1579</v>
      </c>
      <c r="K613" s="2" t="s">
        <v>39</v>
      </c>
      <c r="L613" s="2" t="s">
        <v>27</v>
      </c>
      <c r="M613" s="2">
        <v>5340603</v>
      </c>
      <c r="N613" s="2" t="s">
        <v>174</v>
      </c>
      <c r="O613" s="2" t="s">
        <v>207</v>
      </c>
      <c r="P613" s="2" t="s">
        <v>175</v>
      </c>
      <c r="Q613" s="4">
        <v>45778</v>
      </c>
      <c r="R613" s="2" t="s">
        <v>44</v>
      </c>
      <c r="S613" s="2">
        <v>8</v>
      </c>
      <c r="T613" s="2" t="s">
        <v>33</v>
      </c>
      <c r="U613" s="2" t="s">
        <v>34</v>
      </c>
      <c r="V613" s="29" t="s">
        <v>2722</v>
      </c>
      <c r="W613" s="20">
        <v>65759144</v>
      </c>
      <c r="X613" s="2" t="s">
        <v>2627</v>
      </c>
      <c r="Y613" s="30">
        <f t="shared" si="18"/>
        <v>-6575914.3999999985</v>
      </c>
      <c r="Z613" s="41">
        <f t="shared" si="19"/>
        <v>1.1111111111111112</v>
      </c>
    </row>
    <row r="614" spans="1:27" ht="26.25">
      <c r="A614" s="2">
        <v>612</v>
      </c>
      <c r="B614" s="2">
        <v>3363083</v>
      </c>
      <c r="C614" s="2">
        <v>52202046770070</v>
      </c>
      <c r="D614" s="2" t="s">
        <v>74</v>
      </c>
      <c r="E614" s="2">
        <v>173934</v>
      </c>
      <c r="F614" s="2">
        <v>936470619</v>
      </c>
      <c r="G614" s="3">
        <v>38039</v>
      </c>
      <c r="H614" s="2" t="s">
        <v>986</v>
      </c>
      <c r="I614" s="2" t="s">
        <v>1580</v>
      </c>
      <c r="J614" s="2" t="s">
        <v>727</v>
      </c>
      <c r="K614" s="2" t="s">
        <v>26</v>
      </c>
      <c r="L614" s="2" t="s">
        <v>27</v>
      </c>
      <c r="M614" s="2">
        <v>5310608</v>
      </c>
      <c r="N614" s="2" t="s">
        <v>921</v>
      </c>
      <c r="O614" s="2" t="s">
        <v>155</v>
      </c>
      <c r="P614" s="2" t="s">
        <v>42</v>
      </c>
      <c r="Q614" s="4">
        <v>12966</v>
      </c>
      <c r="R614" s="2" t="s">
        <v>53</v>
      </c>
      <c r="S614" s="2">
        <v>8</v>
      </c>
      <c r="T614" s="2" t="s">
        <v>33</v>
      </c>
      <c r="U614" s="2" t="s">
        <v>34</v>
      </c>
      <c r="V614" s="32">
        <v>51300880</v>
      </c>
      <c r="Y614" s="30">
        <f t="shared" si="18"/>
        <v>51300880</v>
      </c>
      <c r="Z614" s="41">
        <f t="shared" si="19"/>
        <v>0</v>
      </c>
    </row>
    <row r="615" spans="1:27" ht="26.25">
      <c r="A615" s="2">
        <v>613</v>
      </c>
      <c r="B615" s="2">
        <v>3749998</v>
      </c>
      <c r="C615" s="2">
        <v>31604920820014</v>
      </c>
      <c r="D615" s="2" t="s">
        <v>145</v>
      </c>
      <c r="E615" s="2">
        <v>3965612</v>
      </c>
      <c r="F615" s="2">
        <v>974863030</v>
      </c>
      <c r="G615" s="3">
        <v>33710</v>
      </c>
      <c r="H615" s="2" t="s">
        <v>670</v>
      </c>
      <c r="I615" s="2" t="s">
        <v>811</v>
      </c>
      <c r="J615" s="2" t="s">
        <v>1581</v>
      </c>
      <c r="K615" s="2" t="s">
        <v>39</v>
      </c>
      <c r="L615" s="2" t="s">
        <v>27</v>
      </c>
      <c r="M615" s="2">
        <v>5340605</v>
      </c>
      <c r="N615" s="2" t="s">
        <v>40</v>
      </c>
      <c r="O615" s="2" t="s">
        <v>122</v>
      </c>
      <c r="P615" s="2" t="s">
        <v>42</v>
      </c>
      <c r="Q615" s="2" t="s">
        <v>170</v>
      </c>
      <c r="R615" s="2" t="s">
        <v>44</v>
      </c>
      <c r="S615" s="2">
        <v>8</v>
      </c>
      <c r="T615" s="2" t="s">
        <v>33</v>
      </c>
      <c r="U615" s="2" t="s">
        <v>34</v>
      </c>
      <c r="V615" s="32">
        <v>65759144</v>
      </c>
      <c r="Y615" s="30">
        <f t="shared" si="18"/>
        <v>65759144</v>
      </c>
      <c r="Z615" s="41">
        <f t="shared" si="19"/>
        <v>0</v>
      </c>
    </row>
    <row r="616" spans="1:27" ht="26.25">
      <c r="A616" s="2">
        <v>614</v>
      </c>
      <c r="B616" s="2">
        <v>1219193</v>
      </c>
      <c r="C616" s="2">
        <v>51504007230047</v>
      </c>
      <c r="D616" s="2" t="s">
        <v>35</v>
      </c>
      <c r="E616" s="2">
        <v>1123550</v>
      </c>
      <c r="F616" s="2">
        <v>991250605</v>
      </c>
      <c r="G616" s="3">
        <v>36631</v>
      </c>
      <c r="H616" s="2" t="s">
        <v>1582</v>
      </c>
      <c r="I616" s="2" t="s">
        <v>1583</v>
      </c>
      <c r="J616" s="2" t="s">
        <v>1073</v>
      </c>
      <c r="K616" s="2" t="s">
        <v>26</v>
      </c>
      <c r="L616" s="2" t="s">
        <v>27</v>
      </c>
      <c r="M616" s="2">
        <v>5310605</v>
      </c>
      <c r="N616" s="2" t="s">
        <v>97</v>
      </c>
      <c r="O616" s="2" t="s">
        <v>88</v>
      </c>
      <c r="P616" s="2" t="s">
        <v>98</v>
      </c>
      <c r="Q616" s="2" t="s">
        <v>374</v>
      </c>
      <c r="R616" s="2" t="s">
        <v>53</v>
      </c>
      <c r="S616" s="2">
        <v>8</v>
      </c>
      <c r="T616" s="2" t="s">
        <v>33</v>
      </c>
      <c r="U616" s="2" t="s">
        <v>34</v>
      </c>
      <c r="V616" s="32">
        <v>51300880</v>
      </c>
      <c r="Y616" s="30">
        <f t="shared" si="18"/>
        <v>51300880</v>
      </c>
      <c r="Z616" s="41">
        <f t="shared" si="19"/>
        <v>0</v>
      </c>
    </row>
    <row r="617" spans="1:27" ht="26.25">
      <c r="A617" s="2">
        <v>615</v>
      </c>
      <c r="B617" s="2">
        <v>2897498</v>
      </c>
      <c r="C617" s="2">
        <v>40606803120035</v>
      </c>
      <c r="D617" s="2" t="s">
        <v>145</v>
      </c>
      <c r="E617" s="2">
        <v>3568089</v>
      </c>
      <c r="F617" s="2">
        <v>978833000</v>
      </c>
      <c r="G617" s="3">
        <v>29378</v>
      </c>
      <c r="H617" s="2" t="s">
        <v>1584</v>
      </c>
      <c r="I617" s="2" t="s">
        <v>1585</v>
      </c>
      <c r="J617" s="2" t="s">
        <v>1586</v>
      </c>
      <c r="K617" s="2" t="s">
        <v>39</v>
      </c>
      <c r="L617" s="2" t="s">
        <v>57</v>
      </c>
      <c r="M617" s="2">
        <v>5620702</v>
      </c>
      <c r="N617" s="2" t="s">
        <v>159</v>
      </c>
      <c r="O617" s="2" t="s">
        <v>160</v>
      </c>
      <c r="P617" s="2" t="s">
        <v>139</v>
      </c>
      <c r="Q617" s="2" t="s">
        <v>133</v>
      </c>
      <c r="R617" s="2" t="s">
        <v>62</v>
      </c>
      <c r="S617" s="2">
        <v>8</v>
      </c>
      <c r="T617" s="2" t="s">
        <v>33</v>
      </c>
      <c r="U617" s="2" t="s">
        <v>34</v>
      </c>
      <c r="V617" s="32">
        <v>119562080</v>
      </c>
      <c r="Y617" s="30">
        <f t="shared" si="18"/>
        <v>119562080</v>
      </c>
      <c r="Z617" s="41">
        <f t="shared" si="19"/>
        <v>0</v>
      </c>
    </row>
    <row r="618" spans="1:27">
      <c r="A618" s="2">
        <v>616</v>
      </c>
      <c r="B618" s="2">
        <v>2535028</v>
      </c>
      <c r="C618" s="2">
        <v>32512995450018</v>
      </c>
      <c r="D618" s="2" t="s">
        <v>45</v>
      </c>
      <c r="E618" s="2">
        <v>4893295</v>
      </c>
      <c r="F618" s="2">
        <v>905166964</v>
      </c>
      <c r="G618" s="3">
        <v>36519</v>
      </c>
      <c r="H618" s="2" t="s">
        <v>1587</v>
      </c>
      <c r="I618" s="2" t="s">
        <v>1588</v>
      </c>
      <c r="J618" s="2" t="s">
        <v>1589</v>
      </c>
      <c r="K618" s="2" t="s">
        <v>39</v>
      </c>
      <c r="L618" s="2" t="s">
        <v>27</v>
      </c>
      <c r="M618" s="2">
        <v>5340601</v>
      </c>
      <c r="N618" s="2" t="s">
        <v>110</v>
      </c>
      <c r="O618" s="2" t="s">
        <v>175</v>
      </c>
      <c r="P618" s="2">
        <v>84</v>
      </c>
      <c r="Q618" s="4">
        <v>16681</v>
      </c>
      <c r="R618" s="2" t="s">
        <v>44</v>
      </c>
      <c r="S618" s="2">
        <v>8</v>
      </c>
      <c r="T618" s="2" t="s">
        <v>33</v>
      </c>
      <c r="U618" s="2" t="s">
        <v>34</v>
      </c>
      <c r="V618" s="32">
        <v>65759144</v>
      </c>
      <c r="Y618" s="30">
        <f t="shared" si="18"/>
        <v>65759144</v>
      </c>
      <c r="Z618" s="41">
        <f t="shared" si="19"/>
        <v>0</v>
      </c>
    </row>
    <row r="619" spans="1:27" ht="26.25">
      <c r="A619" s="2">
        <v>617</v>
      </c>
      <c r="B619" s="2">
        <v>2385087</v>
      </c>
      <c r="C619" s="2">
        <v>50406015790016</v>
      </c>
      <c r="D619" s="2" t="s">
        <v>45</v>
      </c>
      <c r="E619" s="2">
        <v>7283013</v>
      </c>
      <c r="F619" s="2">
        <v>913342515</v>
      </c>
      <c r="G619" s="3">
        <v>37046</v>
      </c>
      <c r="H619" s="2" t="s">
        <v>1590</v>
      </c>
      <c r="I619" s="2" t="s">
        <v>664</v>
      </c>
      <c r="J619" s="2" t="s">
        <v>849</v>
      </c>
      <c r="K619" s="2" t="s">
        <v>39</v>
      </c>
      <c r="L619" s="2" t="s">
        <v>57</v>
      </c>
      <c r="M619" s="2">
        <v>5620702</v>
      </c>
      <c r="N619" s="2" t="s">
        <v>159</v>
      </c>
      <c r="O619" s="2" t="s">
        <v>154</v>
      </c>
      <c r="P619" s="2" t="s">
        <v>139</v>
      </c>
      <c r="Q619" s="5">
        <v>44471</v>
      </c>
      <c r="R619" s="2" t="s">
        <v>62</v>
      </c>
      <c r="S619" s="2">
        <v>8</v>
      </c>
      <c r="T619" s="2" t="s">
        <v>33</v>
      </c>
      <c r="U619" s="2" t="s">
        <v>34</v>
      </c>
      <c r="V619" s="32">
        <v>18681575</v>
      </c>
      <c r="W619" s="44">
        <v>9340800</v>
      </c>
      <c r="X619" s="43">
        <v>44615</v>
      </c>
      <c r="Y619" s="30">
        <f t="shared" si="18"/>
        <v>9340775</v>
      </c>
      <c r="Z619" s="41">
        <f t="shared" si="19"/>
        <v>0.50000066910846652</v>
      </c>
    </row>
    <row r="620" spans="1:27" ht="26.25">
      <c r="A620" s="2">
        <v>618</v>
      </c>
      <c r="B620" s="2">
        <v>2864242</v>
      </c>
      <c r="C620" s="2">
        <v>31403913090050</v>
      </c>
      <c r="D620" s="2" t="s">
        <v>45</v>
      </c>
      <c r="E620" s="2">
        <v>3421559</v>
      </c>
      <c r="F620" s="2">
        <v>997311491</v>
      </c>
      <c r="G620" s="3">
        <v>33311</v>
      </c>
      <c r="H620" s="2" t="s">
        <v>1591</v>
      </c>
      <c r="I620" s="2" t="s">
        <v>1592</v>
      </c>
      <c r="J620" s="2" t="s">
        <v>1593</v>
      </c>
      <c r="K620" s="2" t="s">
        <v>39</v>
      </c>
      <c r="L620" s="2" t="s">
        <v>27</v>
      </c>
      <c r="M620" s="2">
        <v>5310601</v>
      </c>
      <c r="N620" s="2" t="s">
        <v>153</v>
      </c>
      <c r="O620" s="2" t="s">
        <v>87</v>
      </c>
      <c r="P620" s="2" t="s">
        <v>79</v>
      </c>
      <c r="Q620" s="2" t="s">
        <v>440</v>
      </c>
      <c r="R620" s="2" t="s">
        <v>62</v>
      </c>
      <c r="S620" s="2">
        <v>8</v>
      </c>
      <c r="T620" s="2" t="s">
        <v>33</v>
      </c>
      <c r="U620" s="2" t="s">
        <v>34</v>
      </c>
      <c r="V620" s="29" t="s">
        <v>2748</v>
      </c>
      <c r="W620" s="20">
        <f>30000000+10000000</f>
        <v>40000000</v>
      </c>
      <c r="X620" s="2" t="s">
        <v>2970</v>
      </c>
      <c r="Y620" s="30">
        <f t="shared" si="18"/>
        <v>13802936</v>
      </c>
      <c r="Z620" s="41">
        <f t="shared" si="19"/>
        <v>0.74345385166341105</v>
      </c>
      <c r="AA620" s="42" t="s">
        <v>2798</v>
      </c>
    </row>
    <row r="621" spans="1:27">
      <c r="A621" s="2">
        <v>619</v>
      </c>
      <c r="B621" s="2">
        <v>2977972</v>
      </c>
      <c r="C621" s="2">
        <v>60811016670031</v>
      </c>
      <c r="D621" s="2" t="s">
        <v>45</v>
      </c>
      <c r="E621" s="2">
        <v>8115017</v>
      </c>
      <c r="F621" s="2">
        <v>900071217</v>
      </c>
      <c r="G621" s="3">
        <v>37203</v>
      </c>
      <c r="H621" s="2" t="s">
        <v>1594</v>
      </c>
      <c r="I621" s="2" t="s">
        <v>1595</v>
      </c>
      <c r="J621" s="2" t="s">
        <v>1596</v>
      </c>
      <c r="K621" s="2" t="s">
        <v>39</v>
      </c>
      <c r="L621" s="2" t="s">
        <v>57</v>
      </c>
      <c r="M621" s="2">
        <v>5310400</v>
      </c>
      <c r="N621" s="2" t="s">
        <v>232</v>
      </c>
      <c r="O621" s="2" t="s">
        <v>88</v>
      </c>
      <c r="P621" s="2" t="s">
        <v>139</v>
      </c>
      <c r="Q621" s="4">
        <v>11110</v>
      </c>
      <c r="R621" s="2" t="s">
        <v>62</v>
      </c>
      <c r="S621" s="2">
        <v>8</v>
      </c>
      <c r="T621" s="2" t="s">
        <v>33</v>
      </c>
      <c r="U621" s="2" t="s">
        <v>34</v>
      </c>
      <c r="V621" s="32">
        <v>59781040</v>
      </c>
      <c r="Y621" s="30">
        <f t="shared" si="18"/>
        <v>59781040</v>
      </c>
      <c r="Z621" s="41">
        <f t="shared" si="19"/>
        <v>0</v>
      </c>
    </row>
    <row r="622" spans="1:27" ht="26.25">
      <c r="A622" s="2">
        <v>620</v>
      </c>
      <c r="B622" s="2">
        <v>2698305</v>
      </c>
      <c r="C622" s="2">
        <v>52609026020017</v>
      </c>
      <c r="D622" s="2" t="s">
        <v>22</v>
      </c>
      <c r="E622" s="2">
        <v>367777</v>
      </c>
      <c r="F622" s="2">
        <v>992090809</v>
      </c>
      <c r="G622" s="3">
        <v>37525</v>
      </c>
      <c r="H622" s="2" t="s">
        <v>282</v>
      </c>
      <c r="I622" s="2" t="s">
        <v>1334</v>
      </c>
      <c r="J622" s="2" t="s">
        <v>643</v>
      </c>
      <c r="K622" s="2" t="s">
        <v>39</v>
      </c>
      <c r="L622" s="2" t="s">
        <v>27</v>
      </c>
      <c r="M622" s="2">
        <v>5310601</v>
      </c>
      <c r="N622" s="2" t="s">
        <v>153</v>
      </c>
      <c r="O622" s="2" t="s">
        <v>207</v>
      </c>
      <c r="P622" s="2" t="s">
        <v>79</v>
      </c>
      <c r="Q622" s="2" t="s">
        <v>170</v>
      </c>
      <c r="R622" s="2" t="s">
        <v>62</v>
      </c>
      <c r="S622" s="2">
        <v>8</v>
      </c>
      <c r="T622" s="2" t="s">
        <v>33</v>
      </c>
      <c r="U622" s="2" t="s">
        <v>34</v>
      </c>
      <c r="V622" s="32">
        <v>59781040</v>
      </c>
      <c r="Y622" s="30">
        <f t="shared" si="18"/>
        <v>59781040</v>
      </c>
      <c r="Z622" s="41">
        <f t="shared" si="19"/>
        <v>0</v>
      </c>
    </row>
    <row r="623" spans="1:27" ht="51.75">
      <c r="A623" s="2">
        <v>621</v>
      </c>
      <c r="B623" s="2">
        <v>3546423</v>
      </c>
      <c r="C623" s="2">
        <v>33108976590047</v>
      </c>
      <c r="D623" s="2" t="s">
        <v>145</v>
      </c>
      <c r="E623" s="2">
        <v>2860929</v>
      </c>
      <c r="F623" s="2">
        <v>935676881</v>
      </c>
      <c r="G623" s="3">
        <v>35673</v>
      </c>
      <c r="H623" s="2" t="s">
        <v>1499</v>
      </c>
      <c r="I623" s="2" t="s">
        <v>372</v>
      </c>
      <c r="J623" s="2" t="s">
        <v>1597</v>
      </c>
      <c r="K623" s="2" t="s">
        <v>39</v>
      </c>
      <c r="L623" s="2" t="s">
        <v>27</v>
      </c>
      <c r="M623" s="2">
        <v>5340604</v>
      </c>
      <c r="N623" s="2" t="s">
        <v>354</v>
      </c>
      <c r="O623" s="2" t="s">
        <v>67</v>
      </c>
      <c r="P623" s="2" t="s">
        <v>42</v>
      </c>
      <c r="Q623" s="5">
        <v>44471</v>
      </c>
      <c r="R623" s="2" t="s">
        <v>44</v>
      </c>
      <c r="S623" s="2">
        <v>8</v>
      </c>
      <c r="T623" s="2" t="s">
        <v>33</v>
      </c>
      <c r="U623" s="2" t="s">
        <v>34</v>
      </c>
      <c r="V623" s="32" t="s">
        <v>2729</v>
      </c>
      <c r="W623" s="20">
        <f>9250000+2000000+1000000+1700000</f>
        <v>13950000</v>
      </c>
      <c r="X623" s="2" t="s">
        <v>2928</v>
      </c>
      <c r="Y623" s="30">
        <f t="shared" si="18"/>
        <v>4544759.25</v>
      </c>
      <c r="Z623" s="41">
        <f t="shared" si="19"/>
        <v>0.75426772586942437</v>
      </c>
    </row>
    <row r="624" spans="1:27">
      <c r="A624" s="2">
        <v>622</v>
      </c>
      <c r="B624" s="2">
        <v>3308004</v>
      </c>
      <c r="C624" s="2">
        <v>51002046880028</v>
      </c>
      <c r="D624" s="2" t="s">
        <v>22</v>
      </c>
      <c r="E624" s="2">
        <v>2737523</v>
      </c>
      <c r="F624" s="2">
        <v>997883213</v>
      </c>
      <c r="G624" s="3">
        <v>38027</v>
      </c>
      <c r="H624" s="2" t="s">
        <v>156</v>
      </c>
      <c r="I624" s="2" t="s">
        <v>1598</v>
      </c>
      <c r="J624" s="2" t="s">
        <v>1599</v>
      </c>
      <c r="K624" s="2" t="s">
        <v>26</v>
      </c>
      <c r="L624" s="2" t="s">
        <v>57</v>
      </c>
      <c r="M624" s="2">
        <v>5620400</v>
      </c>
      <c r="N624" s="2" t="s">
        <v>103</v>
      </c>
      <c r="O624" s="2" t="s">
        <v>439</v>
      </c>
      <c r="P624" s="2">
        <v>63</v>
      </c>
      <c r="Q624" s="4">
        <v>16681</v>
      </c>
      <c r="R624" s="2" t="s">
        <v>53</v>
      </c>
      <c r="S624" s="2">
        <v>8</v>
      </c>
      <c r="T624" s="2" t="s">
        <v>33</v>
      </c>
      <c r="U624" s="2" t="s">
        <v>34</v>
      </c>
      <c r="V624" s="32">
        <v>102601760</v>
      </c>
      <c r="Y624" s="30">
        <f t="shared" si="18"/>
        <v>102601760</v>
      </c>
      <c r="Z624" s="41">
        <f t="shared" si="19"/>
        <v>0</v>
      </c>
    </row>
    <row r="625" spans="1:27" ht="15.75">
      <c r="A625" s="2">
        <v>623</v>
      </c>
      <c r="B625" s="2">
        <v>2369825</v>
      </c>
      <c r="C625" s="2">
        <v>51212026380011</v>
      </c>
      <c r="D625" s="2" t="s">
        <v>22</v>
      </c>
      <c r="E625" s="2">
        <v>1571822</v>
      </c>
      <c r="F625" s="2">
        <v>992423907</v>
      </c>
      <c r="G625" s="3">
        <v>37602</v>
      </c>
      <c r="H625" s="2" t="s">
        <v>115</v>
      </c>
      <c r="I625" s="2" t="s">
        <v>1600</v>
      </c>
      <c r="J625" s="2" t="s">
        <v>1601</v>
      </c>
      <c r="K625" s="2" t="s">
        <v>26</v>
      </c>
      <c r="L625" s="2" t="s">
        <v>27</v>
      </c>
      <c r="M625" s="2">
        <v>5620400</v>
      </c>
      <c r="N625" s="2" t="s">
        <v>103</v>
      </c>
      <c r="O625" s="2" t="s">
        <v>88</v>
      </c>
      <c r="P625" s="2" t="s">
        <v>105</v>
      </c>
      <c r="Q625" s="2" t="s">
        <v>433</v>
      </c>
      <c r="R625" s="2" t="s">
        <v>53</v>
      </c>
      <c r="S625" s="2">
        <v>8</v>
      </c>
      <c r="T625" s="2" t="s">
        <v>33</v>
      </c>
      <c r="U625" s="2" t="s">
        <v>34</v>
      </c>
      <c r="V625" s="29" t="s">
        <v>2799</v>
      </c>
      <c r="W625" s="21">
        <v>30000000</v>
      </c>
      <c r="X625" s="12" t="s">
        <v>2628</v>
      </c>
      <c r="Y625" s="30">
        <f t="shared" si="18"/>
        <v>16170792</v>
      </c>
      <c r="Z625" s="41">
        <f t="shared" si="19"/>
        <v>0.6497614335920423</v>
      </c>
      <c r="AA625" s="42" t="s">
        <v>2798</v>
      </c>
    </row>
    <row r="626" spans="1:27" ht="15.75">
      <c r="A626" s="2">
        <v>624</v>
      </c>
      <c r="B626" s="2">
        <v>2872889</v>
      </c>
      <c r="C626" s="2">
        <v>52406036600060</v>
      </c>
      <c r="D626" s="2" t="s">
        <v>22</v>
      </c>
      <c r="E626" s="2">
        <v>2051931</v>
      </c>
      <c r="F626" s="2">
        <v>901888094</v>
      </c>
      <c r="G626" s="3">
        <v>37796</v>
      </c>
      <c r="H626" s="2" t="s">
        <v>1602</v>
      </c>
      <c r="I626" s="2" t="s">
        <v>541</v>
      </c>
      <c r="J626" s="2" t="s">
        <v>1603</v>
      </c>
      <c r="K626" s="2" t="s">
        <v>39</v>
      </c>
      <c r="L626" s="2" t="s">
        <v>57</v>
      </c>
      <c r="M626" s="2">
        <v>5310606</v>
      </c>
      <c r="N626" s="2" t="s">
        <v>72</v>
      </c>
      <c r="O626" s="2" t="s">
        <v>88</v>
      </c>
      <c r="P626" s="2" t="s">
        <v>225</v>
      </c>
      <c r="Q626" s="5">
        <v>44471</v>
      </c>
      <c r="R626" s="2" t="s">
        <v>62</v>
      </c>
      <c r="S626" s="2">
        <v>8</v>
      </c>
      <c r="T626" s="2" t="s">
        <v>33</v>
      </c>
      <c r="U626" s="2" t="s">
        <v>34</v>
      </c>
      <c r="V626" s="29" t="s">
        <v>2723</v>
      </c>
      <c r="W626" s="21">
        <f>9341000+7472417</f>
        <v>16813417</v>
      </c>
      <c r="X626" s="10" t="s">
        <v>2886</v>
      </c>
      <c r="Y626" s="30">
        <f t="shared" si="18"/>
        <v>0.5</v>
      </c>
      <c r="Z626" s="41">
        <f t="shared" si="19"/>
        <v>0.99999997026184595</v>
      </c>
    </row>
    <row r="627" spans="1:27" ht="26.25">
      <c r="A627" s="2">
        <v>625</v>
      </c>
      <c r="B627" s="2">
        <v>3791096</v>
      </c>
      <c r="C627" s="2">
        <v>31305900510027</v>
      </c>
      <c r="D627" s="2" t="s">
        <v>145</v>
      </c>
      <c r="E627" s="2">
        <v>428151</v>
      </c>
      <c r="F627" s="2">
        <v>944027970</v>
      </c>
      <c r="G627" s="3">
        <v>33006</v>
      </c>
      <c r="H627" s="2" t="s">
        <v>477</v>
      </c>
      <c r="I627" s="2" t="s">
        <v>1167</v>
      </c>
      <c r="J627" s="2" t="s">
        <v>85</v>
      </c>
      <c r="K627" s="2" t="s">
        <v>39</v>
      </c>
      <c r="L627" s="2" t="s">
        <v>27</v>
      </c>
      <c r="M627" s="2">
        <v>5620400</v>
      </c>
      <c r="N627" s="2" t="s">
        <v>103</v>
      </c>
      <c r="O627" s="2" t="s">
        <v>88</v>
      </c>
      <c r="P627" s="2" t="s">
        <v>123</v>
      </c>
      <c r="Q627" s="2" t="s">
        <v>500</v>
      </c>
      <c r="R627" s="2" t="s">
        <v>62</v>
      </c>
      <c r="S627" s="2">
        <v>8</v>
      </c>
      <c r="T627" s="2" t="s">
        <v>33</v>
      </c>
      <c r="U627" s="2" t="s">
        <v>34</v>
      </c>
      <c r="V627" s="29" t="s">
        <v>2748</v>
      </c>
      <c r="W627" s="20">
        <f>29891000+23911936</f>
        <v>53802936</v>
      </c>
      <c r="X627" s="2" t="s">
        <v>2920</v>
      </c>
      <c r="Y627" s="30">
        <f t="shared" si="18"/>
        <v>0</v>
      </c>
      <c r="Z627" s="41">
        <f t="shared" si="19"/>
        <v>1</v>
      </c>
      <c r="AA627" s="42" t="s">
        <v>2798</v>
      </c>
    </row>
    <row r="628" spans="1:27" ht="15.75">
      <c r="A628" s="2">
        <v>626</v>
      </c>
      <c r="B628" s="2">
        <v>3449267</v>
      </c>
      <c r="C628" s="2">
        <v>50803036640036</v>
      </c>
      <c r="D628" s="2" t="s">
        <v>22</v>
      </c>
      <c r="E628" s="2">
        <v>1869868</v>
      </c>
      <c r="F628" s="2">
        <v>990202244</v>
      </c>
      <c r="G628" s="3">
        <v>37688</v>
      </c>
      <c r="H628" s="2" t="s">
        <v>1604</v>
      </c>
      <c r="I628" s="2" t="s">
        <v>1037</v>
      </c>
      <c r="J628" s="2" t="s">
        <v>727</v>
      </c>
      <c r="K628" s="2" t="s">
        <v>26</v>
      </c>
      <c r="L628" s="2" t="s">
        <v>27</v>
      </c>
      <c r="M628" s="2">
        <v>5620101</v>
      </c>
      <c r="N628" s="2" t="s">
        <v>49</v>
      </c>
      <c r="O628" s="2" t="s">
        <v>99</v>
      </c>
      <c r="P628" s="2" t="s">
        <v>51</v>
      </c>
      <c r="Q628" s="2" t="s">
        <v>123</v>
      </c>
      <c r="R628" s="2" t="s">
        <v>53</v>
      </c>
      <c r="S628" s="2">
        <v>8</v>
      </c>
      <c r="T628" s="2" t="s">
        <v>33</v>
      </c>
      <c r="U628" s="2" t="s">
        <v>34</v>
      </c>
      <c r="V628" s="32">
        <v>92341584</v>
      </c>
      <c r="W628" s="21">
        <v>56835500</v>
      </c>
      <c r="X628" s="12" t="s">
        <v>2624</v>
      </c>
      <c r="Y628" s="30">
        <f t="shared" si="18"/>
        <v>35506084</v>
      </c>
      <c r="Z628" s="41">
        <f t="shared" si="19"/>
        <v>0.61549193264867541</v>
      </c>
    </row>
    <row r="629" spans="1:27" ht="15.75">
      <c r="A629" s="2">
        <v>627</v>
      </c>
      <c r="B629" s="2">
        <v>2203452</v>
      </c>
      <c r="C629" s="2">
        <v>52401016710014</v>
      </c>
      <c r="D629" s="2" t="s">
        <v>45</v>
      </c>
      <c r="E629" s="2">
        <v>6015004</v>
      </c>
      <c r="F629" s="2">
        <v>976163677</v>
      </c>
      <c r="G629" s="3">
        <v>36915</v>
      </c>
      <c r="H629" s="2" t="s">
        <v>89</v>
      </c>
      <c r="I629" s="2" t="s">
        <v>999</v>
      </c>
      <c r="J629" s="2" t="s">
        <v>1605</v>
      </c>
      <c r="K629" s="2" t="s">
        <v>26</v>
      </c>
      <c r="L629" s="2" t="s">
        <v>27</v>
      </c>
      <c r="M629" s="2">
        <v>5620400</v>
      </c>
      <c r="N629" s="2" t="s">
        <v>103</v>
      </c>
      <c r="O629" s="2" t="s">
        <v>139</v>
      </c>
      <c r="P629" s="2" t="s">
        <v>105</v>
      </c>
      <c r="Q629" s="2" t="s">
        <v>420</v>
      </c>
      <c r="R629" s="2" t="s">
        <v>53</v>
      </c>
      <c r="S629" s="2">
        <v>8</v>
      </c>
      <c r="T629" s="2" t="s">
        <v>33</v>
      </c>
      <c r="U629" s="2" t="s">
        <v>34</v>
      </c>
      <c r="V629" s="32">
        <v>46170792</v>
      </c>
      <c r="W629" s="21">
        <f>25651000+17300000</f>
        <v>42951000</v>
      </c>
      <c r="X629" s="10" t="s">
        <v>2879</v>
      </c>
      <c r="Y629" s="30">
        <f t="shared" si="18"/>
        <v>3219792</v>
      </c>
      <c r="Z629" s="41">
        <f t="shared" si="19"/>
        <v>0.930263444473727</v>
      </c>
    </row>
    <row r="630" spans="1:27" ht="26.25">
      <c r="A630" s="2">
        <v>628</v>
      </c>
      <c r="B630" s="2">
        <v>3636545</v>
      </c>
      <c r="C630" s="2">
        <v>31406810510034</v>
      </c>
      <c r="D630" s="2" t="s">
        <v>145</v>
      </c>
      <c r="E630" s="2">
        <v>303104</v>
      </c>
      <c r="F630" s="2">
        <v>976168118</v>
      </c>
      <c r="G630" s="3">
        <v>29751</v>
      </c>
      <c r="H630" s="2" t="s">
        <v>1606</v>
      </c>
      <c r="I630" s="2" t="s">
        <v>1607</v>
      </c>
      <c r="J630" s="2" t="s">
        <v>1608</v>
      </c>
      <c r="K630" s="2" t="s">
        <v>39</v>
      </c>
      <c r="L630" s="2" t="s">
        <v>27</v>
      </c>
      <c r="M630" s="2">
        <v>5620702</v>
      </c>
      <c r="N630" s="2" t="s">
        <v>159</v>
      </c>
      <c r="O630" s="2" t="s">
        <v>179</v>
      </c>
      <c r="P630" s="2" t="s">
        <v>629</v>
      </c>
      <c r="Q630" s="5">
        <v>44492</v>
      </c>
      <c r="R630" s="2" t="s">
        <v>62</v>
      </c>
      <c r="S630" s="2">
        <v>8</v>
      </c>
      <c r="T630" s="2" t="s">
        <v>33</v>
      </c>
      <c r="U630" s="2" t="s">
        <v>34</v>
      </c>
      <c r="V630" s="32">
        <v>53802936</v>
      </c>
      <c r="Y630" s="30">
        <f t="shared" si="18"/>
        <v>53802936</v>
      </c>
      <c r="Z630" s="41">
        <f t="shared" si="19"/>
        <v>0</v>
      </c>
    </row>
    <row r="631" spans="1:27">
      <c r="A631" s="2">
        <v>629</v>
      </c>
      <c r="B631" s="2">
        <v>3531344</v>
      </c>
      <c r="C631" s="2">
        <v>51001055680128</v>
      </c>
      <c r="D631" s="2" t="s">
        <v>74</v>
      </c>
      <c r="E631" s="2">
        <v>180834</v>
      </c>
      <c r="F631" s="2">
        <v>904434914</v>
      </c>
      <c r="G631" s="3">
        <v>38362</v>
      </c>
      <c r="H631" s="2" t="s">
        <v>466</v>
      </c>
      <c r="I631" s="2" t="s">
        <v>544</v>
      </c>
      <c r="J631" s="2" t="s">
        <v>1609</v>
      </c>
      <c r="K631" s="2" t="s">
        <v>26</v>
      </c>
      <c r="L631" s="2" t="s">
        <v>27</v>
      </c>
      <c r="M631" s="2">
        <v>5340601</v>
      </c>
      <c r="N631" s="2" t="s">
        <v>110</v>
      </c>
      <c r="O631" s="2" t="s">
        <v>88</v>
      </c>
      <c r="P631" s="2" t="s">
        <v>402</v>
      </c>
      <c r="Q631" s="2" t="s">
        <v>124</v>
      </c>
      <c r="R631" s="2" t="s">
        <v>93</v>
      </c>
      <c r="S631" s="2">
        <v>8</v>
      </c>
      <c r="T631" s="2" t="s">
        <v>33</v>
      </c>
      <c r="U631" s="2" t="s">
        <v>34</v>
      </c>
      <c r="V631" s="32">
        <v>56735520</v>
      </c>
      <c r="Y631" s="30">
        <f t="shared" si="18"/>
        <v>56735520</v>
      </c>
      <c r="Z631" s="41">
        <f t="shared" si="19"/>
        <v>0</v>
      </c>
    </row>
    <row r="632" spans="1:27" ht="26.25">
      <c r="A632" s="2">
        <v>630</v>
      </c>
      <c r="B632" s="2">
        <v>1805679</v>
      </c>
      <c r="C632" s="2">
        <v>50302016320037</v>
      </c>
      <c r="D632" s="2" t="s">
        <v>45</v>
      </c>
      <c r="E632" s="2">
        <v>8523108</v>
      </c>
      <c r="F632" s="2">
        <v>900320214</v>
      </c>
      <c r="G632" s="3">
        <v>36925</v>
      </c>
      <c r="H632" s="2" t="s">
        <v>1610</v>
      </c>
      <c r="I632" s="2" t="s">
        <v>721</v>
      </c>
      <c r="J632" s="2" t="s">
        <v>1611</v>
      </c>
      <c r="K632" s="2" t="s">
        <v>26</v>
      </c>
      <c r="L632" s="2" t="s">
        <v>27</v>
      </c>
      <c r="M632" s="2">
        <v>5310602</v>
      </c>
      <c r="N632" s="2" t="s">
        <v>518</v>
      </c>
      <c r="O632" s="2" t="s">
        <v>391</v>
      </c>
      <c r="P632" s="2" t="s">
        <v>88</v>
      </c>
      <c r="Q632" s="5">
        <v>44492</v>
      </c>
      <c r="R632" s="2" t="s">
        <v>53</v>
      </c>
      <c r="S632" s="2">
        <v>8</v>
      </c>
      <c r="T632" s="2" t="s">
        <v>33</v>
      </c>
      <c r="U632" s="2" t="s">
        <v>34</v>
      </c>
      <c r="V632" s="32">
        <v>102601760</v>
      </c>
      <c r="Y632" s="30">
        <f t="shared" si="18"/>
        <v>102601760</v>
      </c>
      <c r="Z632" s="41">
        <f t="shared" si="19"/>
        <v>0</v>
      </c>
    </row>
    <row r="633" spans="1:27">
      <c r="A633" s="2">
        <v>631</v>
      </c>
      <c r="B633" s="2">
        <v>3625738</v>
      </c>
      <c r="C633" s="2">
        <v>51606026750044</v>
      </c>
      <c r="D633" s="2" t="s">
        <v>22</v>
      </c>
      <c r="E633" s="2">
        <v>735819</v>
      </c>
      <c r="F633" s="2">
        <v>933969503</v>
      </c>
      <c r="G633" s="3">
        <v>37423</v>
      </c>
      <c r="H633" s="2" t="s">
        <v>100</v>
      </c>
      <c r="I633" s="2" t="s">
        <v>1612</v>
      </c>
      <c r="J633" s="2" t="s">
        <v>377</v>
      </c>
      <c r="K633" s="2" t="s">
        <v>26</v>
      </c>
      <c r="L633" s="2" t="s">
        <v>27</v>
      </c>
      <c r="M633" s="2">
        <v>5310400</v>
      </c>
      <c r="N633" s="2" t="s">
        <v>232</v>
      </c>
      <c r="O633" s="2" t="s">
        <v>223</v>
      </c>
      <c r="P633" s="2" t="s">
        <v>298</v>
      </c>
      <c r="Q633" s="2" t="s">
        <v>433</v>
      </c>
      <c r="R633" s="2" t="s">
        <v>53</v>
      </c>
      <c r="S633" s="2">
        <v>8</v>
      </c>
      <c r="T633" s="2" t="s">
        <v>33</v>
      </c>
      <c r="U633" s="2" t="s">
        <v>34</v>
      </c>
      <c r="V633" s="32">
        <v>102601760</v>
      </c>
      <c r="Y633" s="30">
        <f t="shared" si="18"/>
        <v>102601760</v>
      </c>
      <c r="Z633" s="41">
        <f t="shared" si="19"/>
        <v>0</v>
      </c>
    </row>
    <row r="634" spans="1:27">
      <c r="A634" s="2">
        <v>632</v>
      </c>
      <c r="B634" s="2">
        <v>3506210</v>
      </c>
      <c r="C634" s="2">
        <v>51606026750037</v>
      </c>
      <c r="D634" s="2" t="s">
        <v>22</v>
      </c>
      <c r="E634" s="2">
        <v>757796</v>
      </c>
      <c r="F634" s="2">
        <v>946207337</v>
      </c>
      <c r="G634" s="3">
        <v>37423</v>
      </c>
      <c r="H634" s="2" t="s">
        <v>1613</v>
      </c>
      <c r="I634" s="2" t="s">
        <v>1612</v>
      </c>
      <c r="J634" s="2" t="s">
        <v>377</v>
      </c>
      <c r="K634" s="2" t="s">
        <v>26</v>
      </c>
      <c r="L634" s="2" t="s">
        <v>27</v>
      </c>
      <c r="M634" s="2">
        <v>5310400</v>
      </c>
      <c r="N634" s="2" t="s">
        <v>232</v>
      </c>
      <c r="O634" s="2" t="s">
        <v>281</v>
      </c>
      <c r="P634" s="2" t="s">
        <v>298</v>
      </c>
      <c r="Q634" s="2" t="s">
        <v>469</v>
      </c>
      <c r="R634" s="2" t="s">
        <v>53</v>
      </c>
      <c r="S634" s="2">
        <v>8</v>
      </c>
      <c r="T634" s="2" t="s">
        <v>33</v>
      </c>
      <c r="U634" s="2" t="s">
        <v>34</v>
      </c>
      <c r="V634" s="32">
        <v>102601760</v>
      </c>
      <c r="Y634" s="30">
        <f t="shared" si="18"/>
        <v>102601760</v>
      </c>
      <c r="Z634" s="41">
        <f t="shared" si="19"/>
        <v>0</v>
      </c>
    </row>
    <row r="635" spans="1:27">
      <c r="A635" s="2">
        <v>633</v>
      </c>
      <c r="B635" s="2">
        <v>3611998</v>
      </c>
      <c r="C635" s="2">
        <v>32603996050038</v>
      </c>
      <c r="D635" s="2" t="s">
        <v>45</v>
      </c>
      <c r="E635" s="2">
        <v>4327141</v>
      </c>
      <c r="F635" s="2">
        <v>946437799</v>
      </c>
      <c r="G635" s="3">
        <v>36245</v>
      </c>
      <c r="H635" s="2" t="s">
        <v>1614</v>
      </c>
      <c r="I635" s="2" t="s">
        <v>721</v>
      </c>
      <c r="J635" s="2" t="s">
        <v>1615</v>
      </c>
      <c r="K635" s="2" t="s">
        <v>39</v>
      </c>
      <c r="L635" s="2" t="s">
        <v>27</v>
      </c>
      <c r="M635" s="2">
        <v>5620400</v>
      </c>
      <c r="N635" s="2" t="s">
        <v>103</v>
      </c>
      <c r="O635" s="2" t="s">
        <v>41</v>
      </c>
      <c r="P635" s="2" t="s">
        <v>123</v>
      </c>
      <c r="Q635" s="2" t="s">
        <v>133</v>
      </c>
      <c r="R635" s="2" t="s">
        <v>62</v>
      </c>
      <c r="S635" s="2">
        <v>8</v>
      </c>
      <c r="T635" s="2" t="s">
        <v>33</v>
      </c>
      <c r="U635" s="2" t="s">
        <v>34</v>
      </c>
      <c r="V635" s="29">
        <v>53802936</v>
      </c>
      <c r="W635" s="20">
        <v>29891000</v>
      </c>
      <c r="X635" s="2" t="s">
        <v>2680</v>
      </c>
      <c r="Y635" s="30">
        <f t="shared" si="18"/>
        <v>23911936</v>
      </c>
      <c r="Z635" s="41">
        <f t="shared" si="19"/>
        <v>0.55556447700177547</v>
      </c>
    </row>
    <row r="636" spans="1:27" ht="15.75">
      <c r="A636" s="2">
        <v>634</v>
      </c>
      <c r="B636" s="2">
        <v>2326372</v>
      </c>
      <c r="C636" s="2">
        <v>52603016810020</v>
      </c>
      <c r="D636" s="2" t="s">
        <v>45</v>
      </c>
      <c r="E636" s="2">
        <v>6331269</v>
      </c>
      <c r="F636" s="2">
        <v>949373833</v>
      </c>
      <c r="G636" s="3">
        <v>36976</v>
      </c>
      <c r="H636" s="2" t="s">
        <v>685</v>
      </c>
      <c r="I636" s="2" t="s">
        <v>1616</v>
      </c>
      <c r="J636" s="2" t="s">
        <v>102</v>
      </c>
      <c r="K636" s="2" t="s">
        <v>26</v>
      </c>
      <c r="L636" s="2" t="s">
        <v>27</v>
      </c>
      <c r="M636" s="2">
        <v>5314000</v>
      </c>
      <c r="N636" s="2" t="s">
        <v>522</v>
      </c>
      <c r="O636" s="2" t="s">
        <v>67</v>
      </c>
      <c r="P636" s="2" t="s">
        <v>771</v>
      </c>
      <c r="Q636" s="2" t="s">
        <v>469</v>
      </c>
      <c r="R636" s="2" t="s">
        <v>53</v>
      </c>
      <c r="S636" s="2">
        <v>8</v>
      </c>
      <c r="T636" s="2" t="s">
        <v>33</v>
      </c>
      <c r="U636" s="2" t="s">
        <v>34</v>
      </c>
      <c r="V636" s="32">
        <v>46170792</v>
      </c>
      <c r="W636" s="23">
        <v>26300880</v>
      </c>
      <c r="X636" s="13" t="s">
        <v>2625</v>
      </c>
      <c r="Y636" s="30">
        <f t="shared" si="18"/>
        <v>19869912</v>
      </c>
      <c r="Z636" s="41">
        <f t="shared" si="19"/>
        <v>0.56964324978440917</v>
      </c>
    </row>
    <row r="637" spans="1:27" ht="26.25">
      <c r="A637" s="2">
        <v>635</v>
      </c>
      <c r="B637" s="2">
        <v>3458211</v>
      </c>
      <c r="C637" s="2">
        <v>50510036770019</v>
      </c>
      <c r="D637" s="2" t="s">
        <v>22</v>
      </c>
      <c r="E637" s="2">
        <v>2296496</v>
      </c>
      <c r="F637" s="2">
        <v>946290903</v>
      </c>
      <c r="G637" s="3">
        <v>37899</v>
      </c>
      <c r="H637" s="2" t="s">
        <v>1617</v>
      </c>
      <c r="I637" s="2" t="s">
        <v>1618</v>
      </c>
      <c r="J637" s="2" t="s">
        <v>1619</v>
      </c>
      <c r="K637" s="2" t="s">
        <v>26</v>
      </c>
      <c r="L637" s="2" t="s">
        <v>27</v>
      </c>
      <c r="M637" s="2">
        <v>5630103</v>
      </c>
      <c r="N637" s="2" t="s">
        <v>343</v>
      </c>
      <c r="O637" s="2" t="s">
        <v>87</v>
      </c>
      <c r="P637" s="2" t="s">
        <v>345</v>
      </c>
      <c r="Q637" s="2" t="s">
        <v>340</v>
      </c>
      <c r="R637" s="2" t="s">
        <v>53</v>
      </c>
      <c r="S637" s="2">
        <v>8</v>
      </c>
      <c r="T637" s="2" t="s">
        <v>33</v>
      </c>
      <c r="U637" s="2" t="s">
        <v>34</v>
      </c>
      <c r="V637" s="29">
        <v>46170792</v>
      </c>
      <c r="W637" s="20">
        <v>46170792</v>
      </c>
      <c r="X637" s="2" t="s">
        <v>2687</v>
      </c>
      <c r="Y637" s="30">
        <f t="shared" si="18"/>
        <v>0</v>
      </c>
      <c r="Z637" s="41">
        <f t="shared" si="19"/>
        <v>1</v>
      </c>
    </row>
    <row r="638" spans="1:27" ht="26.25">
      <c r="A638" s="2">
        <v>636</v>
      </c>
      <c r="B638" s="2">
        <v>1280606</v>
      </c>
      <c r="C638" s="2">
        <v>31710975380017</v>
      </c>
      <c r="D638" s="2" t="s">
        <v>145</v>
      </c>
      <c r="E638" s="2">
        <v>3360462</v>
      </c>
      <c r="F638" s="2">
        <v>914486321</v>
      </c>
      <c r="G638" s="3">
        <v>35720</v>
      </c>
      <c r="H638" s="2" t="s">
        <v>509</v>
      </c>
      <c r="I638" s="2" t="s">
        <v>561</v>
      </c>
      <c r="J638" s="2" t="s">
        <v>1620</v>
      </c>
      <c r="K638" s="2" t="s">
        <v>39</v>
      </c>
      <c r="L638" s="2" t="s">
        <v>57</v>
      </c>
      <c r="M638" s="2">
        <v>5310605</v>
      </c>
      <c r="N638" s="2" t="s">
        <v>97</v>
      </c>
      <c r="O638" s="2" t="s">
        <v>439</v>
      </c>
      <c r="P638" s="2" t="s">
        <v>154</v>
      </c>
      <c r="Q638" s="2" t="s">
        <v>591</v>
      </c>
      <c r="R638" s="2" t="s">
        <v>62</v>
      </c>
      <c r="S638" s="2">
        <v>8</v>
      </c>
      <c r="T638" s="2" t="s">
        <v>33</v>
      </c>
      <c r="U638" s="2" t="s">
        <v>34</v>
      </c>
      <c r="V638" s="32">
        <v>119562080</v>
      </c>
      <c r="Y638" s="30">
        <f t="shared" si="18"/>
        <v>119562080</v>
      </c>
      <c r="Z638" s="41">
        <f t="shared" si="19"/>
        <v>0</v>
      </c>
    </row>
    <row r="639" spans="1:27" ht="26.25">
      <c r="A639" s="2">
        <v>637</v>
      </c>
      <c r="B639" s="2">
        <v>3521610</v>
      </c>
      <c r="C639" s="2">
        <v>52602046520053</v>
      </c>
      <c r="D639" s="2" t="s">
        <v>22</v>
      </c>
      <c r="E639" s="2">
        <v>2782663</v>
      </c>
      <c r="F639" s="2">
        <v>990002257</v>
      </c>
      <c r="G639" s="3">
        <v>38043</v>
      </c>
      <c r="H639" s="2" t="s">
        <v>1621</v>
      </c>
      <c r="I639" s="2" t="s">
        <v>1622</v>
      </c>
      <c r="J639" s="2" t="s">
        <v>1333</v>
      </c>
      <c r="K639" s="2" t="s">
        <v>26</v>
      </c>
      <c r="L639" s="2" t="s">
        <v>27</v>
      </c>
      <c r="M639" s="2">
        <v>5340202</v>
      </c>
      <c r="N639" s="2" t="s">
        <v>499</v>
      </c>
      <c r="O639" s="2" t="s">
        <v>199</v>
      </c>
      <c r="P639" s="2" t="s">
        <v>857</v>
      </c>
      <c r="Q639" s="2" t="s">
        <v>253</v>
      </c>
      <c r="R639" s="2" t="s">
        <v>93</v>
      </c>
      <c r="S639" s="2">
        <v>8</v>
      </c>
      <c r="T639" s="2" t="s">
        <v>33</v>
      </c>
      <c r="U639" s="2" t="s">
        <v>34</v>
      </c>
      <c r="V639" s="32">
        <v>56735520</v>
      </c>
      <c r="Y639" s="30">
        <f t="shared" si="18"/>
        <v>56735520</v>
      </c>
      <c r="Z639" s="41">
        <f t="shared" si="19"/>
        <v>0</v>
      </c>
    </row>
    <row r="640" spans="1:27" ht="15.75">
      <c r="A640" s="2">
        <v>638</v>
      </c>
      <c r="B640" s="2">
        <v>1105226</v>
      </c>
      <c r="C640" s="2">
        <v>31909986740022</v>
      </c>
      <c r="D640" s="2" t="s">
        <v>145</v>
      </c>
      <c r="E640" s="2">
        <v>9200395</v>
      </c>
      <c r="F640" s="2">
        <v>935541441</v>
      </c>
      <c r="G640" s="3">
        <v>36057</v>
      </c>
      <c r="H640" s="2" t="s">
        <v>1623</v>
      </c>
      <c r="I640" s="2" t="s">
        <v>1624</v>
      </c>
      <c r="J640" s="2" t="s">
        <v>1599</v>
      </c>
      <c r="K640" s="2" t="s">
        <v>39</v>
      </c>
      <c r="L640" s="2" t="s">
        <v>57</v>
      </c>
      <c r="M640" s="2">
        <v>5310202</v>
      </c>
      <c r="N640" s="2" t="s">
        <v>86</v>
      </c>
      <c r="O640" s="2" t="s">
        <v>41</v>
      </c>
      <c r="P640" s="2" t="s">
        <v>154</v>
      </c>
      <c r="Q640" s="4">
        <v>42064</v>
      </c>
      <c r="R640" s="2" t="s">
        <v>62</v>
      </c>
      <c r="S640" s="2">
        <v>8</v>
      </c>
      <c r="T640" s="2" t="s">
        <v>33</v>
      </c>
      <c r="U640" s="2" t="s">
        <v>34</v>
      </c>
      <c r="V640" s="29" t="s">
        <v>2801</v>
      </c>
      <c r="W640" s="21">
        <f>11208945+8967156</f>
        <v>20176101</v>
      </c>
      <c r="X640" s="12" t="s">
        <v>2857</v>
      </c>
      <c r="Y640" s="30">
        <f t="shared" si="18"/>
        <v>0</v>
      </c>
      <c r="Z640" s="41">
        <f t="shared" si="19"/>
        <v>1</v>
      </c>
      <c r="AA640" s="42" t="s">
        <v>2798</v>
      </c>
    </row>
    <row r="641" spans="1:27">
      <c r="A641" s="2">
        <v>639</v>
      </c>
      <c r="B641" s="2">
        <v>2317101</v>
      </c>
      <c r="C641" s="2">
        <v>60107017190037</v>
      </c>
      <c r="D641" s="2" t="s">
        <v>45</v>
      </c>
      <c r="E641" s="2">
        <v>7423009</v>
      </c>
      <c r="F641" s="2">
        <v>995889232</v>
      </c>
      <c r="G641" s="3">
        <v>37073</v>
      </c>
      <c r="H641" s="2" t="s">
        <v>1625</v>
      </c>
      <c r="I641" s="2" t="s">
        <v>1626</v>
      </c>
      <c r="J641" s="2" t="s">
        <v>1627</v>
      </c>
      <c r="K641" s="2" t="s">
        <v>39</v>
      </c>
      <c r="L641" s="2" t="s">
        <v>57</v>
      </c>
      <c r="M641" s="2">
        <v>5314000</v>
      </c>
      <c r="N641" s="2" t="s">
        <v>522</v>
      </c>
      <c r="O641" s="2" t="s">
        <v>88</v>
      </c>
      <c r="P641" s="2" t="s">
        <v>149</v>
      </c>
      <c r="Q641" s="4">
        <v>14824</v>
      </c>
      <c r="R641" s="2" t="s">
        <v>62</v>
      </c>
      <c r="S641" s="2">
        <v>8</v>
      </c>
      <c r="T641" s="2" t="s">
        <v>33</v>
      </c>
      <c r="U641" s="2" t="s">
        <v>34</v>
      </c>
      <c r="V641" s="32">
        <v>59781040</v>
      </c>
      <c r="Y641" s="30">
        <f t="shared" si="18"/>
        <v>59781040</v>
      </c>
      <c r="Z641" s="41">
        <f t="shared" si="19"/>
        <v>0</v>
      </c>
    </row>
    <row r="642" spans="1:27" ht="26.25">
      <c r="A642" s="2">
        <v>640</v>
      </c>
      <c r="B642" s="2">
        <v>3024581</v>
      </c>
      <c r="C642" s="2">
        <v>13456454955869</v>
      </c>
      <c r="D642" s="2" t="s">
        <v>644</v>
      </c>
      <c r="E642" s="2">
        <v>227369</v>
      </c>
      <c r="F642" s="2">
        <v>900149768</v>
      </c>
      <c r="G642" s="3">
        <v>37110</v>
      </c>
      <c r="H642" s="2" t="s">
        <v>636</v>
      </c>
      <c r="I642" s="2" t="s">
        <v>372</v>
      </c>
      <c r="J642" s="2" t="s">
        <v>1628</v>
      </c>
      <c r="K642" s="2" t="s">
        <v>26</v>
      </c>
      <c r="L642" s="2" t="s">
        <v>57</v>
      </c>
      <c r="M642" s="2">
        <v>5310603</v>
      </c>
      <c r="N642" s="2" t="s">
        <v>295</v>
      </c>
      <c r="O642" s="2" t="s">
        <v>50</v>
      </c>
      <c r="P642" s="2" t="s">
        <v>60</v>
      </c>
      <c r="Q642" s="4">
        <v>43922</v>
      </c>
      <c r="R642" s="2" t="s">
        <v>53</v>
      </c>
      <c r="S642" s="2">
        <v>8</v>
      </c>
      <c r="T642" s="2" t="s">
        <v>33</v>
      </c>
      <c r="U642" s="2" t="s">
        <v>34</v>
      </c>
      <c r="V642" s="32">
        <v>102601760</v>
      </c>
      <c r="Y642" s="30">
        <f t="shared" si="18"/>
        <v>102601760</v>
      </c>
      <c r="Z642" s="41">
        <f t="shared" si="19"/>
        <v>0</v>
      </c>
    </row>
    <row r="643" spans="1:27" ht="26.25">
      <c r="A643" s="2">
        <v>641</v>
      </c>
      <c r="B643" s="2">
        <v>3399605</v>
      </c>
      <c r="C643" s="2">
        <v>51708045330013</v>
      </c>
      <c r="D643" s="2" t="s">
        <v>22</v>
      </c>
      <c r="E643" s="2">
        <v>2366046</v>
      </c>
      <c r="F643" s="2">
        <v>919264949</v>
      </c>
      <c r="G643" s="3">
        <v>38216</v>
      </c>
      <c r="H643" s="2" t="s">
        <v>1629</v>
      </c>
      <c r="I643" s="2" t="s">
        <v>1630</v>
      </c>
      <c r="J643" s="2" t="s">
        <v>1631</v>
      </c>
      <c r="K643" s="2" t="s">
        <v>26</v>
      </c>
      <c r="L643" s="2" t="s">
        <v>57</v>
      </c>
      <c r="M643" s="2">
        <v>5340602</v>
      </c>
      <c r="N643" s="2" t="s">
        <v>628</v>
      </c>
      <c r="O643" s="2" t="s">
        <v>60</v>
      </c>
      <c r="P643" s="2" t="s">
        <v>88</v>
      </c>
      <c r="Q643" s="4">
        <v>12966</v>
      </c>
      <c r="R643" s="2" t="s">
        <v>93</v>
      </c>
      <c r="S643" s="2">
        <v>8</v>
      </c>
      <c r="T643" s="2" t="s">
        <v>33</v>
      </c>
      <c r="U643" s="2" t="s">
        <v>34</v>
      </c>
      <c r="V643" s="32">
        <v>56735520</v>
      </c>
      <c r="W643" s="21">
        <f>30000000+20000000</f>
        <v>50000000</v>
      </c>
      <c r="X643" s="11" t="s">
        <v>2795</v>
      </c>
      <c r="Y643" s="30">
        <f t="shared" si="18"/>
        <v>6735520</v>
      </c>
      <c r="Z643" s="41">
        <f t="shared" si="19"/>
        <v>0.88128213154651613</v>
      </c>
    </row>
    <row r="644" spans="1:27">
      <c r="A644" s="2">
        <v>642</v>
      </c>
      <c r="B644" s="2">
        <v>3404726</v>
      </c>
      <c r="C644" s="2">
        <v>51709035380014</v>
      </c>
      <c r="D644" s="2" t="s">
        <v>22</v>
      </c>
      <c r="E644" s="2">
        <v>2314883</v>
      </c>
      <c r="F644" s="2">
        <v>936527890</v>
      </c>
      <c r="G644" s="3">
        <v>37881</v>
      </c>
      <c r="H644" s="2" t="s">
        <v>1632</v>
      </c>
      <c r="I644" s="2" t="s">
        <v>1633</v>
      </c>
      <c r="J644" s="2" t="s">
        <v>1634</v>
      </c>
      <c r="K644" s="2" t="s">
        <v>39</v>
      </c>
      <c r="L644" s="2" t="s">
        <v>27</v>
      </c>
      <c r="M644" s="2">
        <v>5340601</v>
      </c>
      <c r="N644" s="2" t="s">
        <v>110</v>
      </c>
      <c r="O644" s="2" t="s">
        <v>104</v>
      </c>
      <c r="P644" s="2">
        <v>84</v>
      </c>
      <c r="Q644" s="2" t="s">
        <v>170</v>
      </c>
      <c r="R644" s="2" t="s">
        <v>44</v>
      </c>
      <c r="S644" s="2">
        <v>8</v>
      </c>
      <c r="T644" s="2" t="s">
        <v>33</v>
      </c>
      <c r="U644" s="2" t="s">
        <v>34</v>
      </c>
      <c r="V644" s="32">
        <v>65759144</v>
      </c>
      <c r="Y644" s="30">
        <f t="shared" ref="Y644:Y707" si="20">V644-W644</f>
        <v>65759144</v>
      </c>
      <c r="Z644" s="41">
        <f t="shared" ref="Z644:Z707" si="21">W644/V644</f>
        <v>0</v>
      </c>
    </row>
    <row r="645" spans="1:27" ht="39">
      <c r="A645" s="2">
        <v>643</v>
      </c>
      <c r="B645" s="2">
        <v>1552896</v>
      </c>
      <c r="C645" s="2">
        <v>51304015450011</v>
      </c>
      <c r="D645" s="2" t="s">
        <v>45</v>
      </c>
      <c r="E645" s="2">
        <v>6724790</v>
      </c>
      <c r="F645" s="2">
        <v>992170525</v>
      </c>
      <c r="G645" s="3">
        <v>36994</v>
      </c>
      <c r="H645" s="2" t="s">
        <v>1587</v>
      </c>
      <c r="I645" s="2" t="s">
        <v>1635</v>
      </c>
      <c r="J645" s="2" t="s">
        <v>1620</v>
      </c>
      <c r="K645" s="2" t="s">
        <v>39</v>
      </c>
      <c r="L645" s="2" t="s">
        <v>27</v>
      </c>
      <c r="M645" s="2">
        <v>5340401</v>
      </c>
      <c r="N645" s="2" t="s">
        <v>349</v>
      </c>
      <c r="O645" s="2" t="s">
        <v>67</v>
      </c>
      <c r="P645" s="2" t="s">
        <v>350</v>
      </c>
      <c r="Q645" s="5">
        <v>44317</v>
      </c>
      <c r="R645" s="2" t="s">
        <v>44</v>
      </c>
      <c r="S645" s="2">
        <v>8</v>
      </c>
      <c r="T645" s="2" t="s">
        <v>33</v>
      </c>
      <c r="U645" s="2" t="s">
        <v>34</v>
      </c>
      <c r="V645" s="29" t="s">
        <v>2832</v>
      </c>
      <c r="W645" s="21">
        <f>6200000+3000000</f>
        <v>9200000</v>
      </c>
      <c r="X645" s="10" t="s">
        <v>2977</v>
      </c>
      <c r="Y645" s="30">
        <f t="shared" si="20"/>
        <v>1896855.5500000007</v>
      </c>
      <c r="Z645" s="41">
        <f t="shared" si="21"/>
        <v>0.82906368912768258</v>
      </c>
      <c r="AA645" s="42" t="s">
        <v>2798</v>
      </c>
    </row>
    <row r="646" spans="1:27">
      <c r="A646" s="2">
        <v>644</v>
      </c>
      <c r="B646" s="2">
        <v>3734623</v>
      </c>
      <c r="C646" s="2">
        <v>52506035300010</v>
      </c>
      <c r="D646" s="2" t="s">
        <v>22</v>
      </c>
      <c r="E646" s="2">
        <v>2119966</v>
      </c>
      <c r="F646" s="2">
        <v>900014759</v>
      </c>
      <c r="G646" s="3">
        <v>37797</v>
      </c>
      <c r="H646" s="2" t="s">
        <v>260</v>
      </c>
      <c r="I646" s="2" t="s">
        <v>1636</v>
      </c>
      <c r="J646" s="2" t="s">
        <v>1637</v>
      </c>
      <c r="K646" s="2" t="s">
        <v>26</v>
      </c>
      <c r="L646" s="2" t="s">
        <v>27</v>
      </c>
      <c r="M646" s="2">
        <v>5240109</v>
      </c>
      <c r="N646" s="2" t="s">
        <v>28</v>
      </c>
      <c r="O646" s="2" t="s">
        <v>1638</v>
      </c>
      <c r="P646" s="2" t="s">
        <v>30</v>
      </c>
      <c r="Q646" s="2" t="s">
        <v>99</v>
      </c>
      <c r="R646" s="2" t="s">
        <v>32</v>
      </c>
      <c r="S646" s="2">
        <v>25</v>
      </c>
      <c r="T646" s="2" t="s">
        <v>33</v>
      </c>
      <c r="U646" s="2" t="s">
        <v>34</v>
      </c>
      <c r="V646" s="32">
        <v>245231500</v>
      </c>
      <c r="Y646" s="30">
        <f t="shared" si="20"/>
        <v>245231500</v>
      </c>
      <c r="Z646" s="41">
        <f t="shared" si="21"/>
        <v>0</v>
      </c>
    </row>
    <row r="647" spans="1:27">
      <c r="A647" s="2">
        <v>645</v>
      </c>
      <c r="B647" s="2">
        <v>3590282</v>
      </c>
      <c r="C647" s="2">
        <v>51206046960036</v>
      </c>
      <c r="D647" s="2" t="s">
        <v>22</v>
      </c>
      <c r="E647" s="2">
        <v>3187936</v>
      </c>
      <c r="F647" s="2">
        <v>911100599</v>
      </c>
      <c r="G647" s="3">
        <v>38150</v>
      </c>
      <c r="H647" s="2" t="s">
        <v>54</v>
      </c>
      <c r="I647" s="2" t="s">
        <v>1639</v>
      </c>
      <c r="J647" s="2" t="s">
        <v>1640</v>
      </c>
      <c r="K647" s="2" t="s">
        <v>26</v>
      </c>
      <c r="L647" s="2" t="s">
        <v>27</v>
      </c>
      <c r="M647" s="2">
        <v>5230104</v>
      </c>
      <c r="N647" s="2" t="s">
        <v>78</v>
      </c>
      <c r="O647" s="2" t="s">
        <v>175</v>
      </c>
      <c r="P647" s="2" t="s">
        <v>1051</v>
      </c>
      <c r="Q647" s="2" t="s">
        <v>818</v>
      </c>
      <c r="R647" s="2" t="s">
        <v>134</v>
      </c>
      <c r="S647" s="2">
        <v>10</v>
      </c>
      <c r="T647" s="2" t="s">
        <v>33</v>
      </c>
      <c r="U647" s="2" t="s">
        <v>34</v>
      </c>
      <c r="V647" s="32">
        <v>91299300</v>
      </c>
      <c r="Y647" s="30">
        <f t="shared" si="20"/>
        <v>91299300</v>
      </c>
      <c r="Z647" s="41">
        <f t="shared" si="21"/>
        <v>0</v>
      </c>
    </row>
    <row r="648" spans="1:27" ht="26.25">
      <c r="A648" s="2">
        <v>646</v>
      </c>
      <c r="B648" s="2">
        <v>1327785</v>
      </c>
      <c r="C648" s="2">
        <v>32706985830025</v>
      </c>
      <c r="D648" s="2" t="s">
        <v>145</v>
      </c>
      <c r="E648" s="2">
        <v>8821550</v>
      </c>
      <c r="F648" s="2">
        <v>933172000</v>
      </c>
      <c r="G648" s="3">
        <v>35973</v>
      </c>
      <c r="H648" s="2" t="s">
        <v>274</v>
      </c>
      <c r="I648" s="2" t="s">
        <v>1641</v>
      </c>
      <c r="J648" s="2" t="s">
        <v>1642</v>
      </c>
      <c r="K648" s="2" t="s">
        <v>39</v>
      </c>
      <c r="L648" s="2" t="s">
        <v>27</v>
      </c>
      <c r="M648" s="2">
        <v>5340605</v>
      </c>
      <c r="N648" s="2" t="s">
        <v>40</v>
      </c>
      <c r="O648" s="2" t="s">
        <v>639</v>
      </c>
      <c r="P648" s="2" t="s">
        <v>42</v>
      </c>
      <c r="Q648" s="2" t="s">
        <v>59</v>
      </c>
      <c r="R648" s="2" t="s">
        <v>44</v>
      </c>
      <c r="S648" s="2">
        <v>8</v>
      </c>
      <c r="T648" s="2" t="s">
        <v>33</v>
      </c>
      <c r="U648" s="2" t="s">
        <v>34</v>
      </c>
      <c r="V648" s="32" t="s">
        <v>2727</v>
      </c>
      <c r="W648" s="21">
        <f>9341000+59220000</f>
        <v>68561000</v>
      </c>
      <c r="X648" s="11" t="s">
        <v>2691</v>
      </c>
      <c r="Y648" s="30">
        <f t="shared" si="20"/>
        <v>49805459.200000003</v>
      </c>
      <c r="Z648" s="41">
        <f t="shared" si="21"/>
        <v>0.57922658549880823</v>
      </c>
    </row>
    <row r="649" spans="1:27" ht="26.25">
      <c r="A649" s="2">
        <v>647</v>
      </c>
      <c r="B649" s="2">
        <v>3555570</v>
      </c>
      <c r="C649" s="2">
        <v>32509765860027</v>
      </c>
      <c r="D649" s="2" t="s">
        <v>145</v>
      </c>
      <c r="E649" s="2">
        <v>2757726</v>
      </c>
      <c r="F649" s="2">
        <v>933140963</v>
      </c>
      <c r="G649" s="3">
        <v>28028</v>
      </c>
      <c r="H649" s="2" t="s">
        <v>171</v>
      </c>
      <c r="I649" s="2" t="s">
        <v>1643</v>
      </c>
      <c r="J649" s="2" t="s">
        <v>1644</v>
      </c>
      <c r="K649" s="2" t="s">
        <v>39</v>
      </c>
      <c r="L649" s="2" t="s">
        <v>27</v>
      </c>
      <c r="M649" s="2">
        <v>5310601</v>
      </c>
      <c r="N649" s="2" t="s">
        <v>153</v>
      </c>
      <c r="O649" s="2" t="s">
        <v>198</v>
      </c>
      <c r="P649" s="2" t="s">
        <v>79</v>
      </c>
      <c r="Q649" s="2" t="s">
        <v>500</v>
      </c>
      <c r="R649" s="2" t="s">
        <v>62</v>
      </c>
      <c r="S649" s="2">
        <v>8</v>
      </c>
      <c r="T649" s="2" t="s">
        <v>33</v>
      </c>
      <c r="U649" s="2" t="s">
        <v>34</v>
      </c>
      <c r="V649" s="32">
        <v>59781040</v>
      </c>
      <c r="Y649" s="30">
        <f t="shared" si="20"/>
        <v>59781040</v>
      </c>
      <c r="Z649" s="41">
        <f t="shared" si="21"/>
        <v>0</v>
      </c>
    </row>
    <row r="650" spans="1:27" ht="26.25">
      <c r="A650" s="2">
        <v>648</v>
      </c>
      <c r="B650" s="2">
        <v>1573792</v>
      </c>
      <c r="C650" s="2">
        <v>51210005750028</v>
      </c>
      <c r="D650" s="2" t="s">
        <v>45</v>
      </c>
      <c r="E650" s="2">
        <v>5611289</v>
      </c>
      <c r="F650" s="2">
        <v>972222038</v>
      </c>
      <c r="G650" s="3">
        <v>36811</v>
      </c>
      <c r="H650" s="2" t="s">
        <v>1645</v>
      </c>
      <c r="I650" s="2" t="s">
        <v>642</v>
      </c>
      <c r="J650" s="2" t="s">
        <v>1245</v>
      </c>
      <c r="K650" s="2" t="s">
        <v>26</v>
      </c>
      <c r="L650" s="2" t="s">
        <v>27</v>
      </c>
      <c r="M650" s="2">
        <v>5310602</v>
      </c>
      <c r="N650" s="2" t="s">
        <v>518</v>
      </c>
      <c r="O650" s="2" t="s">
        <v>179</v>
      </c>
      <c r="P650" s="2" t="s">
        <v>88</v>
      </c>
      <c r="Q650" s="4">
        <v>11110</v>
      </c>
      <c r="R650" s="2" t="s">
        <v>53</v>
      </c>
      <c r="S650" s="2">
        <v>8</v>
      </c>
      <c r="T650" s="2" t="s">
        <v>33</v>
      </c>
      <c r="U650" s="2" t="s">
        <v>34</v>
      </c>
      <c r="V650" s="32">
        <v>51300880</v>
      </c>
      <c r="Y650" s="30">
        <f t="shared" si="20"/>
        <v>51300880</v>
      </c>
      <c r="Z650" s="41">
        <f t="shared" si="21"/>
        <v>0</v>
      </c>
    </row>
    <row r="651" spans="1:27" ht="26.25">
      <c r="A651" s="2">
        <v>649</v>
      </c>
      <c r="B651" s="2">
        <v>1566654</v>
      </c>
      <c r="C651" s="2">
        <v>51912006860053</v>
      </c>
      <c r="D651" s="2" t="s">
        <v>45</v>
      </c>
      <c r="E651" s="2">
        <v>6085226</v>
      </c>
      <c r="F651" s="2">
        <v>911648877</v>
      </c>
      <c r="G651" s="3">
        <v>36879</v>
      </c>
      <c r="H651" s="2" t="s">
        <v>1646</v>
      </c>
      <c r="I651" s="2" t="s">
        <v>1647</v>
      </c>
      <c r="J651" s="2" t="s">
        <v>618</v>
      </c>
      <c r="K651" s="2" t="s">
        <v>26</v>
      </c>
      <c r="L651" s="2" t="s">
        <v>27</v>
      </c>
      <c r="M651" s="2">
        <v>5340607</v>
      </c>
      <c r="N651" s="2" t="s">
        <v>928</v>
      </c>
      <c r="O651" s="2" t="s">
        <v>104</v>
      </c>
      <c r="P651" s="2" t="s">
        <v>154</v>
      </c>
      <c r="Q651" s="5">
        <v>44317</v>
      </c>
      <c r="R651" s="2" t="s">
        <v>93</v>
      </c>
      <c r="S651" s="2">
        <v>8</v>
      </c>
      <c r="T651" s="2" t="s">
        <v>33</v>
      </c>
      <c r="U651" s="2" t="s">
        <v>34</v>
      </c>
      <c r="V651" s="32">
        <v>10637910</v>
      </c>
      <c r="W651" s="21">
        <v>7100000</v>
      </c>
      <c r="X651" s="10" t="s">
        <v>2659</v>
      </c>
      <c r="Y651" s="30">
        <f t="shared" si="20"/>
        <v>3537910</v>
      </c>
      <c r="Z651" s="41">
        <f t="shared" si="21"/>
        <v>0.66742433429122827</v>
      </c>
    </row>
    <row r="652" spans="1:27" ht="26.25">
      <c r="A652" s="2">
        <v>650</v>
      </c>
      <c r="B652" s="2">
        <v>2416552</v>
      </c>
      <c r="C652" s="2">
        <v>31609950420047</v>
      </c>
      <c r="D652" s="2" t="s">
        <v>145</v>
      </c>
      <c r="E652" s="2">
        <v>4252975</v>
      </c>
      <c r="F652" s="2">
        <v>949387579</v>
      </c>
      <c r="G652" s="3">
        <v>34958</v>
      </c>
      <c r="H652" s="2" t="s">
        <v>1648</v>
      </c>
      <c r="I652" s="2" t="s">
        <v>1649</v>
      </c>
      <c r="J652" s="2" t="s">
        <v>1650</v>
      </c>
      <c r="K652" s="2" t="s">
        <v>39</v>
      </c>
      <c r="L652" s="2" t="s">
        <v>27</v>
      </c>
      <c r="M652" s="2">
        <v>5320102</v>
      </c>
      <c r="N652" s="2" t="s">
        <v>138</v>
      </c>
      <c r="O652" s="2" t="s">
        <v>149</v>
      </c>
      <c r="P652" s="2" t="s">
        <v>140</v>
      </c>
      <c r="Q652" s="4">
        <v>42064</v>
      </c>
      <c r="R652" s="2" t="s">
        <v>62</v>
      </c>
      <c r="S652" s="2">
        <v>8</v>
      </c>
      <c r="T652" s="2" t="s">
        <v>33</v>
      </c>
      <c r="U652" s="2" t="s">
        <v>34</v>
      </c>
      <c r="V652" s="29" t="s">
        <v>2801</v>
      </c>
      <c r="W652" s="21">
        <f>11208945+5000000+3000000</f>
        <v>19208945</v>
      </c>
      <c r="X652" s="11" t="s">
        <v>2987</v>
      </c>
      <c r="Y652" s="30">
        <f t="shared" si="20"/>
        <v>967156</v>
      </c>
      <c r="Z652" s="41">
        <f t="shared" si="21"/>
        <v>0.95206427644270808</v>
      </c>
      <c r="AA652" s="42" t="s">
        <v>2798</v>
      </c>
    </row>
    <row r="653" spans="1:27" ht="26.25">
      <c r="A653" s="2">
        <v>651</v>
      </c>
      <c r="B653" s="2">
        <v>3791785</v>
      </c>
      <c r="C653" s="2">
        <v>42409901140044</v>
      </c>
      <c r="D653" s="2" t="s">
        <v>145</v>
      </c>
      <c r="E653" s="2">
        <v>7664752</v>
      </c>
      <c r="F653" s="2">
        <v>907888583</v>
      </c>
      <c r="G653" s="3">
        <v>33140</v>
      </c>
      <c r="H653" s="2" t="s">
        <v>1651</v>
      </c>
      <c r="I653" s="2" t="s">
        <v>1652</v>
      </c>
      <c r="J653" s="2" t="s">
        <v>1653</v>
      </c>
      <c r="K653" s="2" t="s">
        <v>39</v>
      </c>
      <c r="L653" s="2" t="s">
        <v>57</v>
      </c>
      <c r="M653" s="2">
        <v>5350701</v>
      </c>
      <c r="N653" s="2" t="s">
        <v>338</v>
      </c>
      <c r="O653" s="2" t="s">
        <v>41</v>
      </c>
      <c r="P653" s="2" t="s">
        <v>104</v>
      </c>
      <c r="Q653" s="5">
        <v>44471</v>
      </c>
      <c r="R653" s="2" t="s">
        <v>44</v>
      </c>
      <c r="S653" s="2">
        <v>8</v>
      </c>
      <c r="T653" s="2" t="s">
        <v>33</v>
      </c>
      <c r="U653" s="2" t="s">
        <v>34</v>
      </c>
      <c r="V653" s="32" t="s">
        <v>2726</v>
      </c>
      <c r="W653" s="21">
        <v>20550000</v>
      </c>
      <c r="X653" s="11" t="s">
        <v>2643</v>
      </c>
      <c r="Y653" s="30">
        <f t="shared" si="20"/>
        <v>-267.5</v>
      </c>
      <c r="Z653" s="41">
        <f t="shared" si="21"/>
        <v>1.0000130172010755</v>
      </c>
    </row>
    <row r="654" spans="1:27" ht="26.25">
      <c r="A654" s="2">
        <v>652</v>
      </c>
      <c r="B654" s="2">
        <v>3448843</v>
      </c>
      <c r="C654" s="2">
        <v>52009036440023</v>
      </c>
      <c r="D654" s="2" t="s">
        <v>22</v>
      </c>
      <c r="E654" s="2">
        <v>2257991</v>
      </c>
      <c r="F654" s="2">
        <v>916241647</v>
      </c>
      <c r="G654" s="3">
        <v>37884</v>
      </c>
      <c r="H654" s="2" t="s">
        <v>1087</v>
      </c>
      <c r="I654" s="2" t="s">
        <v>1654</v>
      </c>
      <c r="J654" s="2" t="s">
        <v>1655</v>
      </c>
      <c r="K654" s="2" t="s">
        <v>26</v>
      </c>
      <c r="L654" s="2" t="s">
        <v>27</v>
      </c>
      <c r="M654" s="2">
        <v>5320102</v>
      </c>
      <c r="N654" s="2" t="s">
        <v>138</v>
      </c>
      <c r="O654" s="2" t="s">
        <v>88</v>
      </c>
      <c r="P654" s="2" t="s">
        <v>154</v>
      </c>
      <c r="Q654" s="4">
        <v>43922</v>
      </c>
      <c r="R654" s="2" t="s">
        <v>53</v>
      </c>
      <c r="S654" s="2">
        <v>8</v>
      </c>
      <c r="T654" s="2" t="s">
        <v>33</v>
      </c>
      <c r="U654" s="2" t="s">
        <v>34</v>
      </c>
      <c r="V654" s="32">
        <v>51300880</v>
      </c>
      <c r="Y654" s="30">
        <f t="shared" si="20"/>
        <v>51300880</v>
      </c>
      <c r="Z654" s="41">
        <f t="shared" si="21"/>
        <v>0</v>
      </c>
    </row>
    <row r="655" spans="1:27" ht="15.75">
      <c r="A655" s="2">
        <v>653</v>
      </c>
      <c r="B655" s="2">
        <v>2988706</v>
      </c>
      <c r="C655" s="2">
        <v>51406025650017</v>
      </c>
      <c r="D655" s="2" t="s">
        <v>22</v>
      </c>
      <c r="E655" s="2">
        <v>1489554</v>
      </c>
      <c r="F655" s="2">
        <v>913203031</v>
      </c>
      <c r="G655" s="3">
        <v>37421</v>
      </c>
      <c r="H655" s="2" t="s">
        <v>466</v>
      </c>
      <c r="I655" s="2" t="s">
        <v>1656</v>
      </c>
      <c r="J655" s="2" t="s">
        <v>1657</v>
      </c>
      <c r="K655" s="2" t="s">
        <v>39</v>
      </c>
      <c r="L655" s="2" t="s">
        <v>27</v>
      </c>
      <c r="M655" s="2">
        <v>5310606</v>
      </c>
      <c r="N655" s="2" t="s">
        <v>72</v>
      </c>
      <c r="O655" s="2" t="s">
        <v>207</v>
      </c>
      <c r="P655" s="2" t="s">
        <v>73</v>
      </c>
      <c r="Q655" s="4">
        <v>18537</v>
      </c>
      <c r="R655" s="2" t="s">
        <v>62</v>
      </c>
      <c r="S655" s="2">
        <v>8</v>
      </c>
      <c r="T655" s="2" t="s">
        <v>33</v>
      </c>
      <c r="U655" s="2" t="s">
        <v>34</v>
      </c>
      <c r="V655" s="29" t="s">
        <v>2748</v>
      </c>
      <c r="W655" s="21">
        <f>26000000+3891000+2000000+8500000+11000000+2000000+2000000</f>
        <v>55391000</v>
      </c>
      <c r="X655" s="11" t="s">
        <v>2894</v>
      </c>
      <c r="Y655" s="30">
        <f t="shared" si="20"/>
        <v>-1588064</v>
      </c>
      <c r="Z655" s="41">
        <f t="shared" si="21"/>
        <v>1.0295163074372</v>
      </c>
      <c r="AA655" s="42" t="s">
        <v>2798</v>
      </c>
    </row>
    <row r="656" spans="1:27" ht="26.25">
      <c r="A656" s="2">
        <v>654</v>
      </c>
      <c r="B656" s="2">
        <v>2253888</v>
      </c>
      <c r="C656" s="2">
        <v>52802017360039</v>
      </c>
      <c r="D656" s="2" t="s">
        <v>35</v>
      </c>
      <c r="E656" s="2">
        <v>1163694</v>
      </c>
      <c r="F656" s="2">
        <v>905937933</v>
      </c>
      <c r="G656" s="3">
        <v>36950</v>
      </c>
      <c r="H656" s="2" t="s">
        <v>1658</v>
      </c>
      <c r="I656" s="2" t="s">
        <v>1659</v>
      </c>
      <c r="J656" s="2" t="s">
        <v>1660</v>
      </c>
      <c r="K656" s="2" t="s">
        <v>26</v>
      </c>
      <c r="L656" s="2" t="s">
        <v>57</v>
      </c>
      <c r="M656" s="2">
        <v>5310701</v>
      </c>
      <c r="N656" s="2" t="s">
        <v>118</v>
      </c>
      <c r="O656" s="2" t="s">
        <v>122</v>
      </c>
      <c r="P656" s="2">
        <v>63</v>
      </c>
      <c r="Q656" s="5">
        <v>44317</v>
      </c>
      <c r="R656" s="2" t="s">
        <v>53</v>
      </c>
      <c r="S656" s="2">
        <v>8</v>
      </c>
      <c r="T656" s="2" t="s">
        <v>33</v>
      </c>
      <c r="U656" s="2" t="s">
        <v>34</v>
      </c>
      <c r="V656" s="32">
        <v>9618915</v>
      </c>
      <c r="W656" s="22">
        <v>5000000</v>
      </c>
      <c r="X656" s="17" t="s">
        <v>2677</v>
      </c>
      <c r="Y656" s="30">
        <f t="shared" si="20"/>
        <v>4618915</v>
      </c>
      <c r="Z656" s="41">
        <f t="shared" si="21"/>
        <v>0.51980914687363389</v>
      </c>
    </row>
    <row r="657" spans="1:26" ht="26.25">
      <c r="A657" s="2">
        <v>655</v>
      </c>
      <c r="B657" s="2">
        <v>1391806</v>
      </c>
      <c r="C657" s="2">
        <v>51310016560024</v>
      </c>
      <c r="D657" s="2" t="s">
        <v>45</v>
      </c>
      <c r="E657" s="2">
        <v>7946813</v>
      </c>
      <c r="F657" s="2">
        <v>909370816</v>
      </c>
      <c r="G657" s="3">
        <v>37177</v>
      </c>
      <c r="H657" s="2" t="s">
        <v>1661</v>
      </c>
      <c r="I657" s="2" t="s">
        <v>255</v>
      </c>
      <c r="J657" s="2" t="s">
        <v>1305</v>
      </c>
      <c r="K657" s="2" t="s">
        <v>26</v>
      </c>
      <c r="L657" s="2" t="s">
        <v>27</v>
      </c>
      <c r="M657" s="2">
        <v>5340607</v>
      </c>
      <c r="N657" s="2" t="s">
        <v>928</v>
      </c>
      <c r="O657" s="2" t="s">
        <v>225</v>
      </c>
      <c r="P657" s="2" t="s">
        <v>154</v>
      </c>
      <c r="Q657" s="5">
        <v>44471</v>
      </c>
      <c r="R657" s="2" t="s">
        <v>93</v>
      </c>
      <c r="S657" s="2">
        <v>8</v>
      </c>
      <c r="T657" s="2" t="s">
        <v>33</v>
      </c>
      <c r="U657" s="2" t="s">
        <v>34</v>
      </c>
      <c r="V657" s="32">
        <v>17729850</v>
      </c>
      <c r="W657" s="21">
        <f>9000000+8729850</f>
        <v>17729850</v>
      </c>
      <c r="X657" s="12" t="s">
        <v>2810</v>
      </c>
      <c r="Y657" s="30">
        <f t="shared" si="20"/>
        <v>0</v>
      </c>
      <c r="Z657" s="41">
        <f t="shared" si="21"/>
        <v>1</v>
      </c>
    </row>
    <row r="658" spans="1:26" ht="26.25">
      <c r="A658" s="2">
        <v>656</v>
      </c>
      <c r="B658" s="2">
        <v>1564405</v>
      </c>
      <c r="C658" s="2">
        <v>42710930660020</v>
      </c>
      <c r="D658" s="2" t="s">
        <v>145</v>
      </c>
      <c r="E658" s="2">
        <v>8563353</v>
      </c>
      <c r="F658" s="2">
        <v>977739311</v>
      </c>
      <c r="G658" s="3">
        <v>34269</v>
      </c>
      <c r="H658" s="2" t="s">
        <v>1662</v>
      </c>
      <c r="I658" s="2" t="s">
        <v>1663</v>
      </c>
      <c r="J658" s="2" t="s">
        <v>1664</v>
      </c>
      <c r="K658" s="2" t="s">
        <v>39</v>
      </c>
      <c r="L658" s="2" t="s">
        <v>27</v>
      </c>
      <c r="M658" s="2">
        <v>5320102</v>
      </c>
      <c r="N658" s="2" t="s">
        <v>138</v>
      </c>
      <c r="O658" s="2" t="s">
        <v>149</v>
      </c>
      <c r="P658" s="2" t="s">
        <v>140</v>
      </c>
      <c r="Q658" s="4">
        <v>42064</v>
      </c>
      <c r="R658" s="2" t="s">
        <v>62</v>
      </c>
      <c r="S658" s="2">
        <v>8</v>
      </c>
      <c r="T658" s="2" t="s">
        <v>33</v>
      </c>
      <c r="U658" s="2" t="s">
        <v>34</v>
      </c>
      <c r="V658" s="32">
        <v>22417890</v>
      </c>
      <c r="Y658" s="30">
        <f t="shared" si="20"/>
        <v>22417890</v>
      </c>
      <c r="Z658" s="41">
        <f t="shared" si="21"/>
        <v>0</v>
      </c>
    </row>
    <row r="659" spans="1:26" ht="26.25">
      <c r="A659" s="2">
        <v>657</v>
      </c>
      <c r="B659" s="2">
        <v>2030291</v>
      </c>
      <c r="C659" s="2">
        <v>51704005780043</v>
      </c>
      <c r="D659" s="2" t="s">
        <v>45</v>
      </c>
      <c r="E659" s="2">
        <v>6629232</v>
      </c>
      <c r="F659" s="2">
        <v>905014705</v>
      </c>
      <c r="G659" s="3">
        <v>36633</v>
      </c>
      <c r="H659" s="2" t="s">
        <v>926</v>
      </c>
      <c r="I659" s="2" t="s">
        <v>642</v>
      </c>
      <c r="J659" s="2" t="s">
        <v>1665</v>
      </c>
      <c r="K659" s="2" t="s">
        <v>39</v>
      </c>
      <c r="L659" s="2" t="s">
        <v>27</v>
      </c>
      <c r="M659" s="2">
        <v>5620701</v>
      </c>
      <c r="N659" s="2" t="s">
        <v>218</v>
      </c>
      <c r="O659" s="2" t="s">
        <v>207</v>
      </c>
      <c r="P659" s="2" t="s">
        <v>219</v>
      </c>
      <c r="Q659" s="2" t="s">
        <v>253</v>
      </c>
      <c r="R659" s="2" t="s">
        <v>62</v>
      </c>
      <c r="S659" s="2">
        <v>8</v>
      </c>
      <c r="T659" s="2" t="s">
        <v>33</v>
      </c>
      <c r="U659" s="2" t="s">
        <v>34</v>
      </c>
      <c r="V659" s="29">
        <v>53802936</v>
      </c>
      <c r="W659" s="21">
        <v>27000000</v>
      </c>
      <c r="X659" s="10" t="s">
        <v>2630</v>
      </c>
      <c r="Y659" s="30">
        <f t="shared" si="20"/>
        <v>26802936</v>
      </c>
      <c r="Z659" s="41">
        <f t="shared" si="21"/>
        <v>0.50183134987280253</v>
      </c>
    </row>
    <row r="660" spans="1:26" ht="26.25">
      <c r="A660" s="2">
        <v>658</v>
      </c>
      <c r="B660" s="2">
        <v>2539197</v>
      </c>
      <c r="C660" s="2">
        <v>62504026740026</v>
      </c>
      <c r="D660" s="2" t="s">
        <v>45</v>
      </c>
      <c r="E660" s="2">
        <v>9757160</v>
      </c>
      <c r="F660" s="2">
        <v>994373602</v>
      </c>
      <c r="G660" s="3">
        <v>37371</v>
      </c>
      <c r="H660" s="2" t="s">
        <v>1251</v>
      </c>
      <c r="I660" s="2" t="s">
        <v>1666</v>
      </c>
      <c r="J660" s="2" t="s">
        <v>1667</v>
      </c>
      <c r="K660" s="2" t="s">
        <v>26</v>
      </c>
      <c r="L660" s="2" t="s">
        <v>27</v>
      </c>
      <c r="M660" s="2">
        <v>5230902</v>
      </c>
      <c r="N660" s="2" t="s">
        <v>251</v>
      </c>
      <c r="O660" s="2" t="s">
        <v>67</v>
      </c>
      <c r="P660" s="2" t="s">
        <v>798</v>
      </c>
      <c r="Q660" s="2" t="s">
        <v>223</v>
      </c>
      <c r="R660" s="2" t="s">
        <v>134</v>
      </c>
      <c r="S660" s="2">
        <v>10</v>
      </c>
      <c r="T660" s="2" t="s">
        <v>33</v>
      </c>
      <c r="U660" s="2" t="s">
        <v>34</v>
      </c>
      <c r="V660" s="32">
        <v>91299300</v>
      </c>
      <c r="Y660" s="30">
        <f t="shared" si="20"/>
        <v>91299300</v>
      </c>
      <c r="Z660" s="41">
        <f t="shared" si="21"/>
        <v>0</v>
      </c>
    </row>
    <row r="661" spans="1:26">
      <c r="A661" s="2">
        <v>659</v>
      </c>
      <c r="B661" s="2">
        <v>1497196</v>
      </c>
      <c r="C661" s="2">
        <v>51106006790012</v>
      </c>
      <c r="D661" s="2" t="s">
        <v>45</v>
      </c>
      <c r="E661" s="2">
        <v>5082847</v>
      </c>
      <c r="F661" s="2">
        <v>997924762</v>
      </c>
      <c r="G661" s="3">
        <v>36688</v>
      </c>
      <c r="H661" s="2" t="s">
        <v>195</v>
      </c>
      <c r="I661" s="2" t="s">
        <v>1668</v>
      </c>
      <c r="J661" s="2" t="s">
        <v>1669</v>
      </c>
      <c r="K661" s="2" t="s">
        <v>39</v>
      </c>
      <c r="L661" s="2" t="s">
        <v>57</v>
      </c>
      <c r="M661" s="2">
        <v>5620400</v>
      </c>
      <c r="N661" s="2" t="s">
        <v>103</v>
      </c>
      <c r="O661" s="2" t="s">
        <v>420</v>
      </c>
      <c r="P661" s="2" t="s">
        <v>139</v>
      </c>
      <c r="Q661" s="2" t="s">
        <v>500</v>
      </c>
      <c r="R661" s="2" t="s">
        <v>62</v>
      </c>
      <c r="S661" s="2">
        <v>8</v>
      </c>
      <c r="T661" s="2" t="s">
        <v>33</v>
      </c>
      <c r="U661" s="2" t="s">
        <v>34</v>
      </c>
      <c r="V661" s="32">
        <v>119562080</v>
      </c>
      <c r="Y661" s="30">
        <f t="shared" si="20"/>
        <v>119562080</v>
      </c>
      <c r="Z661" s="41">
        <f t="shared" si="21"/>
        <v>0</v>
      </c>
    </row>
    <row r="662" spans="1:26" ht="30">
      <c r="A662" s="2">
        <v>660</v>
      </c>
      <c r="B662" s="2">
        <v>3613760</v>
      </c>
      <c r="C662" s="2">
        <v>50803036120068</v>
      </c>
      <c r="D662" s="2" t="s">
        <v>22</v>
      </c>
      <c r="E662" s="2">
        <v>2870767</v>
      </c>
      <c r="F662" s="2">
        <v>975582508</v>
      </c>
      <c r="G662" s="3">
        <v>37688</v>
      </c>
      <c r="H662" s="2" t="s">
        <v>1670</v>
      </c>
      <c r="I662" s="2" t="s">
        <v>1671</v>
      </c>
      <c r="J662" s="2" t="s">
        <v>1230</v>
      </c>
      <c r="K662" s="2" t="s">
        <v>39</v>
      </c>
      <c r="L662" s="2" t="s">
        <v>27</v>
      </c>
      <c r="M662" s="2">
        <v>5320102</v>
      </c>
      <c r="N662" s="2" t="s">
        <v>138</v>
      </c>
      <c r="O662" s="2" t="s">
        <v>175</v>
      </c>
      <c r="P662" s="2" t="s">
        <v>140</v>
      </c>
      <c r="Q662" s="5">
        <v>44317</v>
      </c>
      <c r="R662" s="2" t="s">
        <v>62</v>
      </c>
      <c r="S662" s="2">
        <v>8</v>
      </c>
      <c r="T662" s="2" t="s">
        <v>33</v>
      </c>
      <c r="U662" s="2" t="s">
        <v>34</v>
      </c>
      <c r="V662" s="32">
        <v>11208945</v>
      </c>
      <c r="W662" s="20">
        <f>5321000+350000</f>
        <v>5671000</v>
      </c>
      <c r="X662" s="50" t="s">
        <v>2876</v>
      </c>
      <c r="Y662" s="30">
        <f t="shared" si="20"/>
        <v>5537945</v>
      </c>
      <c r="Z662" s="41">
        <f t="shared" si="21"/>
        <v>0.50593521513398454</v>
      </c>
    </row>
    <row r="663" spans="1:26">
      <c r="A663" s="2">
        <v>661</v>
      </c>
      <c r="B663" s="2">
        <v>3651832</v>
      </c>
      <c r="C663" s="2">
        <v>51201040005020</v>
      </c>
      <c r="D663" s="2" t="s">
        <v>74</v>
      </c>
      <c r="E663" s="2">
        <v>30634</v>
      </c>
      <c r="F663" s="2">
        <v>999581221</v>
      </c>
      <c r="G663" s="3">
        <v>37998</v>
      </c>
      <c r="H663" s="2" t="s">
        <v>1450</v>
      </c>
      <c r="I663" s="2" t="s">
        <v>1672</v>
      </c>
      <c r="J663" s="2" t="s">
        <v>371</v>
      </c>
      <c r="K663" s="2" t="s">
        <v>39</v>
      </c>
      <c r="L663" s="2" t="s">
        <v>27</v>
      </c>
      <c r="M663" s="2">
        <v>5620400</v>
      </c>
      <c r="N663" s="2" t="s">
        <v>103</v>
      </c>
      <c r="O663" s="2" t="s">
        <v>207</v>
      </c>
      <c r="P663" s="2" t="s">
        <v>123</v>
      </c>
      <c r="Q663" s="5">
        <v>44338</v>
      </c>
      <c r="R663" s="2" t="s">
        <v>62</v>
      </c>
      <c r="S663" s="2">
        <v>8</v>
      </c>
      <c r="T663" s="2" t="s">
        <v>33</v>
      </c>
      <c r="U663" s="2" t="s">
        <v>34</v>
      </c>
      <c r="V663" s="32">
        <v>59781040</v>
      </c>
      <c r="W663" s="20">
        <v>30000000</v>
      </c>
      <c r="X663" s="2" t="s">
        <v>2663</v>
      </c>
      <c r="Y663" s="30">
        <f t="shared" si="20"/>
        <v>29781040</v>
      </c>
      <c r="Z663" s="41">
        <f t="shared" si="21"/>
        <v>0.50183134987280253</v>
      </c>
    </row>
    <row r="664" spans="1:26" ht="15.75">
      <c r="A664" s="2">
        <v>662</v>
      </c>
      <c r="B664" s="2">
        <v>3459102</v>
      </c>
      <c r="C664" s="2">
        <v>52105035320017</v>
      </c>
      <c r="D664" s="2" t="s">
        <v>22</v>
      </c>
      <c r="E664" s="2">
        <v>2018673</v>
      </c>
      <c r="F664" s="2">
        <v>997371858</v>
      </c>
      <c r="G664" s="3">
        <v>37762</v>
      </c>
      <c r="H664" s="2" t="s">
        <v>1673</v>
      </c>
      <c r="I664" s="2" t="s">
        <v>437</v>
      </c>
      <c r="J664" s="2" t="s">
        <v>1674</v>
      </c>
      <c r="K664" s="2" t="s">
        <v>26</v>
      </c>
      <c r="L664" s="2" t="s">
        <v>27</v>
      </c>
      <c r="M664" s="2">
        <v>5620101</v>
      </c>
      <c r="N664" s="2" t="s">
        <v>49</v>
      </c>
      <c r="O664" s="2">
        <v>63</v>
      </c>
      <c r="P664" s="2" t="s">
        <v>51</v>
      </c>
      <c r="Q664" s="2" t="s">
        <v>1675</v>
      </c>
      <c r="R664" s="2" t="s">
        <v>53</v>
      </c>
      <c r="S664" s="2">
        <v>8</v>
      </c>
      <c r="T664" s="2" t="s">
        <v>33</v>
      </c>
      <c r="U664" s="2" t="s">
        <v>34</v>
      </c>
      <c r="V664" s="32">
        <v>56735520</v>
      </c>
      <c r="W664" s="21">
        <v>28370000</v>
      </c>
      <c r="X664" s="10" t="s">
        <v>2625</v>
      </c>
      <c r="Y664" s="30">
        <f t="shared" si="20"/>
        <v>28365520</v>
      </c>
      <c r="Z664" s="41">
        <f t="shared" si="21"/>
        <v>0.50003948143949328</v>
      </c>
    </row>
    <row r="665" spans="1:26">
      <c r="A665" s="2">
        <v>663</v>
      </c>
      <c r="B665" s="2">
        <v>3621015</v>
      </c>
      <c r="C665" s="2">
        <v>51108036920029</v>
      </c>
      <c r="D665" s="2" t="s">
        <v>22</v>
      </c>
      <c r="E665" s="2">
        <v>2361033</v>
      </c>
      <c r="F665" s="2">
        <v>993206073</v>
      </c>
      <c r="G665" s="3">
        <v>37844</v>
      </c>
      <c r="H665" s="2" t="s">
        <v>1676</v>
      </c>
      <c r="I665" s="2" t="s">
        <v>1278</v>
      </c>
      <c r="J665" s="2" t="s">
        <v>1333</v>
      </c>
      <c r="K665" s="2" t="s">
        <v>26</v>
      </c>
      <c r="L665" s="2" t="s">
        <v>27</v>
      </c>
      <c r="M665" s="2">
        <v>5620101</v>
      </c>
      <c r="N665" s="2" t="s">
        <v>49</v>
      </c>
      <c r="O665" s="2" t="s">
        <v>1677</v>
      </c>
      <c r="P665" s="2" t="s">
        <v>51</v>
      </c>
      <c r="Q665" s="2" t="s">
        <v>591</v>
      </c>
      <c r="R665" s="2" t="s">
        <v>53</v>
      </c>
      <c r="S665" s="2">
        <v>8</v>
      </c>
      <c r="T665" s="2" t="s">
        <v>508</v>
      </c>
      <c r="U665" s="2" t="s">
        <v>34</v>
      </c>
      <c r="V665" s="32">
        <v>56735520</v>
      </c>
      <c r="Y665" s="30">
        <f t="shared" si="20"/>
        <v>56735520</v>
      </c>
      <c r="Z665" s="41">
        <f t="shared" si="21"/>
        <v>0</v>
      </c>
    </row>
    <row r="666" spans="1:26" ht="26.25">
      <c r="A666" s="2">
        <v>664</v>
      </c>
      <c r="B666" s="2">
        <v>3609764</v>
      </c>
      <c r="C666" s="2">
        <v>31201912130041</v>
      </c>
      <c r="D666" s="2" t="s">
        <v>45</v>
      </c>
      <c r="E666" s="2">
        <v>5176143</v>
      </c>
      <c r="F666" s="2">
        <v>942797779</v>
      </c>
      <c r="G666" s="3">
        <v>33250</v>
      </c>
      <c r="H666" s="2" t="s">
        <v>1678</v>
      </c>
      <c r="I666" s="2" t="s">
        <v>1679</v>
      </c>
      <c r="J666" s="2" t="s">
        <v>1680</v>
      </c>
      <c r="K666" s="2" t="s">
        <v>39</v>
      </c>
      <c r="L666" s="2" t="s">
        <v>27</v>
      </c>
      <c r="M666" s="2">
        <v>5310605</v>
      </c>
      <c r="N666" s="2" t="s">
        <v>97</v>
      </c>
      <c r="O666" s="2" t="s">
        <v>60</v>
      </c>
      <c r="P666" s="2" t="s">
        <v>79</v>
      </c>
      <c r="Q666" s="2" t="s">
        <v>124</v>
      </c>
      <c r="R666" s="2" t="s">
        <v>62</v>
      </c>
      <c r="S666" s="2">
        <v>8</v>
      </c>
      <c r="T666" s="2" t="s">
        <v>33</v>
      </c>
      <c r="U666" s="2" t="s">
        <v>34</v>
      </c>
      <c r="V666" s="32">
        <v>59781040</v>
      </c>
      <c r="Y666" s="30">
        <f t="shared" si="20"/>
        <v>59781040</v>
      </c>
      <c r="Z666" s="41">
        <f t="shared" si="21"/>
        <v>0</v>
      </c>
    </row>
    <row r="667" spans="1:26" ht="15.75">
      <c r="A667" s="2">
        <v>665</v>
      </c>
      <c r="B667" s="2">
        <v>3570758</v>
      </c>
      <c r="C667" s="2">
        <v>62001036800022</v>
      </c>
      <c r="D667" s="2" t="s">
        <v>22</v>
      </c>
      <c r="E667" s="2">
        <v>1668253</v>
      </c>
      <c r="F667" s="2">
        <v>950292203</v>
      </c>
      <c r="G667" s="3">
        <v>37641</v>
      </c>
      <c r="H667" s="2" t="s">
        <v>1681</v>
      </c>
      <c r="I667" s="2" t="s">
        <v>1682</v>
      </c>
      <c r="J667" s="2" t="s">
        <v>1683</v>
      </c>
      <c r="K667" s="2" t="s">
        <v>26</v>
      </c>
      <c r="L667" s="2" t="s">
        <v>27</v>
      </c>
      <c r="M667" s="2">
        <v>5234101</v>
      </c>
      <c r="N667" s="2" t="s">
        <v>1684</v>
      </c>
      <c r="O667" s="2" t="s">
        <v>344</v>
      </c>
      <c r="P667" s="2" t="s">
        <v>219</v>
      </c>
      <c r="Q667" s="4">
        <v>42064</v>
      </c>
      <c r="R667" s="2" t="s">
        <v>134</v>
      </c>
      <c r="S667" s="2">
        <v>10</v>
      </c>
      <c r="T667" s="2" t="s">
        <v>33</v>
      </c>
      <c r="U667" s="2" t="s">
        <v>34</v>
      </c>
      <c r="V667" s="32">
        <v>27389790</v>
      </c>
      <c r="W667" s="24">
        <v>13700000</v>
      </c>
      <c r="X667" s="14" t="s">
        <v>2659</v>
      </c>
      <c r="Y667" s="30">
        <f t="shared" si="20"/>
        <v>13689790</v>
      </c>
      <c r="Z667" s="41">
        <f t="shared" si="21"/>
        <v>0.50018638332020804</v>
      </c>
    </row>
    <row r="668" spans="1:26" ht="31.5">
      <c r="A668" s="2">
        <v>666</v>
      </c>
      <c r="B668" s="2">
        <v>3369887</v>
      </c>
      <c r="C668" s="2">
        <v>52004045740018</v>
      </c>
      <c r="D668" s="2" t="s">
        <v>22</v>
      </c>
      <c r="E668" s="2">
        <v>2445849</v>
      </c>
      <c r="F668" s="2">
        <v>905180078</v>
      </c>
      <c r="G668" s="3">
        <v>38097</v>
      </c>
      <c r="H668" s="2" t="s">
        <v>1685</v>
      </c>
      <c r="I668" s="2" t="s">
        <v>1686</v>
      </c>
      <c r="J668" s="2" t="s">
        <v>1687</v>
      </c>
      <c r="K668" s="2" t="s">
        <v>26</v>
      </c>
      <c r="L668" s="2" t="s">
        <v>57</v>
      </c>
      <c r="M668" s="2">
        <v>5310605</v>
      </c>
      <c r="N668" s="2" t="s">
        <v>97</v>
      </c>
      <c r="O668" s="2" t="s">
        <v>60</v>
      </c>
      <c r="P668" s="2" t="s">
        <v>41</v>
      </c>
      <c r="Q668" s="4">
        <v>14824</v>
      </c>
      <c r="R668" s="2" t="s">
        <v>53</v>
      </c>
      <c r="S668" s="2">
        <v>8</v>
      </c>
      <c r="T668" s="2" t="s">
        <v>33</v>
      </c>
      <c r="U668" s="2" t="s">
        <v>34</v>
      </c>
      <c r="V668" s="32">
        <v>46170792</v>
      </c>
      <c r="W668" s="21">
        <f>25650440+12825500</f>
        <v>38475940</v>
      </c>
      <c r="X668" s="45" t="s">
        <v>2959</v>
      </c>
      <c r="Y668" s="30">
        <f t="shared" si="20"/>
        <v>7694852</v>
      </c>
      <c r="Z668" s="41">
        <f t="shared" si="21"/>
        <v>0.83333939777338017</v>
      </c>
    </row>
    <row r="669" spans="1:26">
      <c r="A669" s="2">
        <v>667</v>
      </c>
      <c r="B669" s="2">
        <v>2371930</v>
      </c>
      <c r="C669" s="2">
        <v>51501026780018</v>
      </c>
      <c r="D669" s="2" t="s">
        <v>45</v>
      </c>
      <c r="E669" s="2">
        <v>8677038</v>
      </c>
      <c r="F669" s="2">
        <v>998475723</v>
      </c>
      <c r="G669" s="3">
        <v>37271</v>
      </c>
      <c r="H669" s="2" t="s">
        <v>670</v>
      </c>
      <c r="I669" s="2" t="s">
        <v>1688</v>
      </c>
      <c r="J669" s="2" t="s">
        <v>377</v>
      </c>
      <c r="K669" s="2" t="s">
        <v>39</v>
      </c>
      <c r="L669" s="2" t="s">
        <v>27</v>
      </c>
      <c r="M669" s="2">
        <v>5620101</v>
      </c>
      <c r="N669" s="2" t="s">
        <v>49</v>
      </c>
      <c r="O669" s="2" t="s">
        <v>88</v>
      </c>
      <c r="P669" s="2" t="s">
        <v>264</v>
      </c>
      <c r="Q669" s="2" t="s">
        <v>106</v>
      </c>
      <c r="R669" s="2" t="s">
        <v>62</v>
      </c>
      <c r="S669" s="2">
        <v>8</v>
      </c>
      <c r="T669" s="2" t="s">
        <v>33</v>
      </c>
      <c r="U669" s="2" t="s">
        <v>34</v>
      </c>
      <c r="V669" s="32">
        <v>53802936</v>
      </c>
      <c r="W669" s="20">
        <v>27000000</v>
      </c>
      <c r="X669" s="2" t="s">
        <v>2663</v>
      </c>
      <c r="Y669" s="30">
        <f t="shared" si="20"/>
        <v>26802936</v>
      </c>
      <c r="Z669" s="41">
        <f t="shared" si="21"/>
        <v>0.50183134987280253</v>
      </c>
    </row>
    <row r="670" spans="1:26" ht="15.75">
      <c r="A670" s="2">
        <v>668</v>
      </c>
      <c r="B670" s="2">
        <v>3363161</v>
      </c>
      <c r="C670" s="2">
        <v>51111035940033</v>
      </c>
      <c r="D670" s="2" t="s">
        <v>22</v>
      </c>
      <c r="E670" s="2">
        <v>2693914</v>
      </c>
      <c r="F670" s="2">
        <v>998717827</v>
      </c>
      <c r="G670" s="3">
        <v>37936</v>
      </c>
      <c r="H670" s="2" t="s">
        <v>1575</v>
      </c>
      <c r="I670" s="2" t="s">
        <v>1689</v>
      </c>
      <c r="J670" s="2" t="s">
        <v>945</v>
      </c>
      <c r="K670" s="2" t="s">
        <v>26</v>
      </c>
      <c r="L670" s="2" t="s">
        <v>57</v>
      </c>
      <c r="M670" s="2">
        <v>5620101</v>
      </c>
      <c r="N670" s="2" t="s">
        <v>49</v>
      </c>
      <c r="O670" s="2" t="s">
        <v>50</v>
      </c>
      <c r="P670" s="2" t="s">
        <v>199</v>
      </c>
      <c r="Q670" s="2" t="s">
        <v>549</v>
      </c>
      <c r="R670" s="2" t="s">
        <v>53</v>
      </c>
      <c r="S670" s="2">
        <v>8</v>
      </c>
      <c r="T670" s="2" t="s">
        <v>33</v>
      </c>
      <c r="U670" s="2" t="s">
        <v>34</v>
      </c>
      <c r="V670" s="32">
        <v>102601760</v>
      </c>
      <c r="W670" s="21">
        <v>52500000</v>
      </c>
      <c r="X670" s="11" t="s">
        <v>2655</v>
      </c>
      <c r="Y670" s="30">
        <f t="shared" si="20"/>
        <v>50101760</v>
      </c>
      <c r="Z670" s="41">
        <f t="shared" si="21"/>
        <v>0.51168712895373336</v>
      </c>
    </row>
    <row r="671" spans="1:26" ht="51.75">
      <c r="A671" s="2">
        <v>669</v>
      </c>
      <c r="B671" s="2">
        <v>3410767</v>
      </c>
      <c r="C671" s="2">
        <v>50911036740022</v>
      </c>
      <c r="D671" s="2" t="s">
        <v>22</v>
      </c>
      <c r="E671" s="2">
        <v>2529784</v>
      </c>
      <c r="F671" s="2">
        <v>931105333</v>
      </c>
      <c r="G671" s="3">
        <v>37934</v>
      </c>
      <c r="H671" s="2" t="s">
        <v>1690</v>
      </c>
      <c r="I671" s="2" t="s">
        <v>1691</v>
      </c>
      <c r="J671" s="2" t="s">
        <v>1692</v>
      </c>
      <c r="K671" s="2" t="s">
        <v>39</v>
      </c>
      <c r="L671" s="2" t="s">
        <v>27</v>
      </c>
      <c r="M671" s="2">
        <v>5340605</v>
      </c>
      <c r="N671" s="2" t="s">
        <v>40</v>
      </c>
      <c r="O671" s="2" t="s">
        <v>155</v>
      </c>
      <c r="P671" s="2" t="s">
        <v>42</v>
      </c>
      <c r="Q671" s="4">
        <v>12966</v>
      </c>
      <c r="R671" s="2" t="s">
        <v>44</v>
      </c>
      <c r="S671" s="2">
        <v>8</v>
      </c>
      <c r="T671" s="2" t="s">
        <v>33</v>
      </c>
      <c r="U671" s="2" t="s">
        <v>34</v>
      </c>
      <c r="V671" s="32">
        <v>65759144</v>
      </c>
      <c r="W671" s="20">
        <f>32879572+11000000+11000000+10960000</f>
        <v>65839572</v>
      </c>
      <c r="X671" s="2" t="s">
        <v>2811</v>
      </c>
      <c r="Y671" s="30">
        <f t="shared" si="20"/>
        <v>-80428</v>
      </c>
      <c r="Z671" s="41">
        <f t="shared" si="21"/>
        <v>1.0012230694487143</v>
      </c>
    </row>
    <row r="672" spans="1:26">
      <c r="A672" s="2">
        <v>670</v>
      </c>
      <c r="B672" s="2">
        <v>3149681</v>
      </c>
      <c r="C672" s="2">
        <v>33110956460013</v>
      </c>
      <c r="D672" s="2" t="s">
        <v>22</v>
      </c>
      <c r="E672" s="2">
        <v>2530261</v>
      </c>
      <c r="F672" s="2">
        <v>974944141</v>
      </c>
      <c r="G672" s="3">
        <v>35003</v>
      </c>
      <c r="H672" s="2" t="s">
        <v>1104</v>
      </c>
      <c r="I672" s="2" t="s">
        <v>1693</v>
      </c>
      <c r="J672" s="2" t="s">
        <v>1694</v>
      </c>
      <c r="K672" s="2" t="s">
        <v>39</v>
      </c>
      <c r="L672" s="2" t="s">
        <v>57</v>
      </c>
      <c r="M672" s="2">
        <v>5620400</v>
      </c>
      <c r="N672" s="2" t="s">
        <v>103</v>
      </c>
      <c r="O672" s="2" t="s">
        <v>198</v>
      </c>
      <c r="P672" s="2" t="s">
        <v>139</v>
      </c>
      <c r="Q672" s="4">
        <v>20394</v>
      </c>
      <c r="R672" s="2" t="s">
        <v>62</v>
      </c>
      <c r="S672" s="2">
        <v>8</v>
      </c>
      <c r="T672" s="2" t="s">
        <v>33</v>
      </c>
      <c r="U672" s="2" t="s">
        <v>34</v>
      </c>
      <c r="V672" s="32">
        <v>53802936</v>
      </c>
      <c r="W672" s="20">
        <v>29965500</v>
      </c>
      <c r="X672" s="2" t="s">
        <v>2707</v>
      </c>
      <c r="Y672" s="30">
        <f t="shared" si="20"/>
        <v>23837436</v>
      </c>
      <c r="Z672" s="41">
        <f t="shared" si="21"/>
        <v>0.55694915980049864</v>
      </c>
    </row>
    <row r="673" spans="1:27" ht="26.25">
      <c r="A673" s="2">
        <v>671</v>
      </c>
      <c r="B673" s="2">
        <v>2731201</v>
      </c>
      <c r="C673" s="2">
        <v>60611026610065</v>
      </c>
      <c r="D673" s="2" t="s">
        <v>22</v>
      </c>
      <c r="E673" s="2">
        <v>1590836</v>
      </c>
      <c r="F673" s="2">
        <v>977713775</v>
      </c>
      <c r="G673" s="3">
        <v>37566</v>
      </c>
      <c r="H673" s="2" t="s">
        <v>1695</v>
      </c>
      <c r="I673" s="2" t="s">
        <v>1696</v>
      </c>
      <c r="J673" s="2" t="s">
        <v>1697</v>
      </c>
      <c r="K673" s="2" t="s">
        <v>26</v>
      </c>
      <c r="L673" s="2" t="s">
        <v>57</v>
      </c>
      <c r="M673" s="2">
        <v>5340202</v>
      </c>
      <c r="N673" s="2" t="s">
        <v>499</v>
      </c>
      <c r="O673" s="2" t="s">
        <v>296</v>
      </c>
      <c r="P673" s="2" t="s">
        <v>224</v>
      </c>
      <c r="Q673" s="2" t="s">
        <v>179</v>
      </c>
      <c r="R673" s="2" t="s">
        <v>93</v>
      </c>
      <c r="S673" s="2">
        <v>8</v>
      </c>
      <c r="T673" s="2" t="s">
        <v>33</v>
      </c>
      <c r="U673" s="2" t="s">
        <v>34</v>
      </c>
      <c r="V673" s="32">
        <v>51061968</v>
      </c>
      <c r="Y673" s="30">
        <f t="shared" si="20"/>
        <v>51061968</v>
      </c>
      <c r="Z673" s="41">
        <f t="shared" si="21"/>
        <v>0</v>
      </c>
    </row>
    <row r="674" spans="1:27" ht="26.25">
      <c r="A674" s="2">
        <v>672</v>
      </c>
      <c r="B674" s="2">
        <v>3646730</v>
      </c>
      <c r="C674" s="2">
        <v>52606036810023</v>
      </c>
      <c r="D674" s="2" t="s">
        <v>22</v>
      </c>
      <c r="E674" s="2">
        <v>2384623</v>
      </c>
      <c r="F674" s="2">
        <v>975371205</v>
      </c>
      <c r="G674" s="3">
        <v>37798</v>
      </c>
      <c r="H674" s="2" t="s">
        <v>1698</v>
      </c>
      <c r="I674" s="2" t="s">
        <v>1699</v>
      </c>
      <c r="J674" s="2" t="s">
        <v>725</v>
      </c>
      <c r="K674" s="2" t="s">
        <v>39</v>
      </c>
      <c r="L674" s="2" t="s">
        <v>27</v>
      </c>
      <c r="M674" s="2">
        <v>5340202</v>
      </c>
      <c r="N674" s="2" t="s">
        <v>499</v>
      </c>
      <c r="O674" s="2" t="s">
        <v>1089</v>
      </c>
      <c r="P674" s="2" t="s">
        <v>490</v>
      </c>
      <c r="Q674" s="5">
        <v>44317</v>
      </c>
      <c r="R674" s="2" t="s">
        <v>44</v>
      </c>
      <c r="S674" s="2">
        <v>8</v>
      </c>
      <c r="T674" s="2" t="s">
        <v>33</v>
      </c>
      <c r="U674" s="2" t="s">
        <v>34</v>
      </c>
      <c r="V674" s="32" t="s">
        <v>2724</v>
      </c>
      <c r="W674" s="21">
        <f>8220000+4110000</f>
        <v>12330000</v>
      </c>
      <c r="X674" s="11" t="s">
        <v>2809</v>
      </c>
      <c r="Y674" s="30">
        <f t="shared" si="20"/>
        <v>-160.5</v>
      </c>
      <c r="Z674" s="41">
        <f t="shared" si="21"/>
        <v>1.0000130172010755</v>
      </c>
    </row>
    <row r="675" spans="1:27" ht="39">
      <c r="A675" s="2">
        <v>673</v>
      </c>
      <c r="B675" s="2">
        <v>3746071</v>
      </c>
      <c r="C675" s="2">
        <v>32702850580105</v>
      </c>
      <c r="D675" s="2" t="s">
        <v>145</v>
      </c>
      <c r="E675" s="2">
        <v>9388876</v>
      </c>
      <c r="F675" s="2">
        <v>935672020</v>
      </c>
      <c r="G675" s="3">
        <v>31105</v>
      </c>
      <c r="H675" s="2" t="s">
        <v>1700</v>
      </c>
      <c r="I675" s="2" t="s">
        <v>1186</v>
      </c>
      <c r="J675" s="2" t="s">
        <v>1701</v>
      </c>
      <c r="K675" s="2" t="s">
        <v>39</v>
      </c>
      <c r="L675" s="2" t="s">
        <v>27</v>
      </c>
      <c r="M675" s="2">
        <v>5320200</v>
      </c>
      <c r="N675" s="2" t="s">
        <v>66</v>
      </c>
      <c r="O675" s="2" t="s">
        <v>350</v>
      </c>
      <c r="P675" s="2" t="s">
        <v>68</v>
      </c>
      <c r="Q675" s="4">
        <v>12966</v>
      </c>
      <c r="R675" s="2" t="s">
        <v>62</v>
      </c>
      <c r="S675" s="2">
        <v>8</v>
      </c>
      <c r="T675" s="2" t="s">
        <v>33</v>
      </c>
      <c r="U675" s="2" t="s">
        <v>34</v>
      </c>
      <c r="V675" s="32">
        <v>59781040</v>
      </c>
      <c r="W675" s="21">
        <f>29500000+500000</f>
        <v>30000000</v>
      </c>
      <c r="X675" s="10" t="s">
        <v>2718</v>
      </c>
      <c r="Y675" s="30">
        <f t="shared" si="20"/>
        <v>29781040</v>
      </c>
      <c r="Z675" s="41">
        <f t="shared" si="21"/>
        <v>0.50183134987280253</v>
      </c>
    </row>
    <row r="676" spans="1:27">
      <c r="A676" s="2">
        <v>674</v>
      </c>
      <c r="B676" s="2">
        <v>3362034</v>
      </c>
      <c r="C676" s="2">
        <v>50606036590020</v>
      </c>
      <c r="D676" s="2" t="s">
        <v>22</v>
      </c>
      <c r="E676" s="2">
        <v>2002967</v>
      </c>
      <c r="F676" s="2">
        <v>994861507</v>
      </c>
      <c r="G676" s="3">
        <v>37778</v>
      </c>
      <c r="H676" s="2" t="s">
        <v>1702</v>
      </c>
      <c r="I676" s="2" t="s">
        <v>762</v>
      </c>
      <c r="J676" s="2" t="s">
        <v>1530</v>
      </c>
      <c r="K676" s="2" t="s">
        <v>39</v>
      </c>
      <c r="L676" s="2" t="s">
        <v>57</v>
      </c>
      <c r="M676" s="2">
        <v>5620400</v>
      </c>
      <c r="N676" s="2" t="s">
        <v>103</v>
      </c>
      <c r="O676" s="2" t="s">
        <v>179</v>
      </c>
      <c r="P676" s="2" t="s">
        <v>139</v>
      </c>
      <c r="Q676" s="4">
        <v>22251</v>
      </c>
      <c r="R676" s="2" t="s">
        <v>62</v>
      </c>
      <c r="S676" s="2">
        <v>8</v>
      </c>
      <c r="T676" s="2" t="s">
        <v>33</v>
      </c>
      <c r="U676" s="2" t="s">
        <v>34</v>
      </c>
      <c r="V676" s="29">
        <v>53802936</v>
      </c>
      <c r="W676" s="20">
        <v>30000000</v>
      </c>
      <c r="X676" s="2" t="s">
        <v>2663</v>
      </c>
      <c r="Y676" s="30">
        <f t="shared" si="20"/>
        <v>23802936</v>
      </c>
      <c r="Z676" s="41">
        <f t="shared" si="21"/>
        <v>0.55759038874755829</v>
      </c>
    </row>
    <row r="677" spans="1:27" ht="15.75">
      <c r="A677" s="2">
        <v>675</v>
      </c>
      <c r="B677" s="2">
        <v>2758097</v>
      </c>
      <c r="C677" s="2">
        <v>50307026770021</v>
      </c>
      <c r="D677" s="2" t="s">
        <v>22</v>
      </c>
      <c r="E677" s="2">
        <v>1515073</v>
      </c>
      <c r="F677" s="2">
        <v>994069675</v>
      </c>
      <c r="G677" s="3">
        <v>37440</v>
      </c>
      <c r="H677" s="2" t="s">
        <v>23</v>
      </c>
      <c r="I677" s="2" t="s">
        <v>1703</v>
      </c>
      <c r="J677" s="2" t="s">
        <v>1704</v>
      </c>
      <c r="K677" s="2" t="s">
        <v>26</v>
      </c>
      <c r="L677" s="2" t="s">
        <v>27</v>
      </c>
      <c r="M677" s="2">
        <v>5620400</v>
      </c>
      <c r="N677" s="2" t="s">
        <v>103</v>
      </c>
      <c r="O677" s="2" t="s">
        <v>88</v>
      </c>
      <c r="P677" s="2" t="s">
        <v>105</v>
      </c>
      <c r="Q677" s="2" t="s">
        <v>433</v>
      </c>
      <c r="R677" s="2" t="s">
        <v>53</v>
      </c>
      <c r="S677" s="2">
        <v>8</v>
      </c>
      <c r="T677" s="2" t="s">
        <v>33</v>
      </c>
      <c r="U677" s="2" t="s">
        <v>34</v>
      </c>
      <c r="V677" s="32">
        <v>46170792</v>
      </c>
      <c r="W677" s="21">
        <v>26000000</v>
      </c>
      <c r="X677" s="11" t="s">
        <v>2626</v>
      </c>
      <c r="Y677" s="30">
        <f t="shared" si="20"/>
        <v>20170792</v>
      </c>
      <c r="Z677" s="41">
        <f t="shared" si="21"/>
        <v>0.56312657577976999</v>
      </c>
    </row>
    <row r="678" spans="1:27" ht="26.25">
      <c r="A678" s="2">
        <v>676</v>
      </c>
      <c r="B678" s="2">
        <v>2766490</v>
      </c>
      <c r="C678" s="2">
        <v>52704035310020</v>
      </c>
      <c r="D678" s="2" t="s">
        <v>22</v>
      </c>
      <c r="E678" s="2">
        <v>2179723</v>
      </c>
      <c r="F678" s="2">
        <v>973435445</v>
      </c>
      <c r="G678" s="3">
        <v>37738</v>
      </c>
      <c r="H678" s="2" t="s">
        <v>54</v>
      </c>
      <c r="I678" s="2" t="s">
        <v>1705</v>
      </c>
      <c r="J678" s="2" t="s">
        <v>465</v>
      </c>
      <c r="K678" s="2" t="s">
        <v>39</v>
      </c>
      <c r="L678" s="2" t="s">
        <v>27</v>
      </c>
      <c r="M678" s="2">
        <v>5310701</v>
      </c>
      <c r="N678" s="2" t="s">
        <v>118</v>
      </c>
      <c r="O678" s="2" t="s">
        <v>88</v>
      </c>
      <c r="P678" s="2" t="s">
        <v>123</v>
      </c>
      <c r="Q678" s="2" t="s">
        <v>500</v>
      </c>
      <c r="R678" s="2" t="s">
        <v>62</v>
      </c>
      <c r="S678" s="2">
        <v>8</v>
      </c>
      <c r="T678" s="2" t="s">
        <v>33</v>
      </c>
      <c r="U678" s="2" t="s">
        <v>34</v>
      </c>
      <c r="V678" s="32">
        <v>59781040</v>
      </c>
      <c r="W678" s="20">
        <v>29890520</v>
      </c>
      <c r="X678" s="17" t="s">
        <v>2626</v>
      </c>
      <c r="Y678" s="30">
        <f t="shared" si="20"/>
        <v>29890520</v>
      </c>
      <c r="Z678" s="41">
        <f t="shared" si="21"/>
        <v>0.5</v>
      </c>
    </row>
    <row r="679" spans="1:27" ht="26.25">
      <c r="A679" s="2">
        <v>677</v>
      </c>
      <c r="B679" s="2">
        <v>3315977</v>
      </c>
      <c r="C679" s="2">
        <v>52907036750019</v>
      </c>
      <c r="D679" s="2" t="s">
        <v>22</v>
      </c>
      <c r="E679" s="2">
        <v>2095354</v>
      </c>
      <c r="F679" s="2">
        <v>998912512</v>
      </c>
      <c r="G679" s="3">
        <v>37831</v>
      </c>
      <c r="H679" s="2" t="s">
        <v>115</v>
      </c>
      <c r="I679" s="2" t="s">
        <v>1706</v>
      </c>
      <c r="J679" s="2" t="s">
        <v>1707</v>
      </c>
      <c r="K679" s="2" t="s">
        <v>26</v>
      </c>
      <c r="L679" s="2" t="s">
        <v>27</v>
      </c>
      <c r="M679" s="2">
        <v>5230215</v>
      </c>
      <c r="N679" s="2" t="s">
        <v>1708</v>
      </c>
      <c r="O679" s="2" t="s">
        <v>79</v>
      </c>
      <c r="P679" s="2" t="s">
        <v>29</v>
      </c>
      <c r="Q679" s="5">
        <v>44492</v>
      </c>
      <c r="R679" s="2" t="s">
        <v>134</v>
      </c>
      <c r="S679" s="2">
        <v>10</v>
      </c>
      <c r="T679" s="2" t="s">
        <v>33</v>
      </c>
      <c r="U679" s="2" t="s">
        <v>34</v>
      </c>
      <c r="V679" s="32">
        <v>91299300</v>
      </c>
      <c r="Y679" s="30">
        <f t="shared" si="20"/>
        <v>91299300</v>
      </c>
      <c r="Z679" s="41">
        <f t="shared" si="21"/>
        <v>0</v>
      </c>
    </row>
    <row r="680" spans="1:27" ht="26.25">
      <c r="A680" s="2">
        <v>678</v>
      </c>
      <c r="B680" s="2">
        <v>1350218</v>
      </c>
      <c r="C680" s="2">
        <v>51707006600055</v>
      </c>
      <c r="D680" s="2" t="s">
        <v>45</v>
      </c>
      <c r="E680" s="2">
        <v>4690320</v>
      </c>
      <c r="F680" s="2">
        <v>900095211</v>
      </c>
      <c r="G680" s="3">
        <v>36724</v>
      </c>
      <c r="H680" s="2" t="s">
        <v>1709</v>
      </c>
      <c r="I680" s="2" t="s">
        <v>1703</v>
      </c>
      <c r="J680" s="2" t="s">
        <v>1710</v>
      </c>
      <c r="K680" s="2" t="s">
        <v>39</v>
      </c>
      <c r="L680" s="2" t="s">
        <v>27</v>
      </c>
      <c r="M680" s="2">
        <v>5340604</v>
      </c>
      <c r="N680" s="2" t="s">
        <v>354</v>
      </c>
      <c r="O680" s="2" t="s">
        <v>350</v>
      </c>
      <c r="P680" s="2" t="s">
        <v>42</v>
      </c>
      <c r="Q680" s="5">
        <v>44317</v>
      </c>
      <c r="R680" s="2" t="s">
        <v>44</v>
      </c>
      <c r="S680" s="2">
        <v>8</v>
      </c>
      <c r="T680" s="2" t="s">
        <v>33</v>
      </c>
      <c r="U680" s="2" t="s">
        <v>34</v>
      </c>
      <c r="V680" s="32" t="s">
        <v>2724</v>
      </c>
      <c r="W680" s="21">
        <v>6165000</v>
      </c>
      <c r="X680" s="10" t="s">
        <v>2646</v>
      </c>
      <c r="Y680" s="30">
        <f t="shared" si="20"/>
        <v>6164839.5</v>
      </c>
      <c r="Z680" s="41">
        <f t="shared" si="21"/>
        <v>0.50000650860053775</v>
      </c>
    </row>
    <row r="681" spans="1:27" ht="31.5">
      <c r="A681" s="2">
        <v>679</v>
      </c>
      <c r="B681" s="2">
        <v>2982874</v>
      </c>
      <c r="C681" s="2">
        <v>30711997130041</v>
      </c>
      <c r="D681" s="2" t="s">
        <v>45</v>
      </c>
      <c r="E681" s="2">
        <v>5862790</v>
      </c>
      <c r="F681" s="2">
        <v>999429909</v>
      </c>
      <c r="G681" s="3">
        <v>36471</v>
      </c>
      <c r="H681" s="2" t="s">
        <v>1711</v>
      </c>
      <c r="I681" s="2" t="s">
        <v>1712</v>
      </c>
      <c r="J681" s="2" t="s">
        <v>1713</v>
      </c>
      <c r="K681" s="2" t="s">
        <v>39</v>
      </c>
      <c r="L681" s="2" t="s">
        <v>27</v>
      </c>
      <c r="M681" s="2">
        <v>5320102</v>
      </c>
      <c r="N681" s="2" t="s">
        <v>138</v>
      </c>
      <c r="O681" s="2" t="s">
        <v>175</v>
      </c>
      <c r="P681" s="2" t="s">
        <v>140</v>
      </c>
      <c r="Q681" s="5">
        <v>44317</v>
      </c>
      <c r="R681" s="2" t="s">
        <v>62</v>
      </c>
      <c r="S681" s="2">
        <v>8</v>
      </c>
      <c r="T681" s="2" t="s">
        <v>33</v>
      </c>
      <c r="U681" s="2" t="s">
        <v>34</v>
      </c>
      <c r="V681" s="32">
        <v>11208945</v>
      </c>
      <c r="W681" s="21">
        <f>7500000+1000000</f>
        <v>8500000</v>
      </c>
      <c r="X681" s="48" t="s">
        <v>2956</v>
      </c>
      <c r="Y681" s="30">
        <f t="shared" si="20"/>
        <v>2708945</v>
      </c>
      <c r="Z681" s="41">
        <f t="shared" si="21"/>
        <v>0.75832292869667928</v>
      </c>
    </row>
    <row r="682" spans="1:27" ht="26.25">
      <c r="A682" s="2">
        <v>680</v>
      </c>
      <c r="B682" s="2">
        <v>2925450</v>
      </c>
      <c r="C682" s="2">
        <v>32002976290035</v>
      </c>
      <c r="D682" s="2" t="s">
        <v>145</v>
      </c>
      <c r="E682" s="2">
        <v>9112144</v>
      </c>
      <c r="F682" s="2">
        <v>901106838</v>
      </c>
      <c r="G682" s="3">
        <v>35481</v>
      </c>
      <c r="H682" s="2" t="s">
        <v>1714</v>
      </c>
      <c r="I682" s="2" t="s">
        <v>1715</v>
      </c>
      <c r="J682" s="2" t="s">
        <v>1716</v>
      </c>
      <c r="K682" s="2" t="s">
        <v>39</v>
      </c>
      <c r="L682" s="2" t="s">
        <v>27</v>
      </c>
      <c r="M682" s="2">
        <v>5320102</v>
      </c>
      <c r="N682" s="2" t="s">
        <v>138</v>
      </c>
      <c r="O682" s="2" t="s">
        <v>198</v>
      </c>
      <c r="P682" s="2" t="s">
        <v>140</v>
      </c>
      <c r="Q682" s="2" t="s">
        <v>170</v>
      </c>
      <c r="R682" s="2" t="s">
        <v>62</v>
      </c>
      <c r="S682" s="2">
        <v>8</v>
      </c>
      <c r="T682" s="2" t="s">
        <v>33</v>
      </c>
      <c r="U682" s="2" t="s">
        <v>34</v>
      </c>
      <c r="V682" s="32">
        <v>59781040</v>
      </c>
      <c r="Y682" s="30">
        <f t="shared" si="20"/>
        <v>59781040</v>
      </c>
      <c r="Z682" s="41">
        <f t="shared" si="21"/>
        <v>0</v>
      </c>
    </row>
    <row r="683" spans="1:27">
      <c r="A683" s="2">
        <v>681</v>
      </c>
      <c r="B683" s="2">
        <v>3299429</v>
      </c>
      <c r="C683" s="2">
        <v>43010820470016</v>
      </c>
      <c r="D683" s="2" t="s">
        <v>145</v>
      </c>
      <c r="E683" s="2">
        <v>1521190</v>
      </c>
      <c r="F683" s="2">
        <v>936008228</v>
      </c>
      <c r="G683" s="3">
        <v>30254</v>
      </c>
      <c r="H683" s="2" t="s">
        <v>1717</v>
      </c>
      <c r="I683" s="2" t="s">
        <v>1718</v>
      </c>
      <c r="J683" s="2" t="s">
        <v>1719</v>
      </c>
      <c r="K683" s="2" t="s">
        <v>39</v>
      </c>
      <c r="L683" s="2" t="s">
        <v>57</v>
      </c>
      <c r="M683" s="2">
        <v>5620101</v>
      </c>
      <c r="N683" s="2" t="s">
        <v>49</v>
      </c>
      <c r="O683" s="2" t="s">
        <v>207</v>
      </c>
      <c r="P683" s="2" t="s">
        <v>194</v>
      </c>
      <c r="Q683" s="4">
        <v>43922</v>
      </c>
      <c r="R683" s="2" t="s">
        <v>62</v>
      </c>
      <c r="S683" s="2">
        <v>8</v>
      </c>
      <c r="T683" s="2" t="s">
        <v>33</v>
      </c>
      <c r="U683" s="2" t="s">
        <v>34</v>
      </c>
      <c r="V683" s="32">
        <v>59781040</v>
      </c>
      <c r="Y683" s="30">
        <f t="shared" si="20"/>
        <v>59781040</v>
      </c>
      <c r="Z683" s="41">
        <f t="shared" si="21"/>
        <v>0</v>
      </c>
    </row>
    <row r="684" spans="1:27" ht="26.25">
      <c r="A684" s="2">
        <v>682</v>
      </c>
      <c r="B684" s="2">
        <v>3517645</v>
      </c>
      <c r="C684" s="2">
        <v>52403046690016</v>
      </c>
      <c r="D684" s="2" t="s">
        <v>22</v>
      </c>
      <c r="E684" s="2">
        <v>2963123</v>
      </c>
      <c r="F684" s="2">
        <v>900115606</v>
      </c>
      <c r="G684" s="3">
        <v>38070</v>
      </c>
      <c r="H684" s="2" t="s">
        <v>466</v>
      </c>
      <c r="I684" s="2" t="s">
        <v>1689</v>
      </c>
      <c r="J684" s="2" t="s">
        <v>1720</v>
      </c>
      <c r="K684" s="2" t="s">
        <v>39</v>
      </c>
      <c r="L684" s="2" t="s">
        <v>27</v>
      </c>
      <c r="M684" s="2">
        <v>5230902</v>
      </c>
      <c r="N684" s="2" t="s">
        <v>251</v>
      </c>
      <c r="O684" s="2" t="s">
        <v>584</v>
      </c>
      <c r="P684" s="2" t="s">
        <v>252</v>
      </c>
      <c r="Q684" s="5">
        <v>44317</v>
      </c>
      <c r="R684" s="2" t="s">
        <v>82</v>
      </c>
      <c r="S684" s="2">
        <v>10</v>
      </c>
      <c r="T684" s="2" t="s">
        <v>33</v>
      </c>
      <c r="U684" s="2" t="s">
        <v>34</v>
      </c>
      <c r="V684" s="32">
        <v>15692523</v>
      </c>
      <c r="W684" s="21">
        <v>10462000</v>
      </c>
      <c r="X684" s="10" t="s">
        <v>2625</v>
      </c>
      <c r="Y684" s="30">
        <f t="shared" si="20"/>
        <v>5230523</v>
      </c>
      <c r="Z684" s="41">
        <f t="shared" si="21"/>
        <v>0.66668693109450916</v>
      </c>
    </row>
    <row r="685" spans="1:27" ht="26.25">
      <c r="A685" s="2">
        <v>683</v>
      </c>
      <c r="B685" s="2">
        <v>2076259</v>
      </c>
      <c r="C685" s="2">
        <v>31606910540021</v>
      </c>
      <c r="D685" s="2" t="s">
        <v>145</v>
      </c>
      <c r="E685" s="2">
        <v>443186</v>
      </c>
      <c r="F685" s="2">
        <v>998774379</v>
      </c>
      <c r="G685" s="3">
        <v>33405</v>
      </c>
      <c r="H685" s="2" t="s">
        <v>54</v>
      </c>
      <c r="I685" s="2" t="s">
        <v>995</v>
      </c>
      <c r="J685" s="2" t="s">
        <v>1721</v>
      </c>
      <c r="K685" s="2" t="s">
        <v>39</v>
      </c>
      <c r="L685" s="2" t="s">
        <v>57</v>
      </c>
      <c r="M685" s="2">
        <v>5620702</v>
      </c>
      <c r="N685" s="2" t="s">
        <v>159</v>
      </c>
      <c r="O685" s="2" t="s">
        <v>296</v>
      </c>
      <c r="P685" s="2" t="s">
        <v>139</v>
      </c>
      <c r="Q685" s="4">
        <v>18537</v>
      </c>
      <c r="R685" s="2" t="s">
        <v>62</v>
      </c>
      <c r="S685" s="2">
        <v>8</v>
      </c>
      <c r="T685" s="2" t="s">
        <v>33</v>
      </c>
      <c r="U685" s="2" t="s">
        <v>34</v>
      </c>
      <c r="V685" s="32">
        <v>53802936</v>
      </c>
      <c r="W685" s="21">
        <v>30000000</v>
      </c>
      <c r="X685" s="10" t="s">
        <v>2634</v>
      </c>
      <c r="Y685" s="30">
        <f t="shared" si="20"/>
        <v>23802936</v>
      </c>
      <c r="Z685" s="41">
        <f t="shared" si="21"/>
        <v>0.55759038874755829</v>
      </c>
    </row>
    <row r="686" spans="1:27" ht="26.25">
      <c r="A686" s="2">
        <v>684</v>
      </c>
      <c r="B686" s="2">
        <v>2463481</v>
      </c>
      <c r="C686" s="2">
        <v>52501025800037</v>
      </c>
      <c r="D686" s="2" t="s">
        <v>45</v>
      </c>
      <c r="E686" s="2">
        <v>9622281</v>
      </c>
      <c r="F686" s="2">
        <v>882844404</v>
      </c>
      <c r="G686" s="3">
        <v>37281</v>
      </c>
      <c r="H686" s="2" t="s">
        <v>1722</v>
      </c>
      <c r="I686" s="2" t="s">
        <v>1723</v>
      </c>
      <c r="J686" s="2" t="s">
        <v>1724</v>
      </c>
      <c r="K686" s="2" t="s">
        <v>39</v>
      </c>
      <c r="L686" s="2" t="s">
        <v>27</v>
      </c>
      <c r="M686" s="2">
        <v>5330202</v>
      </c>
      <c r="N686" s="2" t="s">
        <v>164</v>
      </c>
      <c r="O686" s="2" t="s">
        <v>155</v>
      </c>
      <c r="P686" s="2" t="s">
        <v>123</v>
      </c>
      <c r="Q686" s="2" t="s">
        <v>775</v>
      </c>
      <c r="R686" s="2" t="s">
        <v>44</v>
      </c>
      <c r="S686" s="2">
        <v>10</v>
      </c>
      <c r="T686" s="2" t="s">
        <v>33</v>
      </c>
      <c r="U686" s="2" t="s">
        <v>34</v>
      </c>
      <c r="V686" s="32">
        <v>82198930</v>
      </c>
      <c r="Y686" s="30">
        <f t="shared" si="20"/>
        <v>82198930</v>
      </c>
      <c r="Z686" s="41">
        <f t="shared" si="21"/>
        <v>0</v>
      </c>
    </row>
    <row r="687" spans="1:27" ht="26.25">
      <c r="A687" s="2">
        <v>685</v>
      </c>
      <c r="B687" s="2">
        <v>1864324</v>
      </c>
      <c r="C687" s="2">
        <v>32011997400028</v>
      </c>
      <c r="D687" s="2" t="s">
        <v>45</v>
      </c>
      <c r="E687" s="2">
        <v>4241833</v>
      </c>
      <c r="F687" s="2">
        <v>994022569</v>
      </c>
      <c r="G687" s="3">
        <v>36484</v>
      </c>
      <c r="H687" s="2" t="s">
        <v>1725</v>
      </c>
      <c r="I687" s="2" t="s">
        <v>1726</v>
      </c>
      <c r="J687" s="2" t="s">
        <v>1727</v>
      </c>
      <c r="K687" s="2" t="s">
        <v>39</v>
      </c>
      <c r="L687" s="2" t="s">
        <v>57</v>
      </c>
      <c r="M687" s="2">
        <v>5310605</v>
      </c>
      <c r="N687" s="2" t="s">
        <v>97</v>
      </c>
      <c r="O687" s="2" t="s">
        <v>225</v>
      </c>
      <c r="P687" s="2" t="s">
        <v>154</v>
      </c>
      <c r="Q687" s="5">
        <v>44471</v>
      </c>
      <c r="R687" s="2" t="s">
        <v>62</v>
      </c>
      <c r="S687" s="2">
        <v>8</v>
      </c>
      <c r="T687" s="2" t="s">
        <v>33</v>
      </c>
      <c r="U687" s="2" t="s">
        <v>34</v>
      </c>
      <c r="V687" s="29" t="s">
        <v>2792</v>
      </c>
      <c r="W687" s="21">
        <f>10000000+6000000</f>
        <v>16000000</v>
      </c>
      <c r="X687" s="11" t="s">
        <v>2969</v>
      </c>
      <c r="Y687" s="30">
        <f t="shared" si="20"/>
        <v>813417.5</v>
      </c>
      <c r="Z687" s="41">
        <f t="shared" si="21"/>
        <v>0.95162093012916615</v>
      </c>
      <c r="AA687" s="42" t="s">
        <v>2798</v>
      </c>
    </row>
    <row r="688" spans="1:27" ht="26.25">
      <c r="A688" s="2">
        <v>686</v>
      </c>
      <c r="B688" s="2">
        <v>2545363</v>
      </c>
      <c r="C688" s="2">
        <v>52109026120068</v>
      </c>
      <c r="D688" s="2" t="s">
        <v>22</v>
      </c>
      <c r="E688" s="2">
        <v>2477000</v>
      </c>
      <c r="F688" s="2">
        <v>904540475</v>
      </c>
      <c r="G688" s="3">
        <v>37520</v>
      </c>
      <c r="H688" s="2" t="s">
        <v>1606</v>
      </c>
      <c r="I688" s="2" t="s">
        <v>1021</v>
      </c>
      <c r="J688" s="2" t="s">
        <v>471</v>
      </c>
      <c r="K688" s="2" t="s">
        <v>39</v>
      </c>
      <c r="L688" s="2" t="s">
        <v>27</v>
      </c>
      <c r="M688" s="2">
        <v>5320102</v>
      </c>
      <c r="N688" s="2" t="s">
        <v>138</v>
      </c>
      <c r="O688" s="2" t="s">
        <v>225</v>
      </c>
      <c r="P688" s="2" t="s">
        <v>140</v>
      </c>
      <c r="Q688" s="4">
        <v>16681</v>
      </c>
      <c r="R688" s="2" t="s">
        <v>62</v>
      </c>
      <c r="S688" s="2">
        <v>8</v>
      </c>
      <c r="T688" s="2" t="s">
        <v>33</v>
      </c>
      <c r="U688" s="2" t="s">
        <v>34</v>
      </c>
      <c r="V688" s="32">
        <v>59781040</v>
      </c>
      <c r="Y688" s="30">
        <f t="shared" si="20"/>
        <v>59781040</v>
      </c>
      <c r="Z688" s="41">
        <f t="shared" si="21"/>
        <v>0</v>
      </c>
    </row>
    <row r="689" spans="1:27" ht="15.75">
      <c r="A689" s="2">
        <v>687</v>
      </c>
      <c r="B689" s="2">
        <v>3235865</v>
      </c>
      <c r="C689" s="2">
        <v>50901035140019</v>
      </c>
      <c r="D689" s="2" t="s">
        <v>22</v>
      </c>
      <c r="E689" s="2">
        <v>1568607</v>
      </c>
      <c r="F689" s="2">
        <v>999106514</v>
      </c>
      <c r="G689" s="3">
        <v>37630</v>
      </c>
      <c r="H689" s="2" t="s">
        <v>1728</v>
      </c>
      <c r="I689" s="2" t="s">
        <v>1729</v>
      </c>
      <c r="J689" s="2" t="s">
        <v>1730</v>
      </c>
      <c r="K689" s="2" t="s">
        <v>26</v>
      </c>
      <c r="L689" s="2" t="s">
        <v>27</v>
      </c>
      <c r="M689" s="2">
        <v>5310202</v>
      </c>
      <c r="N689" s="2" t="s">
        <v>86</v>
      </c>
      <c r="O689" s="2" t="s">
        <v>60</v>
      </c>
      <c r="P689" s="2" t="s">
        <v>252</v>
      </c>
      <c r="Q689" s="2" t="s">
        <v>106</v>
      </c>
      <c r="R689" s="2" t="s">
        <v>53</v>
      </c>
      <c r="S689" s="2">
        <v>8</v>
      </c>
      <c r="T689" s="2" t="s">
        <v>33</v>
      </c>
      <c r="U689" s="2" t="s">
        <v>34</v>
      </c>
      <c r="V689" s="32">
        <v>51300880</v>
      </c>
      <c r="W689" s="21">
        <v>25650440</v>
      </c>
      <c r="X689" s="10" t="s">
        <v>2629</v>
      </c>
      <c r="Y689" s="30">
        <f t="shared" si="20"/>
        <v>25650440</v>
      </c>
      <c r="Z689" s="41">
        <f t="shared" si="21"/>
        <v>0.5</v>
      </c>
    </row>
    <row r="690" spans="1:27" ht="26.25">
      <c r="A690" s="2">
        <v>688</v>
      </c>
      <c r="B690" s="2">
        <v>1587034</v>
      </c>
      <c r="C690" s="2">
        <v>32108986530049</v>
      </c>
      <c r="D690" s="2" t="s">
        <v>145</v>
      </c>
      <c r="E690" s="2">
        <v>8931139</v>
      </c>
      <c r="F690" s="2">
        <v>909575242</v>
      </c>
      <c r="G690" s="3">
        <v>36028</v>
      </c>
      <c r="H690" s="2" t="s">
        <v>375</v>
      </c>
      <c r="I690" s="2" t="s">
        <v>1731</v>
      </c>
      <c r="J690" s="2" t="s">
        <v>1732</v>
      </c>
      <c r="K690" s="2" t="s">
        <v>39</v>
      </c>
      <c r="L690" s="2" t="s">
        <v>27</v>
      </c>
      <c r="M690" s="2">
        <v>5320102</v>
      </c>
      <c r="N690" s="2" t="s">
        <v>138</v>
      </c>
      <c r="O690" s="2" t="s">
        <v>139</v>
      </c>
      <c r="P690" s="2" t="s">
        <v>140</v>
      </c>
      <c r="Q690" s="4">
        <v>45778</v>
      </c>
      <c r="R690" s="2" t="s">
        <v>62</v>
      </c>
      <c r="S690" s="2">
        <v>8</v>
      </c>
      <c r="T690" s="2" t="s">
        <v>33</v>
      </c>
      <c r="U690" s="2" t="s">
        <v>34</v>
      </c>
      <c r="V690" s="32">
        <v>59781040</v>
      </c>
      <c r="Y690" s="30">
        <f t="shared" si="20"/>
        <v>59781040</v>
      </c>
      <c r="Z690" s="41">
        <f t="shared" si="21"/>
        <v>0</v>
      </c>
    </row>
    <row r="691" spans="1:27">
      <c r="A691" s="2">
        <v>689</v>
      </c>
      <c r="B691" s="2">
        <v>3755151</v>
      </c>
      <c r="C691" s="2">
        <v>52702036300044</v>
      </c>
      <c r="D691" s="2" t="s">
        <v>22</v>
      </c>
      <c r="E691" s="2">
        <v>2351823</v>
      </c>
      <c r="F691" s="2">
        <v>901750282</v>
      </c>
      <c r="G691" s="3">
        <v>37679</v>
      </c>
      <c r="H691" s="2" t="s">
        <v>477</v>
      </c>
      <c r="I691" s="2" t="s">
        <v>1733</v>
      </c>
      <c r="J691" s="2" t="s">
        <v>1406</v>
      </c>
      <c r="K691" s="2" t="s">
        <v>26</v>
      </c>
      <c r="L691" s="2" t="s">
        <v>27</v>
      </c>
      <c r="M691" s="2">
        <v>5620400</v>
      </c>
      <c r="N691" s="2" t="s">
        <v>103</v>
      </c>
      <c r="O691" s="2" t="s">
        <v>67</v>
      </c>
      <c r="P691" s="2" t="s">
        <v>105</v>
      </c>
      <c r="Q691" s="2" t="s">
        <v>750</v>
      </c>
      <c r="R691" s="2" t="s">
        <v>53</v>
      </c>
      <c r="S691" s="2">
        <v>8</v>
      </c>
      <c r="T691" s="2" t="s">
        <v>33</v>
      </c>
      <c r="U691" s="2" t="s">
        <v>34</v>
      </c>
      <c r="V691" s="32">
        <v>51300880</v>
      </c>
      <c r="Y691" s="30">
        <f t="shared" si="20"/>
        <v>51300880</v>
      </c>
      <c r="Z691" s="41">
        <f t="shared" si="21"/>
        <v>0</v>
      </c>
    </row>
    <row r="692" spans="1:27">
      <c r="A692" s="2">
        <v>690</v>
      </c>
      <c r="B692" s="2">
        <v>2204665</v>
      </c>
      <c r="C692" s="2">
        <v>50105015780013</v>
      </c>
      <c r="D692" s="2" t="s">
        <v>45</v>
      </c>
      <c r="E692" s="2">
        <v>7820680</v>
      </c>
      <c r="F692" s="2">
        <v>907310540</v>
      </c>
      <c r="G692" s="3">
        <v>37012</v>
      </c>
      <c r="H692" s="2" t="s">
        <v>1169</v>
      </c>
      <c r="I692" s="2" t="s">
        <v>147</v>
      </c>
      <c r="J692" s="2" t="s">
        <v>1734</v>
      </c>
      <c r="K692" s="2" t="s">
        <v>39</v>
      </c>
      <c r="L692" s="2" t="s">
        <v>27</v>
      </c>
      <c r="M692" s="2">
        <v>5340603</v>
      </c>
      <c r="N692" s="2" t="s">
        <v>174</v>
      </c>
      <c r="O692" s="2" t="s">
        <v>149</v>
      </c>
      <c r="P692" s="2" t="s">
        <v>175</v>
      </c>
      <c r="Q692" s="5">
        <v>44471</v>
      </c>
      <c r="R692" s="2" t="s">
        <v>44</v>
      </c>
      <c r="S692" s="2">
        <v>8</v>
      </c>
      <c r="T692" s="2" t="s">
        <v>33</v>
      </c>
      <c r="U692" s="2" t="s">
        <v>34</v>
      </c>
      <c r="V692" s="32" t="s">
        <v>2726</v>
      </c>
      <c r="Y692" s="30">
        <f t="shared" si="20"/>
        <v>20549732.5</v>
      </c>
      <c r="Z692" s="41">
        <f t="shared" si="21"/>
        <v>0</v>
      </c>
    </row>
    <row r="693" spans="1:27" ht="26.25">
      <c r="A693" s="2">
        <v>691</v>
      </c>
      <c r="B693" s="2">
        <v>1931541</v>
      </c>
      <c r="C693" s="2">
        <v>30404966520012</v>
      </c>
      <c r="D693" s="2" t="s">
        <v>145</v>
      </c>
      <c r="E693" s="2">
        <v>75235</v>
      </c>
      <c r="F693" s="2">
        <v>900151144</v>
      </c>
      <c r="G693" s="3">
        <v>35159</v>
      </c>
      <c r="H693" s="2" t="s">
        <v>115</v>
      </c>
      <c r="I693" s="2" t="s">
        <v>1735</v>
      </c>
      <c r="J693" s="2" t="s">
        <v>840</v>
      </c>
      <c r="K693" s="2" t="s">
        <v>39</v>
      </c>
      <c r="L693" s="2" t="s">
        <v>27</v>
      </c>
      <c r="M693" s="2">
        <v>5330202</v>
      </c>
      <c r="N693" s="2" t="s">
        <v>164</v>
      </c>
      <c r="O693" s="2" t="s">
        <v>287</v>
      </c>
      <c r="P693" s="2" t="s">
        <v>123</v>
      </c>
      <c r="Q693" s="5">
        <v>44317</v>
      </c>
      <c r="R693" s="2" t="s">
        <v>44</v>
      </c>
      <c r="S693" s="2">
        <v>10</v>
      </c>
      <c r="T693" s="2" t="s">
        <v>33</v>
      </c>
      <c r="U693" s="2" t="s">
        <v>34</v>
      </c>
      <c r="V693" s="29" t="s">
        <v>2832</v>
      </c>
      <c r="W693" s="21">
        <f>8219893+2876962.55</f>
        <v>11096855.550000001</v>
      </c>
      <c r="X693" s="10" t="s">
        <v>2831</v>
      </c>
      <c r="Y693" s="30">
        <f t="shared" si="20"/>
        <v>0</v>
      </c>
      <c r="Z693" s="41">
        <f t="shared" si="21"/>
        <v>1</v>
      </c>
      <c r="AA693" s="42" t="s">
        <v>2798</v>
      </c>
    </row>
    <row r="694" spans="1:27">
      <c r="A694" s="2">
        <v>692</v>
      </c>
      <c r="B694" s="2">
        <v>2433278</v>
      </c>
      <c r="C694" s="2">
        <v>32009861580053</v>
      </c>
      <c r="D694" s="2" t="s">
        <v>45</v>
      </c>
      <c r="E694" s="2">
        <v>411809</v>
      </c>
      <c r="F694" s="2">
        <v>977194500</v>
      </c>
      <c r="G694" s="3">
        <v>31675</v>
      </c>
      <c r="H694" s="2" t="s">
        <v>447</v>
      </c>
      <c r="I694" s="2" t="s">
        <v>255</v>
      </c>
      <c r="J694" s="2" t="s">
        <v>1736</v>
      </c>
      <c r="K694" s="2" t="s">
        <v>39</v>
      </c>
      <c r="L694" s="2" t="s">
        <v>57</v>
      </c>
      <c r="M694" s="2">
        <v>5620400</v>
      </c>
      <c r="N694" s="2" t="s">
        <v>103</v>
      </c>
      <c r="O694" s="2" t="s">
        <v>60</v>
      </c>
      <c r="P694" s="2" t="s">
        <v>139</v>
      </c>
      <c r="Q694" s="2" t="s">
        <v>43</v>
      </c>
      <c r="R694" s="2" t="s">
        <v>62</v>
      </c>
      <c r="S694" s="2">
        <v>8</v>
      </c>
      <c r="T694" s="2" t="s">
        <v>33</v>
      </c>
      <c r="U694" s="2" t="s">
        <v>34</v>
      </c>
      <c r="V694" s="32">
        <v>59781040</v>
      </c>
      <c r="Y694" s="30">
        <f t="shared" si="20"/>
        <v>59781040</v>
      </c>
      <c r="Z694" s="41">
        <f t="shared" si="21"/>
        <v>0</v>
      </c>
    </row>
    <row r="695" spans="1:27">
      <c r="A695" s="2">
        <v>693</v>
      </c>
      <c r="B695" s="2">
        <v>3765460</v>
      </c>
      <c r="C695" s="2">
        <v>32312794320026</v>
      </c>
      <c r="D695" s="2" t="s">
        <v>22</v>
      </c>
      <c r="E695" s="2">
        <v>1477669</v>
      </c>
      <c r="F695" s="2">
        <v>916930755</v>
      </c>
      <c r="G695" s="3">
        <v>29212</v>
      </c>
      <c r="H695" s="2" t="s">
        <v>46</v>
      </c>
      <c r="I695" s="2" t="s">
        <v>1167</v>
      </c>
      <c r="J695" s="2" t="s">
        <v>1737</v>
      </c>
      <c r="K695" s="2" t="s">
        <v>39</v>
      </c>
      <c r="L695" s="2" t="s">
        <v>57</v>
      </c>
      <c r="M695" s="2">
        <v>5310606</v>
      </c>
      <c r="N695" s="2" t="s">
        <v>72</v>
      </c>
      <c r="O695" s="2" t="s">
        <v>122</v>
      </c>
      <c r="P695" s="2" t="s">
        <v>225</v>
      </c>
      <c r="Q695" s="4">
        <v>43922</v>
      </c>
      <c r="R695" s="2" t="s">
        <v>62</v>
      </c>
      <c r="S695" s="2">
        <v>8</v>
      </c>
      <c r="T695" s="2" t="s">
        <v>33</v>
      </c>
      <c r="U695" s="2" t="s">
        <v>34</v>
      </c>
      <c r="V695" s="32">
        <v>59781040</v>
      </c>
      <c r="Y695" s="30">
        <f t="shared" si="20"/>
        <v>59781040</v>
      </c>
      <c r="Z695" s="41">
        <f t="shared" si="21"/>
        <v>0</v>
      </c>
    </row>
    <row r="696" spans="1:27">
      <c r="A696" s="2">
        <v>694</v>
      </c>
      <c r="B696" s="2">
        <v>1857337</v>
      </c>
      <c r="C696" s="2">
        <v>52402005580069</v>
      </c>
      <c r="D696" s="2" t="s">
        <v>45</v>
      </c>
      <c r="E696" s="2">
        <v>9803644</v>
      </c>
      <c r="F696" s="2">
        <v>909092207</v>
      </c>
      <c r="G696" s="3">
        <v>36580</v>
      </c>
      <c r="H696" s="2" t="s">
        <v>1738</v>
      </c>
      <c r="I696" s="2" t="s">
        <v>1739</v>
      </c>
      <c r="J696" s="2" t="s">
        <v>643</v>
      </c>
      <c r="K696" s="2" t="s">
        <v>39</v>
      </c>
      <c r="L696" s="2" t="s">
        <v>27</v>
      </c>
      <c r="M696" s="2">
        <v>5230104</v>
      </c>
      <c r="N696" s="2" t="s">
        <v>78</v>
      </c>
      <c r="O696" s="2" t="s">
        <v>88</v>
      </c>
      <c r="P696" s="2" t="s">
        <v>80</v>
      </c>
      <c r="Q696" s="2" t="s">
        <v>602</v>
      </c>
      <c r="R696" s="2" t="s">
        <v>82</v>
      </c>
      <c r="S696" s="2">
        <v>10</v>
      </c>
      <c r="T696" s="2" t="s">
        <v>33</v>
      </c>
      <c r="U696" s="2" t="s">
        <v>34</v>
      </c>
      <c r="V696" s="32">
        <v>104616820</v>
      </c>
      <c r="Y696" s="30">
        <f t="shared" si="20"/>
        <v>104616820</v>
      </c>
      <c r="Z696" s="41">
        <f t="shared" si="21"/>
        <v>0</v>
      </c>
    </row>
    <row r="697" spans="1:27" ht="26.25">
      <c r="A697" s="2">
        <v>695</v>
      </c>
      <c r="B697" s="2">
        <v>1215935</v>
      </c>
      <c r="C697" s="2">
        <v>30409966710067</v>
      </c>
      <c r="D697" s="2" t="s">
        <v>145</v>
      </c>
      <c r="E697" s="2">
        <v>8652606</v>
      </c>
      <c r="F697" s="2">
        <v>998212028</v>
      </c>
      <c r="G697" s="3">
        <v>35312</v>
      </c>
      <c r="H697" s="2" t="s">
        <v>315</v>
      </c>
      <c r="I697" s="2" t="s">
        <v>1740</v>
      </c>
      <c r="J697" s="2" t="s">
        <v>1741</v>
      </c>
      <c r="K697" s="2" t="s">
        <v>39</v>
      </c>
      <c r="L697" s="2" t="s">
        <v>27</v>
      </c>
      <c r="M697" s="2">
        <v>5340605</v>
      </c>
      <c r="N697" s="2" t="s">
        <v>40</v>
      </c>
      <c r="O697" s="2" t="s">
        <v>296</v>
      </c>
      <c r="P697" s="2" t="s">
        <v>42</v>
      </c>
      <c r="Q697" s="2" t="s">
        <v>111</v>
      </c>
      <c r="R697" s="2" t="s">
        <v>44</v>
      </c>
      <c r="S697" s="2">
        <v>8</v>
      </c>
      <c r="T697" s="2" t="s">
        <v>33</v>
      </c>
      <c r="U697" s="2" t="s">
        <v>34</v>
      </c>
      <c r="V697" s="32">
        <v>65759144</v>
      </c>
      <c r="Y697" s="30">
        <f t="shared" si="20"/>
        <v>65759144</v>
      </c>
      <c r="Z697" s="41">
        <f t="shared" si="21"/>
        <v>0</v>
      </c>
    </row>
    <row r="698" spans="1:27" ht="26.25">
      <c r="A698" s="2">
        <v>696</v>
      </c>
      <c r="B698" s="2">
        <v>2236668</v>
      </c>
      <c r="C698" s="2">
        <v>50406016230043</v>
      </c>
      <c r="D698" s="2" t="s">
        <v>45</v>
      </c>
      <c r="E698" s="2">
        <v>7548979</v>
      </c>
      <c r="F698" s="2">
        <v>997057849</v>
      </c>
      <c r="G698" s="3">
        <v>37046</v>
      </c>
      <c r="H698" s="2" t="s">
        <v>685</v>
      </c>
      <c r="I698" s="2" t="s">
        <v>1742</v>
      </c>
      <c r="J698" s="2" t="s">
        <v>1743</v>
      </c>
      <c r="K698" s="2" t="s">
        <v>39</v>
      </c>
      <c r="L698" s="2" t="s">
        <v>57</v>
      </c>
      <c r="M698" s="2">
        <v>5310605</v>
      </c>
      <c r="N698" s="2" t="s">
        <v>97</v>
      </c>
      <c r="O698" s="2" t="s">
        <v>296</v>
      </c>
      <c r="P698" s="2" t="s">
        <v>154</v>
      </c>
      <c r="Q698" s="4">
        <v>14824</v>
      </c>
      <c r="R698" s="2" t="s">
        <v>62</v>
      </c>
      <c r="S698" s="2">
        <v>8</v>
      </c>
      <c r="T698" s="2" t="s">
        <v>33</v>
      </c>
      <c r="U698" s="2" t="s">
        <v>34</v>
      </c>
      <c r="V698" s="32">
        <v>53802936</v>
      </c>
      <c r="W698" s="21">
        <v>53802936</v>
      </c>
      <c r="X698" s="9">
        <v>25953731.350000001</v>
      </c>
      <c r="Y698" s="30">
        <f t="shared" si="20"/>
        <v>0</v>
      </c>
      <c r="Z698" s="41">
        <f t="shared" si="21"/>
        <v>1</v>
      </c>
    </row>
    <row r="699" spans="1:27">
      <c r="A699" s="2">
        <v>697</v>
      </c>
      <c r="B699" s="2">
        <v>2241971</v>
      </c>
      <c r="C699" s="2">
        <v>62108028660047</v>
      </c>
      <c r="D699" s="2" t="s">
        <v>22</v>
      </c>
      <c r="E699" s="2">
        <v>1058772</v>
      </c>
      <c r="F699" s="2">
        <v>974545648</v>
      </c>
      <c r="G699" s="3">
        <v>37489</v>
      </c>
      <c r="H699" s="2" t="s">
        <v>1744</v>
      </c>
      <c r="I699" s="2" t="s">
        <v>1745</v>
      </c>
      <c r="J699" s="2" t="s">
        <v>1746</v>
      </c>
      <c r="K699" s="2" t="s">
        <v>26</v>
      </c>
      <c r="L699" s="2" t="s">
        <v>27</v>
      </c>
      <c r="M699" s="2">
        <v>5231900</v>
      </c>
      <c r="N699" s="2" t="s">
        <v>1747</v>
      </c>
      <c r="O699" s="2" t="s">
        <v>629</v>
      </c>
      <c r="P699" s="2" t="s">
        <v>68</v>
      </c>
      <c r="Q699" s="4">
        <v>43922</v>
      </c>
      <c r="R699" s="2" t="s">
        <v>134</v>
      </c>
      <c r="S699" s="2">
        <v>10</v>
      </c>
      <c r="T699" s="2" t="s">
        <v>33</v>
      </c>
      <c r="U699" s="2" t="s">
        <v>34</v>
      </c>
      <c r="V699" s="32">
        <v>91299300</v>
      </c>
      <c r="Y699" s="30">
        <f t="shared" si="20"/>
        <v>91299300</v>
      </c>
      <c r="Z699" s="41">
        <f t="shared" si="21"/>
        <v>0</v>
      </c>
    </row>
    <row r="700" spans="1:27" ht="26.25">
      <c r="A700" s="2">
        <v>698</v>
      </c>
      <c r="B700" s="2">
        <v>1739327</v>
      </c>
      <c r="C700" s="2">
        <v>31204976740016</v>
      </c>
      <c r="D700" s="2" t="s">
        <v>145</v>
      </c>
      <c r="E700" s="2">
        <v>1637297</v>
      </c>
      <c r="F700" s="2">
        <v>998415129</v>
      </c>
      <c r="G700" s="3">
        <v>35532</v>
      </c>
      <c r="H700" s="2" t="s">
        <v>23</v>
      </c>
      <c r="I700" s="2" t="s">
        <v>1748</v>
      </c>
      <c r="J700" s="2" t="s">
        <v>1749</v>
      </c>
      <c r="K700" s="2" t="s">
        <v>39</v>
      </c>
      <c r="L700" s="2" t="s">
        <v>27</v>
      </c>
      <c r="M700" s="2">
        <v>5340606</v>
      </c>
      <c r="N700" s="2" t="s">
        <v>191</v>
      </c>
      <c r="O700" s="2" t="s">
        <v>296</v>
      </c>
      <c r="P700" s="2" t="s">
        <v>42</v>
      </c>
      <c r="Q700" s="2" t="s">
        <v>111</v>
      </c>
      <c r="R700" s="2" t="s">
        <v>44</v>
      </c>
      <c r="S700" s="2">
        <v>8</v>
      </c>
      <c r="T700" s="2" t="s">
        <v>33</v>
      </c>
      <c r="U700" s="2" t="s">
        <v>34</v>
      </c>
      <c r="V700" s="32">
        <v>65759144</v>
      </c>
      <c r="Y700" s="30">
        <f t="shared" si="20"/>
        <v>65759144</v>
      </c>
      <c r="Z700" s="41">
        <f t="shared" si="21"/>
        <v>0</v>
      </c>
    </row>
    <row r="701" spans="1:27" ht="26.25">
      <c r="A701" s="2">
        <v>699</v>
      </c>
      <c r="B701" s="2">
        <v>2527666</v>
      </c>
      <c r="C701" s="2">
        <v>32603943150011</v>
      </c>
      <c r="D701" s="2" t="s">
        <v>145</v>
      </c>
      <c r="E701" s="2">
        <v>6034109</v>
      </c>
      <c r="F701" s="2">
        <v>970101126</v>
      </c>
      <c r="G701" s="3">
        <v>34419</v>
      </c>
      <c r="H701" s="2" t="s">
        <v>115</v>
      </c>
      <c r="I701" s="2" t="s">
        <v>1005</v>
      </c>
      <c r="J701" s="2" t="s">
        <v>280</v>
      </c>
      <c r="K701" s="2" t="s">
        <v>39</v>
      </c>
      <c r="L701" s="2" t="s">
        <v>27</v>
      </c>
      <c r="M701" s="2">
        <v>5320102</v>
      </c>
      <c r="N701" s="2" t="s">
        <v>138</v>
      </c>
      <c r="O701" s="2" t="s">
        <v>175</v>
      </c>
      <c r="P701" s="2" t="s">
        <v>140</v>
      </c>
      <c r="Q701" s="5">
        <v>44317</v>
      </c>
      <c r="R701" s="2" t="s">
        <v>62</v>
      </c>
      <c r="S701" s="2">
        <v>8</v>
      </c>
      <c r="T701" s="2" t="s">
        <v>33</v>
      </c>
      <c r="U701" s="2" t="s">
        <v>34</v>
      </c>
      <c r="V701" s="32">
        <v>11208945</v>
      </c>
      <c r="W701" s="21">
        <v>11208942</v>
      </c>
      <c r="X701" s="11" t="s">
        <v>2627</v>
      </c>
      <c r="Y701" s="30">
        <f t="shared" si="20"/>
        <v>3</v>
      </c>
      <c r="Z701" s="41">
        <f t="shared" si="21"/>
        <v>0.99999973235661344</v>
      </c>
    </row>
    <row r="702" spans="1:27" ht="26.25">
      <c r="A702" s="2">
        <v>700</v>
      </c>
      <c r="B702" s="2">
        <v>2394022</v>
      </c>
      <c r="C702" s="2">
        <v>31712946240023</v>
      </c>
      <c r="D702" s="2" t="s">
        <v>644</v>
      </c>
      <c r="E702" s="2">
        <v>213248</v>
      </c>
      <c r="F702" s="2">
        <v>996740891</v>
      </c>
      <c r="G702" s="3">
        <v>34685</v>
      </c>
      <c r="H702" s="2" t="s">
        <v>375</v>
      </c>
      <c r="I702" s="2" t="s">
        <v>979</v>
      </c>
      <c r="J702" s="2" t="s">
        <v>1750</v>
      </c>
      <c r="K702" s="2" t="s">
        <v>39</v>
      </c>
      <c r="L702" s="2" t="s">
        <v>57</v>
      </c>
      <c r="M702" s="2">
        <v>5310701</v>
      </c>
      <c r="N702" s="2" t="s">
        <v>118</v>
      </c>
      <c r="O702" s="2" t="s">
        <v>88</v>
      </c>
      <c r="P702" s="2" t="s">
        <v>207</v>
      </c>
      <c r="Q702" s="4">
        <v>45778</v>
      </c>
      <c r="R702" s="2" t="s">
        <v>62</v>
      </c>
      <c r="S702" s="2">
        <v>8</v>
      </c>
      <c r="T702" s="2" t="s">
        <v>33</v>
      </c>
      <c r="U702" s="2" t="s">
        <v>34</v>
      </c>
      <c r="V702" s="32">
        <v>59781040</v>
      </c>
      <c r="Y702" s="30">
        <f t="shared" si="20"/>
        <v>59781040</v>
      </c>
      <c r="Z702" s="41">
        <f t="shared" si="21"/>
        <v>0</v>
      </c>
    </row>
    <row r="703" spans="1:27">
      <c r="A703" s="2">
        <v>701</v>
      </c>
      <c r="B703" s="2">
        <v>2149314</v>
      </c>
      <c r="C703" s="2">
        <v>51808025450022</v>
      </c>
      <c r="D703" s="2" t="s">
        <v>22</v>
      </c>
      <c r="E703" s="2">
        <v>292227</v>
      </c>
      <c r="F703" s="2">
        <v>991123440</v>
      </c>
      <c r="G703" s="3">
        <v>37486</v>
      </c>
      <c r="H703" s="2" t="s">
        <v>496</v>
      </c>
      <c r="I703" s="2" t="s">
        <v>801</v>
      </c>
      <c r="J703" s="2" t="s">
        <v>1751</v>
      </c>
      <c r="K703" s="2" t="s">
        <v>39</v>
      </c>
      <c r="L703" s="2" t="s">
        <v>27</v>
      </c>
      <c r="M703" s="2">
        <v>5340603</v>
      </c>
      <c r="N703" s="2" t="s">
        <v>174</v>
      </c>
      <c r="O703" s="2" t="s">
        <v>296</v>
      </c>
      <c r="P703" s="2" t="s">
        <v>175</v>
      </c>
      <c r="Q703" s="2" t="s">
        <v>591</v>
      </c>
      <c r="R703" s="2" t="s">
        <v>44</v>
      </c>
      <c r="S703" s="2">
        <v>8</v>
      </c>
      <c r="T703" s="2" t="s">
        <v>33</v>
      </c>
      <c r="U703" s="2" t="s">
        <v>34</v>
      </c>
      <c r="V703" s="32">
        <v>65759144</v>
      </c>
      <c r="Y703" s="30">
        <f t="shared" si="20"/>
        <v>65759144</v>
      </c>
      <c r="Z703" s="41">
        <f t="shared" si="21"/>
        <v>0</v>
      </c>
    </row>
    <row r="704" spans="1:27" ht="26.25">
      <c r="A704" s="2">
        <v>702</v>
      </c>
      <c r="B704" s="2">
        <v>1602609</v>
      </c>
      <c r="C704" s="2">
        <v>50306016380017</v>
      </c>
      <c r="D704" s="2" t="s">
        <v>45</v>
      </c>
      <c r="E704" s="2">
        <v>8118742</v>
      </c>
      <c r="F704" s="2">
        <v>993267512</v>
      </c>
      <c r="G704" s="3">
        <v>37045</v>
      </c>
      <c r="H704" s="2" t="s">
        <v>23</v>
      </c>
      <c r="I704" s="2" t="s">
        <v>1231</v>
      </c>
      <c r="J704" s="2" t="s">
        <v>1752</v>
      </c>
      <c r="K704" s="2" t="s">
        <v>26</v>
      </c>
      <c r="L704" s="2" t="s">
        <v>27</v>
      </c>
      <c r="M704" s="2">
        <v>5310603</v>
      </c>
      <c r="N704" s="2" t="s">
        <v>295</v>
      </c>
      <c r="O704" s="2" t="s">
        <v>225</v>
      </c>
      <c r="P704" s="2" t="s">
        <v>154</v>
      </c>
      <c r="Q704" s="5">
        <v>44471</v>
      </c>
      <c r="R704" s="2" t="s">
        <v>53</v>
      </c>
      <c r="S704" s="2">
        <v>8</v>
      </c>
      <c r="T704" s="2" t="s">
        <v>33</v>
      </c>
      <c r="U704" s="2" t="s">
        <v>34</v>
      </c>
      <c r="V704" s="32">
        <v>16031525</v>
      </c>
      <c r="W704" s="24">
        <v>8016000</v>
      </c>
      <c r="X704" s="14" t="s">
        <v>2630</v>
      </c>
      <c r="Y704" s="30">
        <f t="shared" si="20"/>
        <v>8015525</v>
      </c>
      <c r="Z704" s="41">
        <f t="shared" si="21"/>
        <v>0.50001481456068586</v>
      </c>
    </row>
    <row r="705" spans="1:26" ht="26.25">
      <c r="A705" s="2">
        <v>703</v>
      </c>
      <c r="B705" s="2">
        <v>3352252</v>
      </c>
      <c r="C705" s="2">
        <v>30709943960033</v>
      </c>
      <c r="D705" s="2" t="s">
        <v>45</v>
      </c>
      <c r="E705" s="2">
        <v>3718948</v>
      </c>
      <c r="F705" s="2">
        <v>973927667</v>
      </c>
      <c r="G705" s="3">
        <v>34584</v>
      </c>
      <c r="H705" s="2" t="s">
        <v>1753</v>
      </c>
      <c r="I705" s="2" t="s">
        <v>1754</v>
      </c>
      <c r="J705" s="2" t="s">
        <v>1755</v>
      </c>
      <c r="K705" s="2" t="s">
        <v>39</v>
      </c>
      <c r="L705" s="2" t="s">
        <v>27</v>
      </c>
      <c r="M705" s="2">
        <v>5620701</v>
      </c>
      <c r="N705" s="2" t="s">
        <v>218</v>
      </c>
      <c r="O705" s="2" t="s">
        <v>296</v>
      </c>
      <c r="P705" s="2" t="s">
        <v>219</v>
      </c>
      <c r="Q705" s="2" t="s">
        <v>299</v>
      </c>
      <c r="R705" s="2" t="s">
        <v>62</v>
      </c>
      <c r="S705" s="2">
        <v>8</v>
      </c>
      <c r="T705" s="2" t="s">
        <v>33</v>
      </c>
      <c r="U705" s="2" t="s">
        <v>34</v>
      </c>
      <c r="V705" s="32">
        <v>59781040</v>
      </c>
      <c r="Y705" s="30">
        <f t="shared" si="20"/>
        <v>59781040</v>
      </c>
      <c r="Z705" s="41">
        <f t="shared" si="21"/>
        <v>0</v>
      </c>
    </row>
    <row r="706" spans="1:26" ht="39">
      <c r="A706" s="2">
        <v>704</v>
      </c>
      <c r="B706" s="2">
        <v>3091308</v>
      </c>
      <c r="C706" s="2">
        <v>32112781780017</v>
      </c>
      <c r="D706" s="2" t="s">
        <v>145</v>
      </c>
      <c r="E706" s="2">
        <v>6225878</v>
      </c>
      <c r="F706" s="2">
        <v>996811619</v>
      </c>
      <c r="G706" s="3">
        <v>28845</v>
      </c>
      <c r="H706" s="2" t="s">
        <v>1756</v>
      </c>
      <c r="I706" s="2" t="s">
        <v>1757</v>
      </c>
      <c r="J706" s="2" t="s">
        <v>1758</v>
      </c>
      <c r="K706" s="2" t="s">
        <v>39</v>
      </c>
      <c r="L706" s="2" t="s">
        <v>27</v>
      </c>
      <c r="M706" s="2">
        <v>5311003</v>
      </c>
      <c r="N706" s="2" t="s">
        <v>144</v>
      </c>
      <c r="O706" s="2" t="s">
        <v>99</v>
      </c>
      <c r="P706" s="2" t="s">
        <v>79</v>
      </c>
      <c r="Q706" s="2" t="s">
        <v>310</v>
      </c>
      <c r="R706" s="2" t="s">
        <v>62</v>
      </c>
      <c r="S706" s="2">
        <v>8</v>
      </c>
      <c r="T706" s="2" t="s">
        <v>33</v>
      </c>
      <c r="U706" s="2" t="s">
        <v>34</v>
      </c>
      <c r="V706" s="32">
        <v>107605872</v>
      </c>
      <c r="W706" s="20">
        <v>60000000</v>
      </c>
      <c r="X706" s="2" t="s">
        <v>2672</v>
      </c>
      <c r="Y706" s="30">
        <f t="shared" si="20"/>
        <v>47605872</v>
      </c>
      <c r="Z706" s="41">
        <f t="shared" si="21"/>
        <v>0.55759038874755829</v>
      </c>
    </row>
    <row r="707" spans="1:26" ht="26.25">
      <c r="A707" s="2">
        <v>705</v>
      </c>
      <c r="B707" s="2">
        <v>1889680</v>
      </c>
      <c r="C707" s="2">
        <v>52108007420074</v>
      </c>
      <c r="D707" s="2" t="s">
        <v>45</v>
      </c>
      <c r="E707" s="2">
        <v>7532172</v>
      </c>
      <c r="F707" s="2">
        <v>990055475</v>
      </c>
      <c r="G707" s="3">
        <v>36759</v>
      </c>
      <c r="H707" s="2" t="s">
        <v>125</v>
      </c>
      <c r="I707" s="2" t="s">
        <v>1759</v>
      </c>
      <c r="J707" s="2" t="s">
        <v>1760</v>
      </c>
      <c r="K707" s="2" t="s">
        <v>26</v>
      </c>
      <c r="L707" s="2" t="s">
        <v>57</v>
      </c>
      <c r="M707" s="2">
        <v>5340605</v>
      </c>
      <c r="N707" s="2" t="s">
        <v>40</v>
      </c>
      <c r="O707" s="2" t="s">
        <v>253</v>
      </c>
      <c r="P707" s="2" t="s">
        <v>122</v>
      </c>
      <c r="Q707" s="2" t="s">
        <v>288</v>
      </c>
      <c r="R707" s="2" t="s">
        <v>93</v>
      </c>
      <c r="S707" s="2">
        <v>8</v>
      </c>
      <c r="T707" s="2" t="s">
        <v>33</v>
      </c>
      <c r="U707" s="2" t="s">
        <v>34</v>
      </c>
      <c r="V707" s="32">
        <v>113471040</v>
      </c>
      <c r="Y707" s="30">
        <f t="shared" si="20"/>
        <v>113471040</v>
      </c>
      <c r="Z707" s="41">
        <f t="shared" si="21"/>
        <v>0</v>
      </c>
    </row>
    <row r="708" spans="1:26" ht="26.25">
      <c r="A708" s="2">
        <v>706</v>
      </c>
      <c r="B708" s="2">
        <v>2266314</v>
      </c>
      <c r="C708" s="2">
        <v>50309027340056</v>
      </c>
      <c r="D708" s="2" t="s">
        <v>35</v>
      </c>
      <c r="E708" s="2">
        <v>1248467</v>
      </c>
      <c r="F708" s="2">
        <v>996821552</v>
      </c>
      <c r="G708" s="3">
        <v>37502</v>
      </c>
      <c r="H708" s="2" t="s">
        <v>1761</v>
      </c>
      <c r="I708" s="2" t="s">
        <v>1762</v>
      </c>
      <c r="J708" s="2" t="s">
        <v>1763</v>
      </c>
      <c r="K708" s="2" t="s">
        <v>26</v>
      </c>
      <c r="L708" s="2" t="s">
        <v>57</v>
      </c>
      <c r="M708" s="2">
        <v>5340605</v>
      </c>
      <c r="N708" s="2" t="s">
        <v>40</v>
      </c>
      <c r="O708" s="2" t="s">
        <v>60</v>
      </c>
      <c r="P708" s="2" t="s">
        <v>122</v>
      </c>
      <c r="Q708" s="4">
        <v>45778</v>
      </c>
      <c r="R708" s="2" t="s">
        <v>93</v>
      </c>
      <c r="S708" s="2">
        <v>8</v>
      </c>
      <c r="T708" s="2" t="s">
        <v>33</v>
      </c>
      <c r="U708" s="2" t="s">
        <v>34</v>
      </c>
      <c r="V708" s="32">
        <v>56735520</v>
      </c>
      <c r="Y708" s="30">
        <f t="shared" ref="Y708:Y771" si="22">V708-W708</f>
        <v>56735520</v>
      </c>
      <c r="Z708" s="41">
        <f t="shared" ref="Z708:Z771" si="23">W708/V708</f>
        <v>0</v>
      </c>
    </row>
    <row r="709" spans="1:26" ht="15.75">
      <c r="A709" s="2">
        <v>707</v>
      </c>
      <c r="B709" s="2">
        <v>2325396</v>
      </c>
      <c r="C709" s="2">
        <v>52209016080094</v>
      </c>
      <c r="D709" s="2" t="s">
        <v>22</v>
      </c>
      <c r="E709" s="2">
        <v>1618653</v>
      </c>
      <c r="F709" s="2">
        <v>993835327</v>
      </c>
      <c r="G709" s="3">
        <v>37156</v>
      </c>
      <c r="H709" s="2" t="s">
        <v>271</v>
      </c>
      <c r="I709" s="2" t="s">
        <v>1764</v>
      </c>
      <c r="J709" s="2" t="s">
        <v>77</v>
      </c>
      <c r="K709" s="2" t="s">
        <v>26</v>
      </c>
      <c r="L709" s="2" t="s">
        <v>27</v>
      </c>
      <c r="M709" s="2">
        <v>5620400</v>
      </c>
      <c r="N709" s="2" t="s">
        <v>103</v>
      </c>
      <c r="O709" s="2" t="s">
        <v>122</v>
      </c>
      <c r="P709" s="2" t="s">
        <v>105</v>
      </c>
      <c r="Q709" s="2" t="s">
        <v>223</v>
      </c>
      <c r="R709" s="2" t="s">
        <v>53</v>
      </c>
      <c r="S709" s="2">
        <v>8</v>
      </c>
      <c r="T709" s="2" t="s">
        <v>33</v>
      </c>
      <c r="U709" s="2" t="s">
        <v>34</v>
      </c>
      <c r="V709" s="32">
        <v>51300880</v>
      </c>
      <c r="W709" s="21">
        <f>25500000+300000</f>
        <v>25800000</v>
      </c>
      <c r="X709" s="10" t="s">
        <v>2713</v>
      </c>
      <c r="Y709" s="30">
        <f t="shared" si="22"/>
        <v>25500880</v>
      </c>
      <c r="Z709" s="41">
        <f t="shared" si="23"/>
        <v>0.50291534960024076</v>
      </c>
    </row>
    <row r="710" spans="1:26" ht="26.25">
      <c r="A710" s="2">
        <v>708</v>
      </c>
      <c r="B710" s="2">
        <v>2576279</v>
      </c>
      <c r="C710" s="2">
        <v>52304026790022</v>
      </c>
      <c r="D710" s="2" t="s">
        <v>22</v>
      </c>
      <c r="E710" s="2">
        <v>488207</v>
      </c>
      <c r="F710" s="2">
        <v>994025624</v>
      </c>
      <c r="G710" s="3">
        <v>37369</v>
      </c>
      <c r="H710" s="2" t="s">
        <v>509</v>
      </c>
      <c r="I710" s="2" t="s">
        <v>1668</v>
      </c>
      <c r="J710" s="2" t="s">
        <v>1765</v>
      </c>
      <c r="K710" s="2" t="s">
        <v>39</v>
      </c>
      <c r="L710" s="2" t="s">
        <v>27</v>
      </c>
      <c r="M710" s="2">
        <v>5320102</v>
      </c>
      <c r="N710" s="2" t="s">
        <v>138</v>
      </c>
      <c r="O710" s="2" t="s">
        <v>198</v>
      </c>
      <c r="P710" s="2" t="s">
        <v>140</v>
      </c>
      <c r="Q710" s="2" t="s">
        <v>170</v>
      </c>
      <c r="R710" s="2" t="s">
        <v>62</v>
      </c>
      <c r="S710" s="2">
        <v>8</v>
      </c>
      <c r="T710" s="2" t="s">
        <v>33</v>
      </c>
      <c r="U710" s="2" t="s">
        <v>34</v>
      </c>
      <c r="V710" s="32">
        <v>59781040</v>
      </c>
      <c r="Y710" s="30">
        <f t="shared" si="22"/>
        <v>59781040</v>
      </c>
      <c r="Z710" s="41">
        <f t="shared" si="23"/>
        <v>0</v>
      </c>
    </row>
    <row r="711" spans="1:26" ht="26.25">
      <c r="A711" s="2">
        <v>709</v>
      </c>
      <c r="B711" s="2">
        <v>2416544</v>
      </c>
      <c r="C711" s="2">
        <v>50910015780013</v>
      </c>
      <c r="D711" s="2" t="s">
        <v>22</v>
      </c>
      <c r="E711" s="2">
        <v>860838</v>
      </c>
      <c r="F711" s="2">
        <v>902374313</v>
      </c>
      <c r="G711" s="3">
        <v>37173</v>
      </c>
      <c r="H711" s="2" t="s">
        <v>1766</v>
      </c>
      <c r="I711" s="2" t="s">
        <v>1405</v>
      </c>
      <c r="J711" s="2" t="s">
        <v>1767</v>
      </c>
      <c r="K711" s="2" t="s">
        <v>39</v>
      </c>
      <c r="L711" s="2" t="s">
        <v>27</v>
      </c>
      <c r="M711" s="2">
        <v>5310601</v>
      </c>
      <c r="N711" s="2" t="s">
        <v>153</v>
      </c>
      <c r="O711" s="2" t="s">
        <v>207</v>
      </c>
      <c r="P711" s="2" t="s">
        <v>79</v>
      </c>
      <c r="Q711" s="2" t="s">
        <v>170</v>
      </c>
      <c r="R711" s="2" t="s">
        <v>62</v>
      </c>
      <c r="S711" s="2">
        <v>8</v>
      </c>
      <c r="T711" s="2" t="s">
        <v>33</v>
      </c>
      <c r="U711" s="2" t="s">
        <v>34</v>
      </c>
      <c r="V711" s="32">
        <v>59781040</v>
      </c>
      <c r="Y711" s="30">
        <f t="shared" si="22"/>
        <v>59781040</v>
      </c>
      <c r="Z711" s="41">
        <f t="shared" si="23"/>
        <v>0</v>
      </c>
    </row>
    <row r="712" spans="1:26">
      <c r="A712" s="2">
        <v>710</v>
      </c>
      <c r="B712" s="2">
        <v>3504061</v>
      </c>
      <c r="C712" s="2">
        <v>50701036030074</v>
      </c>
      <c r="D712" s="2" t="s">
        <v>74</v>
      </c>
      <c r="E712" s="2">
        <v>75986</v>
      </c>
      <c r="F712" s="2">
        <v>901113345</v>
      </c>
      <c r="G712" s="3">
        <v>37628</v>
      </c>
      <c r="H712" s="2" t="s">
        <v>821</v>
      </c>
      <c r="I712" s="2" t="s">
        <v>1768</v>
      </c>
      <c r="J712" s="2" t="s">
        <v>1769</v>
      </c>
      <c r="K712" s="2" t="s">
        <v>26</v>
      </c>
      <c r="L712" s="2" t="s">
        <v>27</v>
      </c>
      <c r="M712" s="2">
        <v>5310400</v>
      </c>
      <c r="N712" s="2" t="s">
        <v>232</v>
      </c>
      <c r="O712" s="2" t="s">
        <v>198</v>
      </c>
      <c r="P712" s="2" t="s">
        <v>298</v>
      </c>
      <c r="Q712" s="2" t="s">
        <v>166</v>
      </c>
      <c r="R712" s="2" t="s">
        <v>53</v>
      </c>
      <c r="S712" s="2">
        <v>8</v>
      </c>
      <c r="T712" s="2" t="s">
        <v>33</v>
      </c>
      <c r="U712" s="2" t="s">
        <v>34</v>
      </c>
      <c r="V712" s="32">
        <v>51300880</v>
      </c>
      <c r="Y712" s="30">
        <f t="shared" si="22"/>
        <v>51300880</v>
      </c>
      <c r="Z712" s="41">
        <f t="shared" si="23"/>
        <v>0</v>
      </c>
    </row>
    <row r="713" spans="1:26" ht="15.75">
      <c r="A713" s="2">
        <v>711</v>
      </c>
      <c r="B713" s="2">
        <v>2649997</v>
      </c>
      <c r="C713" s="2">
        <v>31909985260011</v>
      </c>
      <c r="D713" s="2" t="s">
        <v>145</v>
      </c>
      <c r="E713" s="2">
        <v>8392487</v>
      </c>
      <c r="F713" s="2">
        <v>934791020</v>
      </c>
      <c r="G713" s="3">
        <v>36057</v>
      </c>
      <c r="H713" s="2" t="s">
        <v>978</v>
      </c>
      <c r="I713" s="2" t="s">
        <v>718</v>
      </c>
      <c r="J713" s="2" t="s">
        <v>1770</v>
      </c>
      <c r="K713" s="2" t="s">
        <v>26</v>
      </c>
      <c r="L713" s="2" t="s">
        <v>27</v>
      </c>
      <c r="M713" s="2">
        <v>5620101</v>
      </c>
      <c r="N713" s="2" t="s">
        <v>49</v>
      </c>
      <c r="O713" s="2" t="s">
        <v>60</v>
      </c>
      <c r="P713" s="2" t="s">
        <v>51</v>
      </c>
      <c r="Q713" s="2" t="s">
        <v>1410</v>
      </c>
      <c r="R713" s="2" t="s">
        <v>53</v>
      </c>
      <c r="S713" s="2">
        <v>8</v>
      </c>
      <c r="T713" s="2" t="s">
        <v>33</v>
      </c>
      <c r="U713" s="2" t="s">
        <v>34</v>
      </c>
      <c r="V713" s="32">
        <v>56735520</v>
      </c>
      <c r="W713" s="21">
        <v>29000000</v>
      </c>
      <c r="X713" s="10" t="s">
        <v>2633</v>
      </c>
      <c r="Y713" s="30">
        <f t="shared" si="22"/>
        <v>27735520</v>
      </c>
      <c r="Z713" s="41">
        <f t="shared" si="23"/>
        <v>0.51114363629697934</v>
      </c>
    </row>
    <row r="714" spans="1:26" ht="39">
      <c r="A714" s="2">
        <v>712</v>
      </c>
      <c r="B714" s="2">
        <v>3689496</v>
      </c>
      <c r="C714" s="2">
        <v>52003036930047</v>
      </c>
      <c r="D714" s="2" t="s">
        <v>22</v>
      </c>
      <c r="E714" s="2">
        <v>2942368</v>
      </c>
      <c r="F714" s="2">
        <v>912020898</v>
      </c>
      <c r="G714" s="3">
        <v>37700</v>
      </c>
      <c r="H714" s="2" t="s">
        <v>1136</v>
      </c>
      <c r="I714" s="2" t="s">
        <v>1771</v>
      </c>
      <c r="J714" s="2" t="s">
        <v>604</v>
      </c>
      <c r="K714" s="2" t="s">
        <v>26</v>
      </c>
      <c r="L714" s="2" t="s">
        <v>27</v>
      </c>
      <c r="M714" s="2">
        <v>5311003</v>
      </c>
      <c r="N714" s="2" t="s">
        <v>144</v>
      </c>
      <c r="O714" s="2" t="s">
        <v>339</v>
      </c>
      <c r="P714" s="2" t="s">
        <v>490</v>
      </c>
      <c r="Q714" s="4">
        <v>42064</v>
      </c>
      <c r="R714" s="2" t="s">
        <v>53</v>
      </c>
      <c r="S714" s="2">
        <v>8</v>
      </c>
      <c r="T714" s="2" t="s">
        <v>508</v>
      </c>
      <c r="U714" s="2" t="s">
        <v>34</v>
      </c>
      <c r="V714" s="32">
        <v>19237830</v>
      </c>
      <c r="Y714" s="30">
        <f t="shared" si="22"/>
        <v>19237830</v>
      </c>
      <c r="Z714" s="41">
        <f t="shared" si="23"/>
        <v>0</v>
      </c>
    </row>
    <row r="715" spans="1:26" ht="26.25">
      <c r="A715" s="2">
        <v>713</v>
      </c>
      <c r="B715" s="2">
        <v>3068501</v>
      </c>
      <c r="C715" s="2">
        <v>40502965450011</v>
      </c>
      <c r="D715" s="2" t="s">
        <v>145</v>
      </c>
      <c r="E715" s="2">
        <v>840429</v>
      </c>
      <c r="F715" s="2">
        <v>909407897</v>
      </c>
      <c r="G715" s="3">
        <v>35100</v>
      </c>
      <c r="H715" s="2" t="s">
        <v>1772</v>
      </c>
      <c r="I715" s="2" t="s">
        <v>1773</v>
      </c>
      <c r="J715" s="2" t="s">
        <v>1076</v>
      </c>
      <c r="K715" s="2" t="s">
        <v>39</v>
      </c>
      <c r="L715" s="2" t="s">
        <v>27</v>
      </c>
      <c r="M715" s="2">
        <v>5310701</v>
      </c>
      <c r="N715" s="2" t="s">
        <v>118</v>
      </c>
      <c r="O715" s="2" t="s">
        <v>296</v>
      </c>
      <c r="P715" s="2" t="s">
        <v>123</v>
      </c>
      <c r="Q715" s="2" t="s">
        <v>395</v>
      </c>
      <c r="R715" s="2" t="s">
        <v>62</v>
      </c>
      <c r="S715" s="2">
        <v>8</v>
      </c>
      <c r="T715" s="2" t="s">
        <v>33</v>
      </c>
      <c r="U715" s="2" t="s">
        <v>34</v>
      </c>
      <c r="V715" s="32">
        <v>59781040</v>
      </c>
      <c r="Y715" s="30">
        <f t="shared" si="22"/>
        <v>59781040</v>
      </c>
      <c r="Z715" s="41">
        <f t="shared" si="23"/>
        <v>0</v>
      </c>
    </row>
    <row r="716" spans="1:26" ht="26.25">
      <c r="A716" s="2">
        <v>714</v>
      </c>
      <c r="B716" s="2">
        <v>1246723</v>
      </c>
      <c r="C716" s="2">
        <v>40811900251548</v>
      </c>
      <c r="D716" s="2" t="s">
        <v>74</v>
      </c>
      <c r="E716" s="2">
        <v>375170</v>
      </c>
      <c r="F716" s="2">
        <v>977479100</v>
      </c>
      <c r="G716" s="3">
        <v>33185</v>
      </c>
      <c r="H716" s="2" t="s">
        <v>1774</v>
      </c>
      <c r="I716" s="2" t="s">
        <v>1775</v>
      </c>
      <c r="J716" s="2" t="s">
        <v>1776</v>
      </c>
      <c r="K716" s="2" t="s">
        <v>39</v>
      </c>
      <c r="L716" s="2" t="s">
        <v>27</v>
      </c>
      <c r="M716" s="2">
        <v>5230902</v>
      </c>
      <c r="N716" s="2" t="s">
        <v>251</v>
      </c>
      <c r="O716" s="2" t="s">
        <v>88</v>
      </c>
      <c r="P716" s="2" t="s">
        <v>252</v>
      </c>
      <c r="Q716" s="2" t="s">
        <v>310</v>
      </c>
      <c r="R716" s="2" t="s">
        <v>82</v>
      </c>
      <c r="S716" s="2">
        <v>10</v>
      </c>
      <c r="T716" s="2" t="s">
        <v>33</v>
      </c>
      <c r="U716" s="2" t="s">
        <v>34</v>
      </c>
      <c r="V716" s="32">
        <v>104616820</v>
      </c>
      <c r="Y716" s="30">
        <f t="shared" si="22"/>
        <v>104616820</v>
      </c>
      <c r="Z716" s="41">
        <f t="shared" si="23"/>
        <v>0</v>
      </c>
    </row>
    <row r="717" spans="1:26">
      <c r="A717" s="2">
        <v>715</v>
      </c>
      <c r="B717" s="2">
        <v>3751871</v>
      </c>
      <c r="C717" s="2">
        <v>31405891080173</v>
      </c>
      <c r="D717" s="2" t="s">
        <v>145</v>
      </c>
      <c r="E717" s="2">
        <v>5243512</v>
      </c>
      <c r="F717" s="2">
        <v>941210545</v>
      </c>
      <c r="G717" s="3">
        <v>32642</v>
      </c>
      <c r="H717" s="2" t="s">
        <v>46</v>
      </c>
      <c r="I717" s="2" t="s">
        <v>24</v>
      </c>
      <c r="J717" s="2" t="s">
        <v>1777</v>
      </c>
      <c r="K717" s="2" t="s">
        <v>39</v>
      </c>
      <c r="L717" s="2" t="s">
        <v>27</v>
      </c>
      <c r="M717" s="2">
        <v>5340603</v>
      </c>
      <c r="N717" s="2" t="s">
        <v>174</v>
      </c>
      <c r="O717" s="2" t="s">
        <v>296</v>
      </c>
      <c r="P717" s="2" t="s">
        <v>175</v>
      </c>
      <c r="Q717" s="2" t="s">
        <v>591</v>
      </c>
      <c r="R717" s="2" t="s">
        <v>44</v>
      </c>
      <c r="S717" s="2">
        <v>8</v>
      </c>
      <c r="T717" s="2" t="s">
        <v>33</v>
      </c>
      <c r="U717" s="2" t="s">
        <v>34</v>
      </c>
      <c r="V717" s="32">
        <v>65759144</v>
      </c>
      <c r="Y717" s="30">
        <f t="shared" si="22"/>
        <v>65759144</v>
      </c>
      <c r="Z717" s="41">
        <f t="shared" si="23"/>
        <v>0</v>
      </c>
    </row>
    <row r="718" spans="1:26" ht="39">
      <c r="A718" s="2">
        <v>716</v>
      </c>
      <c r="B718" s="2">
        <v>3365208</v>
      </c>
      <c r="C718" s="2">
        <v>52608036800046</v>
      </c>
      <c r="D718" s="2" t="s">
        <v>22</v>
      </c>
      <c r="E718" s="2">
        <v>2612438</v>
      </c>
      <c r="F718" s="2">
        <v>943681073</v>
      </c>
      <c r="G718" s="3">
        <v>37859</v>
      </c>
      <c r="H718" s="2" t="s">
        <v>292</v>
      </c>
      <c r="I718" s="2" t="s">
        <v>1778</v>
      </c>
      <c r="J718" s="2" t="s">
        <v>489</v>
      </c>
      <c r="K718" s="2" t="s">
        <v>26</v>
      </c>
      <c r="L718" s="2" t="s">
        <v>27</v>
      </c>
      <c r="M718" s="2">
        <v>5341300</v>
      </c>
      <c r="N718" s="2" t="s">
        <v>92</v>
      </c>
      <c r="O718" s="2">
        <v>63</v>
      </c>
      <c r="P718" s="2" t="s">
        <v>41</v>
      </c>
      <c r="Q718" s="5">
        <v>44471</v>
      </c>
      <c r="R718" s="2" t="s">
        <v>93</v>
      </c>
      <c r="S718" s="2">
        <v>8</v>
      </c>
      <c r="T718" s="2" t="s">
        <v>33</v>
      </c>
      <c r="U718" s="2" t="s">
        <v>34</v>
      </c>
      <c r="V718" s="32">
        <v>17729850</v>
      </c>
      <c r="W718" s="20">
        <v>8865000</v>
      </c>
      <c r="X718" s="2" t="s">
        <v>2678</v>
      </c>
      <c r="Y718" s="30">
        <f t="shared" si="22"/>
        <v>8864850</v>
      </c>
      <c r="Z718" s="41">
        <f t="shared" si="23"/>
        <v>0.50000423015423145</v>
      </c>
    </row>
    <row r="719" spans="1:26">
      <c r="A719" s="2">
        <v>717</v>
      </c>
      <c r="B719" s="2">
        <v>1687265</v>
      </c>
      <c r="C719" s="2">
        <v>32501987230035</v>
      </c>
      <c r="D719" s="2" t="s">
        <v>1779</v>
      </c>
      <c r="E719" s="2">
        <v>98406</v>
      </c>
      <c r="F719" s="2">
        <v>937180755</v>
      </c>
      <c r="G719" s="3">
        <v>35820</v>
      </c>
      <c r="H719" s="2" t="s">
        <v>69</v>
      </c>
      <c r="I719" s="2" t="s">
        <v>1780</v>
      </c>
      <c r="J719" s="2" t="s">
        <v>1010</v>
      </c>
      <c r="K719" s="2" t="s">
        <v>39</v>
      </c>
      <c r="L719" s="2" t="s">
        <v>27</v>
      </c>
      <c r="M719" s="2">
        <v>5310202</v>
      </c>
      <c r="N719" s="2" t="s">
        <v>86</v>
      </c>
      <c r="O719" s="2" t="s">
        <v>50</v>
      </c>
      <c r="P719" s="2" t="s">
        <v>219</v>
      </c>
      <c r="Q719" s="2" t="s">
        <v>469</v>
      </c>
      <c r="R719" s="2" t="s">
        <v>62</v>
      </c>
      <c r="S719" s="2">
        <v>8</v>
      </c>
      <c r="T719" s="2" t="s">
        <v>33</v>
      </c>
      <c r="U719" s="2" t="s">
        <v>34</v>
      </c>
      <c r="V719" s="32">
        <v>107605872</v>
      </c>
      <c r="W719" s="20">
        <v>53803000</v>
      </c>
      <c r="X719" s="2" t="s">
        <v>2672</v>
      </c>
      <c r="Y719" s="30">
        <f t="shared" si="22"/>
        <v>53802872</v>
      </c>
      <c r="Z719" s="41">
        <f t="shared" si="23"/>
        <v>0.50000059476308134</v>
      </c>
    </row>
    <row r="720" spans="1:26" ht="39">
      <c r="A720" s="2">
        <v>718</v>
      </c>
      <c r="B720" s="2">
        <v>3741727</v>
      </c>
      <c r="C720" s="2">
        <v>60106037270059</v>
      </c>
      <c r="D720" s="2" t="s">
        <v>74</v>
      </c>
      <c r="E720" s="2">
        <v>245064</v>
      </c>
      <c r="F720" s="2">
        <v>972208320</v>
      </c>
      <c r="G720" s="3">
        <v>37773</v>
      </c>
      <c r="H720" s="2" t="s">
        <v>1781</v>
      </c>
      <c r="I720" s="2" t="s">
        <v>1782</v>
      </c>
      <c r="J720" s="2" t="s">
        <v>1783</v>
      </c>
      <c r="K720" s="2" t="s">
        <v>39</v>
      </c>
      <c r="L720" s="2" t="s">
        <v>27</v>
      </c>
      <c r="M720" s="2">
        <v>5311003</v>
      </c>
      <c r="N720" s="2" t="s">
        <v>144</v>
      </c>
      <c r="O720" s="2" t="s">
        <v>122</v>
      </c>
      <c r="P720" s="2" t="s">
        <v>79</v>
      </c>
      <c r="Q720" s="2" t="s">
        <v>61</v>
      </c>
      <c r="R720" s="2" t="s">
        <v>62</v>
      </c>
      <c r="S720" s="2">
        <v>8</v>
      </c>
      <c r="T720" s="2" t="s">
        <v>33</v>
      </c>
      <c r="U720" s="2" t="s">
        <v>34</v>
      </c>
      <c r="V720" s="32">
        <v>59781040</v>
      </c>
      <c r="Y720" s="30">
        <f t="shared" si="22"/>
        <v>59781040</v>
      </c>
      <c r="Z720" s="41">
        <f t="shared" si="23"/>
        <v>0</v>
      </c>
    </row>
    <row r="721" spans="1:27">
      <c r="A721" s="2">
        <v>719</v>
      </c>
      <c r="B721" s="2">
        <v>3364034</v>
      </c>
      <c r="C721" s="2">
        <v>51608036120026</v>
      </c>
      <c r="D721" s="2" t="s">
        <v>22</v>
      </c>
      <c r="E721" s="2">
        <v>2203483</v>
      </c>
      <c r="F721" s="2">
        <v>946414908</v>
      </c>
      <c r="G721" s="3">
        <v>37849</v>
      </c>
      <c r="H721" s="2" t="s">
        <v>1784</v>
      </c>
      <c r="I721" s="2" t="s">
        <v>1785</v>
      </c>
      <c r="J721" s="2" t="s">
        <v>574</v>
      </c>
      <c r="K721" s="2" t="s">
        <v>26</v>
      </c>
      <c r="L721" s="2" t="s">
        <v>27</v>
      </c>
      <c r="M721" s="2">
        <v>5620600</v>
      </c>
      <c r="N721" s="2" t="s">
        <v>1528</v>
      </c>
      <c r="O721" s="2" t="s">
        <v>469</v>
      </c>
      <c r="P721" s="2" t="s">
        <v>345</v>
      </c>
      <c r="Q721" s="2" t="s">
        <v>818</v>
      </c>
      <c r="R721" s="2" t="s">
        <v>53</v>
      </c>
      <c r="S721" s="2">
        <v>8</v>
      </c>
      <c r="T721" s="2" t="s">
        <v>33</v>
      </c>
      <c r="U721" s="2" t="s">
        <v>34</v>
      </c>
      <c r="V721" s="32">
        <v>102601760</v>
      </c>
      <c r="Y721" s="30">
        <f t="shared" si="22"/>
        <v>102601760</v>
      </c>
      <c r="Z721" s="41">
        <f t="shared" si="23"/>
        <v>0</v>
      </c>
    </row>
    <row r="722" spans="1:27">
      <c r="A722" s="2">
        <v>720</v>
      </c>
      <c r="B722" s="2">
        <v>1131201</v>
      </c>
      <c r="C722" s="2">
        <v>51709006520054</v>
      </c>
      <c r="D722" s="2" t="s">
        <v>45</v>
      </c>
      <c r="E722" s="2">
        <v>5141733</v>
      </c>
      <c r="F722" s="2">
        <v>946033973</v>
      </c>
      <c r="G722" s="3">
        <v>36786</v>
      </c>
      <c r="H722" s="2" t="s">
        <v>115</v>
      </c>
      <c r="I722" s="2" t="s">
        <v>1786</v>
      </c>
      <c r="J722" s="2" t="s">
        <v>259</v>
      </c>
      <c r="K722" s="2" t="s">
        <v>39</v>
      </c>
      <c r="L722" s="2" t="s">
        <v>27</v>
      </c>
      <c r="M722" s="2">
        <v>5230104</v>
      </c>
      <c r="N722" s="2" t="s">
        <v>78</v>
      </c>
      <c r="O722" s="2" t="s">
        <v>149</v>
      </c>
      <c r="P722" s="2" t="s">
        <v>80</v>
      </c>
      <c r="Q722" s="2" t="s">
        <v>395</v>
      </c>
      <c r="R722" s="2" t="s">
        <v>82</v>
      </c>
      <c r="S722" s="2">
        <v>10</v>
      </c>
      <c r="T722" s="2" t="s">
        <v>33</v>
      </c>
      <c r="U722" s="2" t="s">
        <v>34</v>
      </c>
      <c r="V722" s="32">
        <v>104616820</v>
      </c>
      <c r="Y722" s="30">
        <f t="shared" si="22"/>
        <v>104616820</v>
      </c>
      <c r="Z722" s="41">
        <f t="shared" si="23"/>
        <v>0</v>
      </c>
    </row>
    <row r="723" spans="1:27" ht="26.25">
      <c r="A723" s="2">
        <v>721</v>
      </c>
      <c r="B723" s="2">
        <v>3697730</v>
      </c>
      <c r="C723" s="2">
        <v>52608045380027</v>
      </c>
      <c r="D723" s="2" t="s">
        <v>74</v>
      </c>
      <c r="E723" s="2">
        <v>127190</v>
      </c>
      <c r="F723" s="2">
        <v>997062407</v>
      </c>
      <c r="G723" s="3">
        <v>38225</v>
      </c>
      <c r="H723" s="2" t="s">
        <v>125</v>
      </c>
      <c r="I723" s="2" t="s">
        <v>1787</v>
      </c>
      <c r="J723" s="2" t="s">
        <v>1788</v>
      </c>
      <c r="K723" s="2" t="s">
        <v>39</v>
      </c>
      <c r="L723" s="2" t="s">
        <v>27</v>
      </c>
      <c r="M723" s="2">
        <v>5310701</v>
      </c>
      <c r="N723" s="2" t="s">
        <v>118</v>
      </c>
      <c r="O723" s="2" t="s">
        <v>88</v>
      </c>
      <c r="P723" s="2" t="s">
        <v>123</v>
      </c>
      <c r="Q723" s="2" t="s">
        <v>500</v>
      </c>
      <c r="R723" s="2" t="s">
        <v>62</v>
      </c>
      <c r="S723" s="2">
        <v>8</v>
      </c>
      <c r="T723" s="2" t="s">
        <v>33</v>
      </c>
      <c r="U723" s="2" t="s">
        <v>34</v>
      </c>
      <c r="V723" s="32">
        <v>59781040</v>
      </c>
      <c r="Y723" s="30">
        <f t="shared" si="22"/>
        <v>59781040</v>
      </c>
      <c r="Z723" s="41">
        <f t="shared" si="23"/>
        <v>0</v>
      </c>
    </row>
    <row r="724" spans="1:27" ht="26.25">
      <c r="A724" s="2">
        <v>722</v>
      </c>
      <c r="B724" s="2">
        <v>3734600</v>
      </c>
      <c r="C724" s="2">
        <v>52104036820036</v>
      </c>
      <c r="D724" s="2" t="s">
        <v>22</v>
      </c>
      <c r="E724" s="2">
        <v>2149327</v>
      </c>
      <c r="F724" s="2">
        <v>974900808</v>
      </c>
      <c r="G724" s="3">
        <v>37732</v>
      </c>
      <c r="H724" s="2" t="s">
        <v>282</v>
      </c>
      <c r="I724" s="2" t="s">
        <v>120</v>
      </c>
      <c r="J724" s="2" t="s">
        <v>933</v>
      </c>
      <c r="K724" s="2" t="s">
        <v>26</v>
      </c>
      <c r="L724" s="2" t="s">
        <v>57</v>
      </c>
      <c r="M724" s="2">
        <v>5340604</v>
      </c>
      <c r="N724" s="2" t="s">
        <v>354</v>
      </c>
      <c r="O724" s="2" t="s">
        <v>281</v>
      </c>
      <c r="P724" s="2" t="s">
        <v>296</v>
      </c>
      <c r="Q724" s="4">
        <v>43922</v>
      </c>
      <c r="R724" s="2" t="s">
        <v>93</v>
      </c>
      <c r="S724" s="2">
        <v>8</v>
      </c>
      <c r="T724" s="2" t="s">
        <v>33</v>
      </c>
      <c r="U724" s="2" t="s">
        <v>34</v>
      </c>
      <c r="V724" s="32">
        <v>113471040</v>
      </c>
      <c r="Y724" s="30">
        <f t="shared" si="22"/>
        <v>113471040</v>
      </c>
      <c r="Z724" s="41">
        <f t="shared" si="23"/>
        <v>0</v>
      </c>
    </row>
    <row r="725" spans="1:27" ht="26.25">
      <c r="A725" s="2">
        <v>723</v>
      </c>
      <c r="B725" s="2">
        <v>3000322</v>
      </c>
      <c r="C725" s="2">
        <v>30902985970028</v>
      </c>
      <c r="D725" s="2" t="s">
        <v>45</v>
      </c>
      <c r="E725" s="2">
        <v>6026183</v>
      </c>
      <c r="F725" s="2">
        <v>998529353</v>
      </c>
      <c r="G725" s="3">
        <v>35835</v>
      </c>
      <c r="H725" s="2" t="s">
        <v>1789</v>
      </c>
      <c r="I725" s="2" t="s">
        <v>1044</v>
      </c>
      <c r="J725" s="2" t="s">
        <v>1790</v>
      </c>
      <c r="K725" s="2" t="s">
        <v>39</v>
      </c>
      <c r="L725" s="2" t="s">
        <v>27</v>
      </c>
      <c r="M725" s="2">
        <v>5310701</v>
      </c>
      <c r="N725" s="2" t="s">
        <v>118</v>
      </c>
      <c r="O725" s="2" t="s">
        <v>179</v>
      </c>
      <c r="P725" s="2" t="s">
        <v>123</v>
      </c>
      <c r="Q725" s="2" t="s">
        <v>288</v>
      </c>
      <c r="R725" s="2" t="s">
        <v>62</v>
      </c>
      <c r="S725" s="2">
        <v>8</v>
      </c>
      <c r="T725" s="2" t="s">
        <v>33</v>
      </c>
      <c r="U725" s="2" t="s">
        <v>34</v>
      </c>
      <c r="V725" s="29">
        <v>53802936</v>
      </c>
      <c r="W725" s="20">
        <v>26902000</v>
      </c>
      <c r="X725" s="2" t="s">
        <v>2673</v>
      </c>
      <c r="Y725" s="30">
        <f t="shared" si="22"/>
        <v>26900936</v>
      </c>
      <c r="Z725" s="41">
        <f t="shared" si="23"/>
        <v>0.50000988793622714</v>
      </c>
    </row>
    <row r="726" spans="1:27" ht="26.25">
      <c r="A726" s="2">
        <v>724</v>
      </c>
      <c r="B726" s="2">
        <v>2699989</v>
      </c>
      <c r="C726" s="2">
        <v>62104026800032</v>
      </c>
      <c r="D726" s="2" t="s">
        <v>45</v>
      </c>
      <c r="E726" s="2">
        <v>9649136</v>
      </c>
      <c r="F726" s="2">
        <v>977230272</v>
      </c>
      <c r="G726" s="3">
        <v>37367</v>
      </c>
      <c r="H726" s="2" t="s">
        <v>1489</v>
      </c>
      <c r="I726" s="2" t="s">
        <v>1791</v>
      </c>
      <c r="J726" s="2" t="s">
        <v>1792</v>
      </c>
      <c r="K726" s="2" t="s">
        <v>39</v>
      </c>
      <c r="L726" s="2" t="s">
        <v>27</v>
      </c>
      <c r="M726" s="2">
        <v>5320102</v>
      </c>
      <c r="N726" s="2" t="s">
        <v>138</v>
      </c>
      <c r="O726" s="2" t="s">
        <v>194</v>
      </c>
      <c r="P726" s="2" t="s">
        <v>140</v>
      </c>
      <c r="Q726" s="5">
        <v>44471</v>
      </c>
      <c r="R726" s="2" t="s">
        <v>62</v>
      </c>
      <c r="S726" s="2">
        <v>8</v>
      </c>
      <c r="T726" s="2" t="s">
        <v>33</v>
      </c>
      <c r="U726" s="2" t="s">
        <v>34</v>
      </c>
      <c r="V726" s="32" t="s">
        <v>2723</v>
      </c>
      <c r="W726" s="20">
        <v>9341000</v>
      </c>
      <c r="X726" s="2" t="s">
        <v>2663</v>
      </c>
      <c r="Y726" s="30">
        <f t="shared" si="22"/>
        <v>7472417.5</v>
      </c>
      <c r="Z726" s="41">
        <f t="shared" si="23"/>
        <v>0.55556819427103388</v>
      </c>
    </row>
    <row r="727" spans="1:27" ht="26.25">
      <c r="A727" s="2">
        <v>725</v>
      </c>
      <c r="B727" s="2">
        <v>2882589</v>
      </c>
      <c r="C727" s="2">
        <v>31809943490057</v>
      </c>
      <c r="D727" s="2" t="s">
        <v>35</v>
      </c>
      <c r="E727" s="2">
        <v>444166</v>
      </c>
      <c r="F727" s="2">
        <v>977889933</v>
      </c>
      <c r="G727" s="3">
        <v>34595</v>
      </c>
      <c r="H727" s="2" t="s">
        <v>1793</v>
      </c>
      <c r="I727" s="2" t="s">
        <v>1794</v>
      </c>
      <c r="J727" s="2" t="s">
        <v>1795</v>
      </c>
      <c r="K727" s="2" t="s">
        <v>39</v>
      </c>
      <c r="L727" s="2" t="s">
        <v>27</v>
      </c>
      <c r="M727" s="2">
        <v>5620701</v>
      </c>
      <c r="N727" s="2" t="s">
        <v>218</v>
      </c>
      <c r="O727" s="2" t="s">
        <v>41</v>
      </c>
      <c r="P727" s="2" t="s">
        <v>219</v>
      </c>
      <c r="Q727" s="2" t="s">
        <v>59</v>
      </c>
      <c r="R727" s="2" t="s">
        <v>62</v>
      </c>
      <c r="S727" s="2">
        <v>8</v>
      </c>
      <c r="T727" s="2" t="s">
        <v>33</v>
      </c>
      <c r="U727" s="2" t="s">
        <v>34</v>
      </c>
      <c r="V727" s="29" t="s">
        <v>2748</v>
      </c>
      <c r="W727" s="20">
        <v>30000000</v>
      </c>
      <c r="X727" t="s">
        <v>2736</v>
      </c>
      <c r="Y727" s="30">
        <f t="shared" si="22"/>
        <v>23802936</v>
      </c>
      <c r="Z727" s="41">
        <f t="shared" si="23"/>
        <v>0.55759038874755829</v>
      </c>
      <c r="AA727" s="42" t="s">
        <v>2798</v>
      </c>
    </row>
    <row r="728" spans="1:27" ht="26.25">
      <c r="A728" s="2">
        <v>726</v>
      </c>
      <c r="B728" s="2">
        <v>2430232</v>
      </c>
      <c r="C728" s="2">
        <v>51407007050016</v>
      </c>
      <c r="D728" s="2" t="s">
        <v>45</v>
      </c>
      <c r="E728" s="2">
        <v>4544488</v>
      </c>
      <c r="F728" s="2">
        <v>999360737</v>
      </c>
      <c r="G728" s="3">
        <v>36721</v>
      </c>
      <c r="H728" s="2" t="s">
        <v>1796</v>
      </c>
      <c r="I728" s="2" t="s">
        <v>1797</v>
      </c>
      <c r="J728" s="2" t="s">
        <v>1798</v>
      </c>
      <c r="K728" s="2" t="s">
        <v>26</v>
      </c>
      <c r="L728" s="2" t="s">
        <v>57</v>
      </c>
      <c r="M728" s="2">
        <v>5310603</v>
      </c>
      <c r="N728" s="2" t="s">
        <v>295</v>
      </c>
      <c r="O728" s="2" t="s">
        <v>639</v>
      </c>
      <c r="P728" s="2" t="s">
        <v>60</v>
      </c>
      <c r="Q728" s="4">
        <v>18537</v>
      </c>
      <c r="R728" s="2" t="s">
        <v>53</v>
      </c>
      <c r="S728" s="2">
        <v>8</v>
      </c>
      <c r="T728" s="2" t="s">
        <v>33</v>
      </c>
      <c r="U728" s="2" t="s">
        <v>34</v>
      </c>
      <c r="V728" s="32">
        <v>102601760</v>
      </c>
      <c r="Y728" s="30">
        <f t="shared" si="22"/>
        <v>102601760</v>
      </c>
      <c r="Z728" s="41">
        <f t="shared" si="23"/>
        <v>0</v>
      </c>
    </row>
    <row r="729" spans="1:27" ht="26.25">
      <c r="A729" s="2">
        <v>727</v>
      </c>
      <c r="B729" s="2">
        <v>3551139</v>
      </c>
      <c r="C729" s="2">
        <v>62410036840035</v>
      </c>
      <c r="D729" s="2" t="s">
        <v>22</v>
      </c>
      <c r="E729" s="2">
        <v>2451018</v>
      </c>
      <c r="F729" s="2">
        <v>931124998</v>
      </c>
      <c r="G729" s="3">
        <v>37918</v>
      </c>
      <c r="H729" s="2" t="s">
        <v>1799</v>
      </c>
      <c r="I729" s="2" t="s">
        <v>1800</v>
      </c>
      <c r="J729" s="2" t="s">
        <v>1801</v>
      </c>
      <c r="K729" s="2" t="s">
        <v>26</v>
      </c>
      <c r="L729" s="2" t="s">
        <v>27</v>
      </c>
      <c r="M729" s="2">
        <v>5620701</v>
      </c>
      <c r="N729" s="2" t="s">
        <v>218</v>
      </c>
      <c r="O729" s="2" t="s">
        <v>122</v>
      </c>
      <c r="P729" s="2" t="s">
        <v>224</v>
      </c>
      <c r="Q729" s="2" t="s">
        <v>281</v>
      </c>
      <c r="R729" s="2" t="s">
        <v>53</v>
      </c>
      <c r="S729" s="2">
        <v>8</v>
      </c>
      <c r="T729" s="2" t="s">
        <v>33</v>
      </c>
      <c r="U729" s="2" t="s">
        <v>34</v>
      </c>
      <c r="V729" s="32">
        <v>46170792</v>
      </c>
      <c r="W729" s="21">
        <v>23000000</v>
      </c>
      <c r="X729" s="10" t="s">
        <v>2638</v>
      </c>
      <c r="Y729" s="30">
        <f t="shared" si="22"/>
        <v>23170792</v>
      </c>
      <c r="Z729" s="41">
        <f t="shared" si="23"/>
        <v>0.49815043242056578</v>
      </c>
    </row>
    <row r="730" spans="1:27" ht="31.5">
      <c r="A730" s="2">
        <v>728</v>
      </c>
      <c r="B730" s="2">
        <v>1958499</v>
      </c>
      <c r="C730" s="2">
        <v>32502976810016</v>
      </c>
      <c r="D730" s="2" t="s">
        <v>145</v>
      </c>
      <c r="E730" s="2">
        <v>1101134</v>
      </c>
      <c r="F730" s="2">
        <v>949257989</v>
      </c>
      <c r="G730" s="3">
        <v>35486</v>
      </c>
      <c r="H730" s="2" t="s">
        <v>1802</v>
      </c>
      <c r="I730" s="2" t="s">
        <v>1803</v>
      </c>
      <c r="J730" s="2" t="s">
        <v>1804</v>
      </c>
      <c r="K730" s="2" t="s">
        <v>26</v>
      </c>
      <c r="L730" s="2" t="s">
        <v>57</v>
      </c>
      <c r="M730" s="2">
        <v>5310606</v>
      </c>
      <c r="N730" s="2" t="s">
        <v>72</v>
      </c>
      <c r="O730" s="2" t="s">
        <v>179</v>
      </c>
      <c r="P730" s="2" t="s">
        <v>296</v>
      </c>
      <c r="Q730" s="5">
        <v>44471</v>
      </c>
      <c r="R730" s="2" t="s">
        <v>53</v>
      </c>
      <c r="S730" s="2">
        <v>8</v>
      </c>
      <c r="T730" s="2" t="s">
        <v>33</v>
      </c>
      <c r="U730" s="2" t="s">
        <v>34</v>
      </c>
      <c r="V730" s="29" t="s">
        <v>2732</v>
      </c>
      <c r="W730" s="24">
        <f>8016000+6413000</f>
        <v>14429000</v>
      </c>
      <c r="X730" s="15" t="s">
        <v>2828</v>
      </c>
      <c r="Y730" s="30">
        <f t="shared" si="22"/>
        <v>-627.5</v>
      </c>
      <c r="Z730" s="41">
        <f t="shared" si="23"/>
        <v>1.0000434906986218</v>
      </c>
    </row>
    <row r="731" spans="1:27" ht="15.75">
      <c r="A731" s="2">
        <v>729</v>
      </c>
      <c r="B731" s="2">
        <v>1901357</v>
      </c>
      <c r="C731" s="2">
        <v>32403940600041</v>
      </c>
      <c r="D731" s="2" t="s">
        <v>145</v>
      </c>
      <c r="E731" s="2">
        <v>8828071</v>
      </c>
      <c r="F731" s="2">
        <v>977260737</v>
      </c>
      <c r="G731" s="3">
        <v>34417</v>
      </c>
      <c r="H731" s="2" t="s">
        <v>726</v>
      </c>
      <c r="I731" s="2" t="s">
        <v>1805</v>
      </c>
      <c r="J731" s="2" t="s">
        <v>649</v>
      </c>
      <c r="K731" s="2" t="s">
        <v>39</v>
      </c>
      <c r="L731" s="2" t="s">
        <v>57</v>
      </c>
      <c r="M731" s="2">
        <v>5620400</v>
      </c>
      <c r="N731" s="2" t="s">
        <v>103</v>
      </c>
      <c r="O731" s="2" t="s">
        <v>207</v>
      </c>
      <c r="P731" s="2" t="s">
        <v>139</v>
      </c>
      <c r="Q731" s="5">
        <v>44317</v>
      </c>
      <c r="R731" s="2" t="s">
        <v>62</v>
      </c>
      <c r="S731" s="2">
        <v>8</v>
      </c>
      <c r="T731" s="2" t="s">
        <v>33</v>
      </c>
      <c r="U731" s="2" t="s">
        <v>34</v>
      </c>
      <c r="V731" s="32">
        <v>11208945</v>
      </c>
      <c r="W731" s="21">
        <v>5604000</v>
      </c>
      <c r="X731" s="10" t="s">
        <v>2642</v>
      </c>
      <c r="Y731" s="30">
        <f t="shared" si="22"/>
        <v>5604945</v>
      </c>
      <c r="Z731" s="41">
        <f t="shared" si="23"/>
        <v>0.49995784616661071</v>
      </c>
    </row>
    <row r="732" spans="1:27" ht="26.25">
      <c r="A732" s="2">
        <v>730</v>
      </c>
      <c r="B732" s="2">
        <v>3383054</v>
      </c>
      <c r="C732" s="2">
        <v>51607036540052</v>
      </c>
      <c r="D732" s="2" t="s">
        <v>22</v>
      </c>
      <c r="E732" s="2">
        <v>3111472</v>
      </c>
      <c r="F732" s="2">
        <v>998750935</v>
      </c>
      <c r="G732" s="3">
        <v>37818</v>
      </c>
      <c r="H732" s="2" t="s">
        <v>1806</v>
      </c>
      <c r="I732" s="2" t="s">
        <v>1786</v>
      </c>
      <c r="J732" s="2" t="s">
        <v>1807</v>
      </c>
      <c r="K732" s="2" t="s">
        <v>39</v>
      </c>
      <c r="L732" s="2" t="s">
        <v>27</v>
      </c>
      <c r="M732" s="2">
        <v>5320102</v>
      </c>
      <c r="N732" s="2" t="s">
        <v>138</v>
      </c>
      <c r="O732" s="2" t="s">
        <v>194</v>
      </c>
      <c r="P732" s="2" t="s">
        <v>140</v>
      </c>
      <c r="Q732" s="5">
        <v>44471</v>
      </c>
      <c r="R732" s="2" t="s">
        <v>62</v>
      </c>
      <c r="S732" s="2">
        <v>8</v>
      </c>
      <c r="T732" s="2" t="s">
        <v>33</v>
      </c>
      <c r="U732" s="2" t="s">
        <v>34</v>
      </c>
      <c r="V732" s="32">
        <v>18681575</v>
      </c>
      <c r="W732" s="21">
        <v>9341000</v>
      </c>
      <c r="X732" s="11" t="s">
        <v>2654</v>
      </c>
      <c r="Y732" s="30">
        <f t="shared" si="22"/>
        <v>9340575</v>
      </c>
      <c r="Z732" s="41">
        <f t="shared" si="23"/>
        <v>0.50001137484393043</v>
      </c>
    </row>
    <row r="733" spans="1:27" ht="26.25">
      <c r="A733" s="2">
        <v>731</v>
      </c>
      <c r="B733" s="2">
        <v>1121505</v>
      </c>
      <c r="C733" s="2">
        <v>50812006770031</v>
      </c>
      <c r="D733" s="2" t="s">
        <v>45</v>
      </c>
      <c r="E733" s="2">
        <v>6350913</v>
      </c>
      <c r="F733" s="2">
        <v>994950534</v>
      </c>
      <c r="G733" s="3">
        <v>36868</v>
      </c>
      <c r="H733" s="2" t="s">
        <v>1015</v>
      </c>
      <c r="I733" s="2" t="s">
        <v>1808</v>
      </c>
      <c r="J733" s="2" t="s">
        <v>377</v>
      </c>
      <c r="K733" s="2" t="s">
        <v>39</v>
      </c>
      <c r="L733" s="2" t="s">
        <v>27</v>
      </c>
      <c r="M733" s="2">
        <v>5320102</v>
      </c>
      <c r="N733" s="2" t="s">
        <v>138</v>
      </c>
      <c r="O733" s="2" t="s">
        <v>155</v>
      </c>
      <c r="P733" s="2" t="s">
        <v>140</v>
      </c>
      <c r="Q733" s="4">
        <v>43922</v>
      </c>
      <c r="R733" s="2" t="s">
        <v>62</v>
      </c>
      <c r="S733" s="2">
        <v>8</v>
      </c>
      <c r="T733" s="2" t="s">
        <v>33</v>
      </c>
      <c r="U733" s="2" t="s">
        <v>34</v>
      </c>
      <c r="V733" s="32">
        <v>59781040</v>
      </c>
      <c r="Y733" s="30">
        <f t="shared" si="22"/>
        <v>59781040</v>
      </c>
      <c r="Z733" s="41">
        <f t="shared" si="23"/>
        <v>0</v>
      </c>
    </row>
    <row r="734" spans="1:27" ht="26.25">
      <c r="A734" s="2">
        <v>732</v>
      </c>
      <c r="B734" s="2">
        <v>2986154</v>
      </c>
      <c r="C734" s="2">
        <v>51406026730048</v>
      </c>
      <c r="D734" s="2" t="s">
        <v>22</v>
      </c>
      <c r="E734" s="2">
        <v>281753</v>
      </c>
      <c r="F734" s="2">
        <v>949290614</v>
      </c>
      <c r="G734" s="3">
        <v>37421</v>
      </c>
      <c r="H734" s="2" t="s">
        <v>1728</v>
      </c>
      <c r="I734" s="2" t="s">
        <v>1809</v>
      </c>
      <c r="J734" s="2" t="s">
        <v>1810</v>
      </c>
      <c r="K734" s="2" t="s">
        <v>39</v>
      </c>
      <c r="L734" s="2" t="s">
        <v>27</v>
      </c>
      <c r="M734" s="2">
        <v>5320102</v>
      </c>
      <c r="N734" s="2" t="s">
        <v>138</v>
      </c>
      <c r="O734" s="2" t="s">
        <v>175</v>
      </c>
      <c r="P734" s="2" t="s">
        <v>140</v>
      </c>
      <c r="Q734" s="5">
        <v>44317</v>
      </c>
      <c r="R734" s="2" t="s">
        <v>62</v>
      </c>
      <c r="S734" s="2">
        <v>8</v>
      </c>
      <c r="T734" s="2" t="s">
        <v>33</v>
      </c>
      <c r="U734" s="2" t="s">
        <v>34</v>
      </c>
      <c r="V734" s="32">
        <v>11208945</v>
      </c>
      <c r="W734" s="22">
        <v>5604500</v>
      </c>
      <c r="X734" s="17" t="s">
        <v>2686</v>
      </c>
      <c r="Y734" s="30">
        <f t="shared" si="22"/>
        <v>5604445</v>
      </c>
      <c r="Z734" s="41">
        <f t="shared" si="23"/>
        <v>0.50000245339771054</v>
      </c>
    </row>
    <row r="735" spans="1:27">
      <c r="A735" s="2">
        <v>733</v>
      </c>
      <c r="B735" s="2">
        <v>1940629</v>
      </c>
      <c r="C735" s="2">
        <v>33103976400017</v>
      </c>
      <c r="D735" s="2" t="s">
        <v>145</v>
      </c>
      <c r="E735" s="2">
        <v>2740652</v>
      </c>
      <c r="F735" s="2">
        <v>906860919</v>
      </c>
      <c r="G735" s="3">
        <v>35520</v>
      </c>
      <c r="H735" s="2" t="s">
        <v>1811</v>
      </c>
      <c r="I735" s="2" t="s">
        <v>1635</v>
      </c>
      <c r="J735" s="2" t="s">
        <v>1812</v>
      </c>
      <c r="K735" s="2" t="s">
        <v>39</v>
      </c>
      <c r="L735" s="2" t="s">
        <v>27</v>
      </c>
      <c r="M735" s="2">
        <v>5620400</v>
      </c>
      <c r="N735" s="2" t="s">
        <v>103</v>
      </c>
      <c r="O735" s="2">
        <v>63</v>
      </c>
      <c r="P735" s="2" t="s">
        <v>123</v>
      </c>
      <c r="Q735" s="2" t="s">
        <v>253</v>
      </c>
      <c r="R735" s="2" t="s">
        <v>62</v>
      </c>
      <c r="S735" s="2">
        <v>8</v>
      </c>
      <c r="T735" s="2" t="s">
        <v>33</v>
      </c>
      <c r="U735" s="2" t="s">
        <v>34</v>
      </c>
      <c r="V735" s="32">
        <v>59781040</v>
      </c>
      <c r="Y735" s="30">
        <f t="shared" si="22"/>
        <v>59781040</v>
      </c>
      <c r="Z735" s="41">
        <f t="shared" si="23"/>
        <v>0</v>
      </c>
    </row>
    <row r="736" spans="1:27" ht="26.25">
      <c r="A736" s="2">
        <v>734</v>
      </c>
      <c r="B736" s="2">
        <v>3628441</v>
      </c>
      <c r="C736" s="2">
        <v>52309035670057</v>
      </c>
      <c r="D736" s="2" t="s">
        <v>22</v>
      </c>
      <c r="E736" s="2">
        <v>2454588</v>
      </c>
      <c r="F736" s="2">
        <v>973109303</v>
      </c>
      <c r="G736" s="3">
        <v>37887</v>
      </c>
      <c r="H736" s="2" t="s">
        <v>180</v>
      </c>
      <c r="I736" s="2" t="s">
        <v>1813</v>
      </c>
      <c r="J736" s="2" t="s">
        <v>1814</v>
      </c>
      <c r="K736" s="2" t="s">
        <v>39</v>
      </c>
      <c r="L736" s="2" t="s">
        <v>27</v>
      </c>
      <c r="M736" s="2">
        <v>5310601</v>
      </c>
      <c r="N736" s="2" t="s">
        <v>153</v>
      </c>
      <c r="O736" s="2" t="s">
        <v>296</v>
      </c>
      <c r="P736" s="2" t="s">
        <v>79</v>
      </c>
      <c r="Q736" s="2" t="s">
        <v>133</v>
      </c>
      <c r="R736" s="2" t="s">
        <v>62</v>
      </c>
      <c r="S736" s="2">
        <v>8</v>
      </c>
      <c r="T736" s="2" t="s">
        <v>33</v>
      </c>
      <c r="U736" s="2" t="s">
        <v>34</v>
      </c>
      <c r="V736" s="32">
        <v>59781040</v>
      </c>
      <c r="Y736" s="30">
        <f t="shared" si="22"/>
        <v>59781040</v>
      </c>
      <c r="Z736" s="41">
        <f t="shared" si="23"/>
        <v>0</v>
      </c>
    </row>
    <row r="737" spans="1:26" ht="26.25">
      <c r="A737" s="2">
        <v>735</v>
      </c>
      <c r="B737" s="2">
        <v>1128280</v>
      </c>
      <c r="C737" s="2">
        <v>52602015640016</v>
      </c>
      <c r="D737" s="2" t="s">
        <v>45</v>
      </c>
      <c r="E737" s="2">
        <v>8208645</v>
      </c>
      <c r="F737" s="2">
        <v>996372830</v>
      </c>
      <c r="G737" s="3">
        <v>36948</v>
      </c>
      <c r="H737" s="2" t="s">
        <v>1590</v>
      </c>
      <c r="I737" s="2" t="s">
        <v>1815</v>
      </c>
      <c r="J737" s="2" t="s">
        <v>627</v>
      </c>
      <c r="K737" s="2" t="s">
        <v>39</v>
      </c>
      <c r="L737" s="2" t="s">
        <v>27</v>
      </c>
      <c r="M737" s="2">
        <v>5340602</v>
      </c>
      <c r="N737" s="2" t="s">
        <v>628</v>
      </c>
      <c r="O737" s="2" t="s">
        <v>41</v>
      </c>
      <c r="P737" s="2" t="s">
        <v>629</v>
      </c>
      <c r="Q737" s="2" t="s">
        <v>277</v>
      </c>
      <c r="R737" s="2" t="s">
        <v>44</v>
      </c>
      <c r="S737" s="2">
        <v>8</v>
      </c>
      <c r="T737" s="2" t="s">
        <v>33</v>
      </c>
      <c r="U737" s="2" t="s">
        <v>34</v>
      </c>
      <c r="V737" s="32">
        <v>65759144</v>
      </c>
      <c r="Y737" s="30">
        <f t="shared" si="22"/>
        <v>65759144</v>
      </c>
      <c r="Z737" s="41">
        <f t="shared" si="23"/>
        <v>0</v>
      </c>
    </row>
    <row r="738" spans="1:26" ht="26.25">
      <c r="A738" s="2">
        <v>736</v>
      </c>
      <c r="B738" s="2">
        <v>1875685</v>
      </c>
      <c r="C738" s="2">
        <v>51903008660015</v>
      </c>
      <c r="D738" s="2" t="s">
        <v>45</v>
      </c>
      <c r="E738" s="2">
        <v>3835814</v>
      </c>
      <c r="F738" s="2">
        <v>999332702</v>
      </c>
      <c r="G738" s="3">
        <v>36604</v>
      </c>
      <c r="H738" s="2" t="s">
        <v>460</v>
      </c>
      <c r="I738" s="2" t="s">
        <v>1816</v>
      </c>
      <c r="J738" s="2" t="s">
        <v>377</v>
      </c>
      <c r="K738" s="2" t="s">
        <v>39</v>
      </c>
      <c r="L738" s="2" t="s">
        <v>27</v>
      </c>
      <c r="M738" s="2">
        <v>5320102</v>
      </c>
      <c r="N738" s="2" t="s">
        <v>138</v>
      </c>
      <c r="O738" s="2" t="s">
        <v>439</v>
      </c>
      <c r="P738" s="2" t="s">
        <v>140</v>
      </c>
      <c r="Q738" s="5">
        <v>44338</v>
      </c>
      <c r="R738" s="2" t="s">
        <v>62</v>
      </c>
      <c r="S738" s="2">
        <v>8</v>
      </c>
      <c r="T738" s="2" t="s">
        <v>33</v>
      </c>
      <c r="U738" s="2" t="s">
        <v>34</v>
      </c>
      <c r="V738" s="32">
        <v>119562080</v>
      </c>
      <c r="Y738" s="30">
        <f t="shared" si="22"/>
        <v>119562080</v>
      </c>
      <c r="Z738" s="41">
        <f t="shared" si="23"/>
        <v>0</v>
      </c>
    </row>
    <row r="739" spans="1:26" ht="26.25">
      <c r="A739" s="2">
        <v>737</v>
      </c>
      <c r="B739" s="2">
        <v>3363404</v>
      </c>
      <c r="C739" s="2">
        <v>30109833360033</v>
      </c>
      <c r="D739" s="2" t="s">
        <v>35</v>
      </c>
      <c r="E739" s="2">
        <v>249838</v>
      </c>
      <c r="F739" s="2">
        <v>973580244</v>
      </c>
      <c r="G739" s="3">
        <v>30560</v>
      </c>
      <c r="H739" s="2" t="s">
        <v>1151</v>
      </c>
      <c r="I739" s="2" t="s">
        <v>1817</v>
      </c>
      <c r="J739" s="2" t="s">
        <v>1206</v>
      </c>
      <c r="K739" s="2" t="s">
        <v>39</v>
      </c>
      <c r="L739" s="2" t="s">
        <v>27</v>
      </c>
      <c r="M739" s="2">
        <v>5620702</v>
      </c>
      <c r="N739" s="2" t="s">
        <v>159</v>
      </c>
      <c r="O739" s="2" t="s">
        <v>223</v>
      </c>
      <c r="P739" s="2" t="s">
        <v>629</v>
      </c>
      <c r="Q739" s="2" t="s">
        <v>124</v>
      </c>
      <c r="R739" s="2" t="s">
        <v>62</v>
      </c>
      <c r="S739" s="2">
        <v>8</v>
      </c>
      <c r="T739" s="2" t="s">
        <v>33</v>
      </c>
      <c r="U739" s="2" t="s">
        <v>34</v>
      </c>
      <c r="V739" s="32">
        <v>119562080</v>
      </c>
      <c r="Y739" s="30">
        <f t="shared" si="22"/>
        <v>119562080</v>
      </c>
      <c r="Z739" s="41">
        <f t="shared" si="23"/>
        <v>0</v>
      </c>
    </row>
    <row r="740" spans="1:26" ht="15.75">
      <c r="A740" s="2">
        <v>738</v>
      </c>
      <c r="B740" s="2">
        <v>3138118</v>
      </c>
      <c r="C740" s="2">
        <v>42404930250014</v>
      </c>
      <c r="D740" s="2" t="s">
        <v>45</v>
      </c>
      <c r="E740" s="2">
        <v>6159965</v>
      </c>
      <c r="F740" s="2">
        <v>903280424</v>
      </c>
      <c r="G740" s="3">
        <v>34083</v>
      </c>
      <c r="H740" s="2" t="s">
        <v>1818</v>
      </c>
      <c r="I740" s="2" t="s">
        <v>1819</v>
      </c>
      <c r="J740" s="2" t="s">
        <v>1820</v>
      </c>
      <c r="K740" s="2" t="s">
        <v>39</v>
      </c>
      <c r="L740" s="2" t="s">
        <v>57</v>
      </c>
      <c r="M740" s="2">
        <v>5310606</v>
      </c>
      <c r="N740" s="2" t="s">
        <v>72</v>
      </c>
      <c r="O740" s="2" t="s">
        <v>179</v>
      </c>
      <c r="P740" s="2" t="s">
        <v>225</v>
      </c>
      <c r="Q740" s="4">
        <v>14824</v>
      </c>
      <c r="R740" s="2" t="s">
        <v>62</v>
      </c>
      <c r="S740" s="2">
        <v>8</v>
      </c>
      <c r="T740" s="2" t="s">
        <v>33</v>
      </c>
      <c r="U740" s="2" t="s">
        <v>34</v>
      </c>
      <c r="V740" s="29">
        <v>53802936</v>
      </c>
      <c r="W740" s="21">
        <f>29890520+23912416</f>
        <v>53802936</v>
      </c>
      <c r="X740" s="10" t="s">
        <v>2966</v>
      </c>
      <c r="Y740" s="30">
        <f t="shared" si="22"/>
        <v>0</v>
      </c>
      <c r="Z740" s="41">
        <f t="shared" si="23"/>
        <v>1</v>
      </c>
    </row>
    <row r="741" spans="1:26">
      <c r="A741" s="2">
        <v>739</v>
      </c>
      <c r="B741" s="2">
        <v>3575795</v>
      </c>
      <c r="C741" s="2">
        <v>41005986760015</v>
      </c>
      <c r="D741" s="2" t="s">
        <v>145</v>
      </c>
      <c r="E741" s="2">
        <v>9470740</v>
      </c>
      <c r="F741" s="2">
        <v>935190824</v>
      </c>
      <c r="G741" s="3">
        <v>35925</v>
      </c>
      <c r="H741" s="2" t="s">
        <v>1821</v>
      </c>
      <c r="I741" s="2" t="s">
        <v>1822</v>
      </c>
      <c r="J741" s="2" t="s">
        <v>1823</v>
      </c>
      <c r="K741" s="2" t="s">
        <v>39</v>
      </c>
      <c r="L741" s="2" t="s">
        <v>57</v>
      </c>
      <c r="M741" s="2">
        <v>5620101</v>
      </c>
      <c r="N741" s="2" t="s">
        <v>49</v>
      </c>
      <c r="O741" s="2" t="s">
        <v>439</v>
      </c>
      <c r="P741" s="2" t="s">
        <v>194</v>
      </c>
      <c r="Q741" s="2" t="s">
        <v>775</v>
      </c>
      <c r="R741" s="2" t="s">
        <v>62</v>
      </c>
      <c r="S741" s="2">
        <v>8</v>
      </c>
      <c r="T741" s="2" t="s">
        <v>33</v>
      </c>
      <c r="U741" s="2" t="s">
        <v>34</v>
      </c>
      <c r="V741" s="32">
        <v>119562080</v>
      </c>
      <c r="Y741" s="30">
        <f t="shared" si="22"/>
        <v>119562080</v>
      </c>
      <c r="Z741" s="41">
        <f t="shared" si="23"/>
        <v>0</v>
      </c>
    </row>
    <row r="742" spans="1:26" ht="26.25">
      <c r="A742" s="2">
        <v>740</v>
      </c>
      <c r="B742" s="2">
        <v>1175817</v>
      </c>
      <c r="C742" s="2">
        <v>52608006540057</v>
      </c>
      <c r="D742" s="2" t="s">
        <v>45</v>
      </c>
      <c r="E742" s="2">
        <v>5710151</v>
      </c>
      <c r="F742" s="2">
        <v>991108878</v>
      </c>
      <c r="G742" s="3">
        <v>36764</v>
      </c>
      <c r="H742" s="2" t="s">
        <v>1824</v>
      </c>
      <c r="I742" s="2" t="s">
        <v>1825</v>
      </c>
      <c r="J742" s="2" t="s">
        <v>840</v>
      </c>
      <c r="K742" s="2" t="s">
        <v>39</v>
      </c>
      <c r="L742" s="2" t="s">
        <v>27</v>
      </c>
      <c r="M742" s="2">
        <v>5340606</v>
      </c>
      <c r="N742" s="2" t="s">
        <v>191</v>
      </c>
      <c r="O742" s="2" t="s">
        <v>198</v>
      </c>
      <c r="P742" s="2" t="s">
        <v>42</v>
      </c>
      <c r="Q742" s="2" t="s">
        <v>775</v>
      </c>
      <c r="R742" s="2" t="s">
        <v>44</v>
      </c>
      <c r="S742" s="2">
        <v>8</v>
      </c>
      <c r="T742" s="2" t="s">
        <v>33</v>
      </c>
      <c r="U742" s="2" t="s">
        <v>34</v>
      </c>
      <c r="V742" s="32">
        <v>65759144</v>
      </c>
      <c r="Y742" s="30">
        <f t="shared" si="22"/>
        <v>65759144</v>
      </c>
      <c r="Z742" s="41">
        <f t="shared" si="23"/>
        <v>0</v>
      </c>
    </row>
    <row r="743" spans="1:26" ht="26.25">
      <c r="A743" s="2">
        <v>741</v>
      </c>
      <c r="B743" s="2">
        <v>3404909</v>
      </c>
      <c r="C743" s="2">
        <v>50401046500027</v>
      </c>
      <c r="D743" s="2" t="s">
        <v>22</v>
      </c>
      <c r="E743" s="2">
        <v>2621776</v>
      </c>
      <c r="F743" s="2">
        <v>914749670</v>
      </c>
      <c r="G743" s="3">
        <v>37990</v>
      </c>
      <c r="H743" s="2" t="s">
        <v>531</v>
      </c>
      <c r="I743" s="2" t="s">
        <v>1826</v>
      </c>
      <c r="J743" s="2" t="s">
        <v>383</v>
      </c>
      <c r="K743" s="2" t="s">
        <v>26</v>
      </c>
      <c r="L743" s="2" t="s">
        <v>57</v>
      </c>
      <c r="M743" s="2">
        <v>5340202</v>
      </c>
      <c r="N743" s="2" t="s">
        <v>499</v>
      </c>
      <c r="O743" s="2" t="s">
        <v>87</v>
      </c>
      <c r="P743" s="2" t="s">
        <v>224</v>
      </c>
      <c r="Q743" s="2" t="s">
        <v>1001</v>
      </c>
      <c r="R743" s="2" t="s">
        <v>93</v>
      </c>
      <c r="S743" s="2">
        <v>8</v>
      </c>
      <c r="T743" s="2" t="s">
        <v>33</v>
      </c>
      <c r="U743" s="2" t="s">
        <v>34</v>
      </c>
      <c r="V743" s="32">
        <v>56735520</v>
      </c>
      <c r="W743" s="21">
        <v>29000000</v>
      </c>
      <c r="X743" s="10" t="s">
        <v>2641</v>
      </c>
      <c r="Y743" s="30">
        <f t="shared" si="22"/>
        <v>27735520</v>
      </c>
      <c r="Z743" s="41">
        <f t="shared" si="23"/>
        <v>0.51114363629697934</v>
      </c>
    </row>
    <row r="744" spans="1:26">
      <c r="A744" s="2">
        <v>742</v>
      </c>
      <c r="B744" s="2">
        <v>3516113</v>
      </c>
      <c r="C744" s="2">
        <v>51810036240026</v>
      </c>
      <c r="D744" s="2" t="s">
        <v>22</v>
      </c>
      <c r="E744" s="2">
        <v>2782386</v>
      </c>
      <c r="F744" s="2">
        <v>932554556</v>
      </c>
      <c r="G744" s="3">
        <v>37912</v>
      </c>
      <c r="H744" s="2" t="s">
        <v>1827</v>
      </c>
      <c r="I744" s="2" t="s">
        <v>234</v>
      </c>
      <c r="J744" s="2" t="s">
        <v>454</v>
      </c>
      <c r="K744" s="2" t="s">
        <v>39</v>
      </c>
      <c r="L744" s="2" t="s">
        <v>27</v>
      </c>
      <c r="M744" s="2">
        <v>5340601</v>
      </c>
      <c r="N744" s="2" t="s">
        <v>110</v>
      </c>
      <c r="O744" s="2" t="s">
        <v>155</v>
      </c>
      <c r="P744" s="2">
        <v>84</v>
      </c>
      <c r="Q744" s="4">
        <v>22251</v>
      </c>
      <c r="R744" s="2" t="s">
        <v>44</v>
      </c>
      <c r="S744" s="2">
        <v>8</v>
      </c>
      <c r="T744" s="2" t="s">
        <v>33</v>
      </c>
      <c r="U744" s="2" t="s">
        <v>34</v>
      </c>
      <c r="V744" s="32">
        <v>65759144</v>
      </c>
      <c r="Y744" s="30">
        <f t="shared" si="22"/>
        <v>65759144</v>
      </c>
      <c r="Z744" s="41">
        <f t="shared" si="23"/>
        <v>0</v>
      </c>
    </row>
    <row r="745" spans="1:26" ht="26.25">
      <c r="A745" s="2">
        <v>743</v>
      </c>
      <c r="B745" s="2">
        <v>1953420</v>
      </c>
      <c r="C745" s="2">
        <v>31708940620057</v>
      </c>
      <c r="D745" s="2" t="s">
        <v>45</v>
      </c>
      <c r="E745" s="2">
        <v>458795</v>
      </c>
      <c r="F745" s="2">
        <v>944057410</v>
      </c>
      <c r="G745" s="3">
        <v>34563</v>
      </c>
      <c r="H745" s="2" t="s">
        <v>1828</v>
      </c>
      <c r="I745" s="2" t="s">
        <v>505</v>
      </c>
      <c r="J745" s="2" t="s">
        <v>1829</v>
      </c>
      <c r="K745" s="2" t="s">
        <v>39</v>
      </c>
      <c r="L745" s="2" t="s">
        <v>27</v>
      </c>
      <c r="M745" s="2">
        <v>5310601</v>
      </c>
      <c r="N745" s="2" t="s">
        <v>153</v>
      </c>
      <c r="O745" s="2" t="s">
        <v>104</v>
      </c>
      <c r="P745" s="2" t="s">
        <v>79</v>
      </c>
      <c r="Q745" s="2" t="s">
        <v>111</v>
      </c>
      <c r="R745" s="2" t="s">
        <v>62</v>
      </c>
      <c r="S745" s="2">
        <v>8</v>
      </c>
      <c r="T745" s="2" t="s">
        <v>33</v>
      </c>
      <c r="U745" s="2" t="s">
        <v>34</v>
      </c>
      <c r="V745" s="32">
        <v>59781040</v>
      </c>
      <c r="Y745" s="30">
        <f t="shared" si="22"/>
        <v>59781040</v>
      </c>
      <c r="Z745" s="41">
        <f t="shared" si="23"/>
        <v>0</v>
      </c>
    </row>
    <row r="746" spans="1:26" ht="26.25">
      <c r="A746" s="2">
        <v>744</v>
      </c>
      <c r="B746" s="2">
        <v>2735301</v>
      </c>
      <c r="C746" s="2">
        <v>30306986830028</v>
      </c>
      <c r="D746" s="2" t="s">
        <v>145</v>
      </c>
      <c r="E746" s="2">
        <v>6172537</v>
      </c>
      <c r="F746" s="2">
        <v>949426660</v>
      </c>
      <c r="G746" s="3">
        <v>35949</v>
      </c>
      <c r="H746" s="2" t="s">
        <v>1830</v>
      </c>
      <c r="I746" s="2" t="s">
        <v>1268</v>
      </c>
      <c r="J746" s="2" t="s">
        <v>1831</v>
      </c>
      <c r="K746" s="2" t="s">
        <v>39</v>
      </c>
      <c r="L746" s="2" t="s">
        <v>27</v>
      </c>
      <c r="M746" s="2">
        <v>5640202</v>
      </c>
      <c r="N746" s="2" t="s">
        <v>240</v>
      </c>
      <c r="O746" s="2" t="s">
        <v>73</v>
      </c>
      <c r="P746" s="2" t="s">
        <v>241</v>
      </c>
      <c r="Q746" s="5">
        <v>44471</v>
      </c>
      <c r="R746" s="2" t="s">
        <v>62</v>
      </c>
      <c r="S746" s="2">
        <v>8</v>
      </c>
      <c r="T746" s="2" t="s">
        <v>33</v>
      </c>
      <c r="U746" s="2" t="s">
        <v>34</v>
      </c>
      <c r="V746" s="32">
        <v>18681575</v>
      </c>
      <c r="W746" s="21">
        <v>9340787.5</v>
      </c>
      <c r="X746" s="12" t="s">
        <v>2625</v>
      </c>
      <c r="Y746" s="30">
        <f t="shared" si="22"/>
        <v>9340787.5</v>
      </c>
      <c r="Z746" s="41">
        <f t="shared" si="23"/>
        <v>0.5</v>
      </c>
    </row>
    <row r="747" spans="1:26" ht="26.25">
      <c r="A747" s="2">
        <v>745</v>
      </c>
      <c r="B747" s="2">
        <v>3775417</v>
      </c>
      <c r="C747" s="2">
        <v>31209985630086</v>
      </c>
      <c r="D747" s="2" t="s">
        <v>45</v>
      </c>
      <c r="E747" s="2">
        <v>5568803</v>
      </c>
      <c r="F747" s="2">
        <v>995811760</v>
      </c>
      <c r="G747" s="3">
        <v>36050</v>
      </c>
      <c r="H747" s="2" t="s">
        <v>430</v>
      </c>
      <c r="I747" s="2" t="s">
        <v>811</v>
      </c>
      <c r="J747" s="2" t="s">
        <v>419</v>
      </c>
      <c r="K747" s="2" t="s">
        <v>39</v>
      </c>
      <c r="L747" s="2" t="s">
        <v>57</v>
      </c>
      <c r="M747" s="2">
        <v>5620701</v>
      </c>
      <c r="N747" s="2" t="s">
        <v>218</v>
      </c>
      <c r="O747" s="2" t="s">
        <v>88</v>
      </c>
      <c r="P747" s="2" t="s">
        <v>194</v>
      </c>
      <c r="Q747" s="4">
        <v>16681</v>
      </c>
      <c r="R747" s="2" t="s">
        <v>62</v>
      </c>
      <c r="S747" s="2">
        <v>8</v>
      </c>
      <c r="T747" s="2" t="s">
        <v>33</v>
      </c>
      <c r="U747" s="2" t="s">
        <v>34</v>
      </c>
      <c r="V747" s="32">
        <v>53802936</v>
      </c>
      <c r="W747" s="20">
        <v>29900000</v>
      </c>
      <c r="X747" s="2" t="s">
        <v>2626</v>
      </c>
      <c r="Y747" s="30">
        <f t="shared" si="22"/>
        <v>23902936</v>
      </c>
      <c r="Z747" s="41">
        <f t="shared" si="23"/>
        <v>0.55573175411839981</v>
      </c>
    </row>
    <row r="748" spans="1:26" ht="26.25">
      <c r="A748" s="2">
        <v>746</v>
      </c>
      <c r="B748" s="2">
        <v>2328907</v>
      </c>
      <c r="C748" s="2">
        <v>51712016780013</v>
      </c>
      <c r="D748" s="2" t="s">
        <v>45</v>
      </c>
      <c r="E748" s="2">
        <v>8425193</v>
      </c>
      <c r="F748" s="2">
        <v>995108815</v>
      </c>
      <c r="G748" s="3">
        <v>37242</v>
      </c>
      <c r="H748" s="2" t="s">
        <v>1832</v>
      </c>
      <c r="I748" s="2" t="s">
        <v>1833</v>
      </c>
      <c r="J748" s="2" t="s">
        <v>1834</v>
      </c>
      <c r="K748" s="2" t="s">
        <v>39</v>
      </c>
      <c r="L748" s="2" t="s">
        <v>27</v>
      </c>
      <c r="M748" s="2">
        <v>5310601</v>
      </c>
      <c r="N748" s="2" t="s">
        <v>153</v>
      </c>
      <c r="O748" s="2" t="s">
        <v>154</v>
      </c>
      <c r="P748" s="2" t="s">
        <v>79</v>
      </c>
      <c r="Q748" s="2" t="s">
        <v>81</v>
      </c>
      <c r="R748" s="2" t="s">
        <v>62</v>
      </c>
      <c r="S748" s="2">
        <v>8</v>
      </c>
      <c r="T748" s="2" t="s">
        <v>33</v>
      </c>
      <c r="U748" s="2" t="s">
        <v>34</v>
      </c>
      <c r="V748" s="32">
        <v>59781040</v>
      </c>
      <c r="Y748" s="30">
        <f t="shared" si="22"/>
        <v>59781040</v>
      </c>
      <c r="Z748" s="41">
        <f t="shared" si="23"/>
        <v>0</v>
      </c>
    </row>
    <row r="749" spans="1:26" ht="39">
      <c r="A749" s="2">
        <v>747</v>
      </c>
      <c r="B749" s="2">
        <v>3386249</v>
      </c>
      <c r="C749" s="2">
        <v>51905037230014</v>
      </c>
      <c r="D749" s="2" t="s">
        <v>35</v>
      </c>
      <c r="E749" s="2">
        <v>1267425</v>
      </c>
      <c r="F749" s="2">
        <v>977140779</v>
      </c>
      <c r="G749" s="3">
        <v>37760</v>
      </c>
      <c r="H749" s="2" t="s">
        <v>504</v>
      </c>
      <c r="I749" s="2" t="s">
        <v>1835</v>
      </c>
      <c r="J749" s="2" t="s">
        <v>1836</v>
      </c>
      <c r="K749" s="2" t="s">
        <v>39</v>
      </c>
      <c r="L749" s="2" t="s">
        <v>27</v>
      </c>
      <c r="M749" s="2">
        <v>5311003</v>
      </c>
      <c r="N749" s="2" t="s">
        <v>144</v>
      </c>
      <c r="O749" s="2" t="s">
        <v>88</v>
      </c>
      <c r="P749" s="2" t="s">
        <v>79</v>
      </c>
      <c r="Q749" s="5">
        <v>44338</v>
      </c>
      <c r="R749" s="2" t="s">
        <v>62</v>
      </c>
      <c r="S749" s="2">
        <v>8</v>
      </c>
      <c r="T749" s="2" t="s">
        <v>33</v>
      </c>
      <c r="U749" s="2" t="s">
        <v>34</v>
      </c>
      <c r="V749" s="32">
        <v>59781040</v>
      </c>
      <c r="W749" s="20">
        <v>29891000</v>
      </c>
      <c r="X749" s="2" t="s">
        <v>2686</v>
      </c>
      <c r="Y749" s="30">
        <f t="shared" si="22"/>
        <v>29890040</v>
      </c>
      <c r="Z749" s="41">
        <f t="shared" si="23"/>
        <v>0.50000802930159793</v>
      </c>
    </row>
    <row r="750" spans="1:26" ht="26.25">
      <c r="A750" s="2">
        <v>748</v>
      </c>
      <c r="B750" s="2">
        <v>2906109</v>
      </c>
      <c r="C750" s="2">
        <v>50401036060065</v>
      </c>
      <c r="D750" s="2" t="s">
        <v>22</v>
      </c>
      <c r="E750" s="2">
        <v>2326455</v>
      </c>
      <c r="F750" s="2">
        <v>946464407</v>
      </c>
      <c r="G750" s="3">
        <v>37625</v>
      </c>
      <c r="H750" s="2" t="s">
        <v>1837</v>
      </c>
      <c r="I750" s="2" t="s">
        <v>718</v>
      </c>
      <c r="J750" s="2" t="s">
        <v>933</v>
      </c>
      <c r="K750" s="2" t="s">
        <v>39</v>
      </c>
      <c r="L750" s="2" t="s">
        <v>27</v>
      </c>
      <c r="M750" s="2">
        <v>5340202</v>
      </c>
      <c r="N750" s="2" t="s">
        <v>499</v>
      </c>
      <c r="O750" s="2" t="s">
        <v>132</v>
      </c>
      <c r="P750" s="2" t="s">
        <v>490</v>
      </c>
      <c r="Q750" s="4">
        <v>22251</v>
      </c>
      <c r="R750" s="2" t="s">
        <v>44</v>
      </c>
      <c r="S750" s="2">
        <v>8</v>
      </c>
      <c r="T750" s="2" t="s">
        <v>33</v>
      </c>
      <c r="U750" s="2" t="s">
        <v>34</v>
      </c>
      <c r="V750" s="32">
        <v>65759144</v>
      </c>
      <c r="Y750" s="30">
        <f t="shared" si="22"/>
        <v>65759144</v>
      </c>
      <c r="Z750" s="41">
        <f t="shared" si="23"/>
        <v>0</v>
      </c>
    </row>
    <row r="751" spans="1:26" ht="26.25">
      <c r="A751" s="2">
        <v>749</v>
      </c>
      <c r="B751" s="2">
        <v>2197969</v>
      </c>
      <c r="C751" s="2">
        <v>51311016830029</v>
      </c>
      <c r="D751" s="2" t="s">
        <v>45</v>
      </c>
      <c r="E751" s="2">
        <v>8132165</v>
      </c>
      <c r="F751" s="2">
        <v>943666993</v>
      </c>
      <c r="G751" s="3">
        <v>37208</v>
      </c>
      <c r="H751" s="2" t="s">
        <v>670</v>
      </c>
      <c r="I751" s="2" t="s">
        <v>120</v>
      </c>
      <c r="J751" s="2" t="s">
        <v>493</v>
      </c>
      <c r="K751" s="2" t="s">
        <v>26</v>
      </c>
      <c r="L751" s="2" t="s">
        <v>57</v>
      </c>
      <c r="M751" s="2">
        <v>5340606</v>
      </c>
      <c r="N751" s="2" t="s">
        <v>191</v>
      </c>
      <c r="O751" s="2" t="s">
        <v>281</v>
      </c>
      <c r="P751" s="2" t="s">
        <v>179</v>
      </c>
      <c r="Q751" s="5">
        <v>44471</v>
      </c>
      <c r="R751" s="2" t="s">
        <v>93</v>
      </c>
      <c r="S751" s="2">
        <v>8</v>
      </c>
      <c r="T751" s="2" t="s">
        <v>33</v>
      </c>
      <c r="U751" s="2" t="s">
        <v>34</v>
      </c>
      <c r="V751" s="32">
        <v>113471040</v>
      </c>
      <c r="Y751" s="30">
        <f t="shared" si="22"/>
        <v>113471040</v>
      </c>
      <c r="Z751" s="41">
        <f t="shared" si="23"/>
        <v>0</v>
      </c>
    </row>
    <row r="752" spans="1:26" ht="39">
      <c r="A752" s="2">
        <v>750</v>
      </c>
      <c r="B752" s="2">
        <v>3296152</v>
      </c>
      <c r="C752" s="2">
        <v>30508840560034</v>
      </c>
      <c r="D752" s="2" t="s">
        <v>45</v>
      </c>
      <c r="E752" s="2">
        <v>3811299</v>
      </c>
      <c r="F752" s="2">
        <v>977387137</v>
      </c>
      <c r="G752" s="3">
        <v>30899</v>
      </c>
      <c r="H752" s="2" t="s">
        <v>1838</v>
      </c>
      <c r="I752" s="2" t="s">
        <v>1839</v>
      </c>
      <c r="J752" s="2" t="s">
        <v>1840</v>
      </c>
      <c r="K752" s="2" t="s">
        <v>39</v>
      </c>
      <c r="L752" s="2" t="s">
        <v>27</v>
      </c>
      <c r="M752" s="2">
        <v>5320200</v>
      </c>
      <c r="N752" s="2" t="s">
        <v>66</v>
      </c>
      <c r="O752" s="2" t="s">
        <v>241</v>
      </c>
      <c r="P752" s="2" t="s">
        <v>68</v>
      </c>
      <c r="Q752" s="4">
        <v>42064</v>
      </c>
      <c r="R752" s="2" t="s">
        <v>62</v>
      </c>
      <c r="S752" s="2">
        <v>8</v>
      </c>
      <c r="T752" s="2" t="s">
        <v>33</v>
      </c>
      <c r="U752" s="2" t="s">
        <v>34</v>
      </c>
      <c r="V752" s="32">
        <v>22417890</v>
      </c>
      <c r="W752" s="21">
        <f>11210000+8967000</f>
        <v>20177000</v>
      </c>
      <c r="X752" s="10" t="s">
        <v>2915</v>
      </c>
      <c r="Y752" s="30">
        <f t="shared" si="22"/>
        <v>2240890</v>
      </c>
      <c r="Z752" s="41">
        <f t="shared" si="23"/>
        <v>0.90004010190075867</v>
      </c>
    </row>
    <row r="753" spans="1:26" ht="39">
      <c r="A753" s="2">
        <v>751</v>
      </c>
      <c r="B753" s="2">
        <v>3611836</v>
      </c>
      <c r="C753" s="2">
        <v>51604037310046</v>
      </c>
      <c r="D753" s="2" t="s">
        <v>74</v>
      </c>
      <c r="E753" s="2">
        <v>247517</v>
      </c>
      <c r="F753" s="2">
        <v>996226545</v>
      </c>
      <c r="G753" s="3">
        <v>37727</v>
      </c>
      <c r="H753" s="2" t="s">
        <v>1841</v>
      </c>
      <c r="I753" s="2" t="s">
        <v>1842</v>
      </c>
      <c r="J753" s="2" t="s">
        <v>1843</v>
      </c>
      <c r="K753" s="2" t="s">
        <v>26</v>
      </c>
      <c r="L753" s="2" t="s">
        <v>27</v>
      </c>
      <c r="M753" s="2">
        <v>5341300</v>
      </c>
      <c r="N753" s="2" t="s">
        <v>92</v>
      </c>
      <c r="O753" s="2" t="s">
        <v>122</v>
      </c>
      <c r="P753" s="2" t="s">
        <v>41</v>
      </c>
      <c r="Q753" s="4">
        <v>42064</v>
      </c>
      <c r="R753" s="2" t="s">
        <v>93</v>
      </c>
      <c r="S753" s="2">
        <v>8</v>
      </c>
      <c r="T753" s="2" t="s">
        <v>33</v>
      </c>
      <c r="U753" s="2" t="s">
        <v>34</v>
      </c>
      <c r="V753" s="32">
        <v>21275820</v>
      </c>
      <c r="W753" s="21">
        <v>11300000</v>
      </c>
      <c r="X753" s="10" t="s">
        <v>2708</v>
      </c>
      <c r="Y753" s="30">
        <f t="shared" si="22"/>
        <v>9975820</v>
      </c>
      <c r="Z753" s="41">
        <f t="shared" si="23"/>
        <v>0.5311193646120338</v>
      </c>
    </row>
    <row r="754" spans="1:26" ht="15.75">
      <c r="A754" s="2">
        <v>752</v>
      </c>
      <c r="B754" s="2">
        <v>2090069</v>
      </c>
      <c r="C754" s="2">
        <v>31401976590043</v>
      </c>
      <c r="D754" s="2" t="s">
        <v>145</v>
      </c>
      <c r="E754" s="2">
        <v>780367</v>
      </c>
      <c r="F754" s="2">
        <v>974419984</v>
      </c>
      <c r="G754" s="3">
        <v>35444</v>
      </c>
      <c r="H754" s="2" t="s">
        <v>1661</v>
      </c>
      <c r="I754" s="2" t="s">
        <v>1768</v>
      </c>
      <c r="J754" s="2" t="s">
        <v>624</v>
      </c>
      <c r="K754" s="2" t="s">
        <v>39</v>
      </c>
      <c r="L754" s="2" t="s">
        <v>27</v>
      </c>
      <c r="M754" s="2">
        <v>5620101</v>
      </c>
      <c r="N754" s="2" t="s">
        <v>49</v>
      </c>
      <c r="O754" s="2" t="s">
        <v>104</v>
      </c>
      <c r="P754" s="2" t="s">
        <v>264</v>
      </c>
      <c r="Q754" s="2" t="s">
        <v>420</v>
      </c>
      <c r="R754" s="2" t="s">
        <v>62</v>
      </c>
      <c r="S754" s="2">
        <v>8</v>
      </c>
      <c r="T754" s="2" t="s">
        <v>33</v>
      </c>
      <c r="U754" s="2" t="s">
        <v>34</v>
      </c>
      <c r="V754" s="32">
        <v>59781040</v>
      </c>
      <c r="W754" s="21">
        <f>30000000+3000000+9000000</f>
        <v>42000000</v>
      </c>
      <c r="X754" s="10" t="s">
        <v>2818</v>
      </c>
      <c r="Y754" s="30">
        <f t="shared" si="22"/>
        <v>17781040</v>
      </c>
      <c r="Z754" s="41">
        <f t="shared" si="23"/>
        <v>0.70256388982192353</v>
      </c>
    </row>
    <row r="755" spans="1:26">
      <c r="A755" s="2">
        <v>753</v>
      </c>
      <c r="B755" s="2">
        <v>1862219</v>
      </c>
      <c r="C755" s="2">
        <v>30706976610029</v>
      </c>
      <c r="D755" s="2" t="s">
        <v>145</v>
      </c>
      <c r="E755" s="2">
        <v>2111962</v>
      </c>
      <c r="F755" s="2">
        <v>977336970</v>
      </c>
      <c r="G755" s="3">
        <v>35588</v>
      </c>
      <c r="H755" s="2" t="s">
        <v>531</v>
      </c>
      <c r="I755" s="2" t="s">
        <v>1844</v>
      </c>
      <c r="J755" s="2" t="s">
        <v>514</v>
      </c>
      <c r="K755" s="2" t="s">
        <v>39</v>
      </c>
      <c r="L755" s="2" t="s">
        <v>57</v>
      </c>
      <c r="M755" s="2">
        <v>5310400</v>
      </c>
      <c r="N755" s="2" t="s">
        <v>232</v>
      </c>
      <c r="O755" s="2">
        <v>63</v>
      </c>
      <c r="P755" s="2" t="s">
        <v>139</v>
      </c>
      <c r="Q755" s="4">
        <v>12966</v>
      </c>
      <c r="R755" s="2" t="s">
        <v>62</v>
      </c>
      <c r="S755" s="2">
        <v>8</v>
      </c>
      <c r="T755" s="2" t="s">
        <v>33</v>
      </c>
      <c r="U755" s="2" t="s">
        <v>34</v>
      </c>
      <c r="V755" s="32">
        <v>59781040</v>
      </c>
      <c r="Y755" s="30">
        <f t="shared" si="22"/>
        <v>59781040</v>
      </c>
      <c r="Z755" s="41">
        <f t="shared" si="23"/>
        <v>0</v>
      </c>
    </row>
    <row r="756" spans="1:26" ht="26.25">
      <c r="A756" s="2">
        <v>754</v>
      </c>
      <c r="B756" s="2">
        <v>3296027</v>
      </c>
      <c r="C756" s="2">
        <v>51910036820067</v>
      </c>
      <c r="D756" s="2" t="s">
        <v>22</v>
      </c>
      <c r="E756" s="2">
        <v>2898387</v>
      </c>
      <c r="F756" s="2">
        <v>977298858</v>
      </c>
      <c r="G756" s="3">
        <v>37913</v>
      </c>
      <c r="H756" s="2" t="s">
        <v>89</v>
      </c>
      <c r="I756" s="2" t="s">
        <v>1845</v>
      </c>
      <c r="J756" s="2" t="s">
        <v>1846</v>
      </c>
      <c r="K756" s="2" t="s">
        <v>26</v>
      </c>
      <c r="L756" s="2" t="s">
        <v>27</v>
      </c>
      <c r="M756" s="2">
        <v>5630103</v>
      </c>
      <c r="N756" s="2" t="s">
        <v>343</v>
      </c>
      <c r="O756" s="2" t="s">
        <v>211</v>
      </c>
      <c r="P756" s="2" t="s">
        <v>345</v>
      </c>
      <c r="Q756" s="2" t="s">
        <v>391</v>
      </c>
      <c r="R756" s="2" t="s">
        <v>53</v>
      </c>
      <c r="S756" s="2">
        <v>8</v>
      </c>
      <c r="T756" s="2" t="s">
        <v>33</v>
      </c>
      <c r="U756" s="2" t="s">
        <v>34</v>
      </c>
      <c r="V756" s="32">
        <v>102601760</v>
      </c>
      <c r="Y756" s="30">
        <f t="shared" si="22"/>
        <v>102601760</v>
      </c>
      <c r="Z756" s="41">
        <f t="shared" si="23"/>
        <v>0</v>
      </c>
    </row>
    <row r="757" spans="1:26" ht="26.25">
      <c r="A757" s="2">
        <v>755</v>
      </c>
      <c r="B757" s="2">
        <v>3661790</v>
      </c>
      <c r="C757" s="2">
        <v>40612950540011</v>
      </c>
      <c r="D757" s="2" t="s">
        <v>145</v>
      </c>
      <c r="E757" s="2">
        <v>6270891</v>
      </c>
      <c r="F757" s="2">
        <v>975411131</v>
      </c>
      <c r="G757" s="3">
        <v>35039</v>
      </c>
      <c r="H757" s="2" t="s">
        <v>1847</v>
      </c>
      <c r="I757" s="2" t="s">
        <v>1848</v>
      </c>
      <c r="J757" s="2" t="s">
        <v>1849</v>
      </c>
      <c r="K757" s="2" t="s">
        <v>39</v>
      </c>
      <c r="L757" s="2" t="s">
        <v>27</v>
      </c>
      <c r="M757" s="2">
        <v>5320102</v>
      </c>
      <c r="N757" s="2" t="s">
        <v>138</v>
      </c>
      <c r="O757" s="2" t="s">
        <v>225</v>
      </c>
      <c r="P757" s="2" t="s">
        <v>140</v>
      </c>
      <c r="Q757" s="4">
        <v>16681</v>
      </c>
      <c r="R757" s="2" t="s">
        <v>62</v>
      </c>
      <c r="S757" s="2">
        <v>8</v>
      </c>
      <c r="T757" s="2" t="s">
        <v>33</v>
      </c>
      <c r="U757" s="2" t="s">
        <v>34</v>
      </c>
      <c r="V757" s="32">
        <v>59781040</v>
      </c>
      <c r="Y757" s="30">
        <f t="shared" si="22"/>
        <v>59781040</v>
      </c>
      <c r="Z757" s="41">
        <f t="shared" si="23"/>
        <v>0</v>
      </c>
    </row>
    <row r="758" spans="1:26">
      <c r="A758" s="2">
        <v>756</v>
      </c>
      <c r="B758" s="2">
        <v>1691056</v>
      </c>
      <c r="C758" s="2">
        <v>33108910440027</v>
      </c>
      <c r="D758" s="2" t="s">
        <v>145</v>
      </c>
      <c r="E758" s="2">
        <v>3867374</v>
      </c>
      <c r="F758" s="2">
        <v>935748730</v>
      </c>
      <c r="G758" s="3">
        <v>33481</v>
      </c>
      <c r="H758" s="2" t="s">
        <v>463</v>
      </c>
      <c r="I758" s="2" t="s">
        <v>258</v>
      </c>
      <c r="J758" s="2" t="s">
        <v>1850</v>
      </c>
      <c r="K758" s="2" t="s">
        <v>39</v>
      </c>
      <c r="L758" s="2" t="s">
        <v>57</v>
      </c>
      <c r="M758" s="2">
        <v>5620400</v>
      </c>
      <c r="N758" s="2" t="s">
        <v>103</v>
      </c>
      <c r="O758" s="2">
        <v>63</v>
      </c>
      <c r="P758" s="2" t="s">
        <v>139</v>
      </c>
      <c r="Q758" s="4">
        <v>12966</v>
      </c>
      <c r="R758" s="2" t="s">
        <v>62</v>
      </c>
      <c r="S758" s="2">
        <v>8</v>
      </c>
      <c r="T758" s="2" t="s">
        <v>33</v>
      </c>
      <c r="U758" s="2" t="s">
        <v>34</v>
      </c>
      <c r="V758" s="29">
        <v>53802936</v>
      </c>
      <c r="W758" s="20">
        <v>27000000</v>
      </c>
      <c r="X758" s="2" t="s">
        <v>2678</v>
      </c>
      <c r="Y758" s="30">
        <f t="shared" si="22"/>
        <v>26802936</v>
      </c>
      <c r="Z758" s="41">
        <f t="shared" si="23"/>
        <v>0.50183134987280253</v>
      </c>
    </row>
    <row r="759" spans="1:26" ht="26.25">
      <c r="A759" s="2">
        <v>757</v>
      </c>
      <c r="B759" s="2">
        <v>3731762</v>
      </c>
      <c r="C759" s="2">
        <v>52511026130086</v>
      </c>
      <c r="D759" s="2" t="s">
        <v>22</v>
      </c>
      <c r="E759" s="2">
        <v>1800088</v>
      </c>
      <c r="F759" s="2">
        <v>995799335</v>
      </c>
      <c r="G759" s="3">
        <v>37585</v>
      </c>
      <c r="H759" s="2" t="s">
        <v>430</v>
      </c>
      <c r="I759" s="2" t="s">
        <v>1851</v>
      </c>
      <c r="J759" s="2" t="s">
        <v>1852</v>
      </c>
      <c r="K759" s="2" t="s">
        <v>26</v>
      </c>
      <c r="L759" s="2" t="s">
        <v>27</v>
      </c>
      <c r="M759" s="2">
        <v>5310602</v>
      </c>
      <c r="N759" s="2" t="s">
        <v>518</v>
      </c>
      <c r="O759" s="2">
        <v>63</v>
      </c>
      <c r="P759" s="2" t="s">
        <v>88</v>
      </c>
      <c r="Q759" s="5">
        <v>44317</v>
      </c>
      <c r="R759" s="2" t="s">
        <v>53</v>
      </c>
      <c r="S759" s="2">
        <v>8</v>
      </c>
      <c r="T759" s="2" t="s">
        <v>33</v>
      </c>
      <c r="U759" s="2" t="s">
        <v>34</v>
      </c>
      <c r="V759" s="32">
        <v>9618915</v>
      </c>
      <c r="W759" s="24">
        <v>6500000</v>
      </c>
      <c r="X759" s="14" t="s">
        <v>2654</v>
      </c>
      <c r="Y759" s="30">
        <f t="shared" si="22"/>
        <v>3118915</v>
      </c>
      <c r="Z759" s="41">
        <f t="shared" si="23"/>
        <v>0.67575189093572408</v>
      </c>
    </row>
    <row r="760" spans="1:26" ht="15.75">
      <c r="A760" s="2">
        <v>758</v>
      </c>
      <c r="B760" s="2">
        <v>3640318</v>
      </c>
      <c r="C760" s="2">
        <v>51812035970041</v>
      </c>
      <c r="D760" s="2" t="s">
        <v>74</v>
      </c>
      <c r="E760" s="2">
        <v>235689</v>
      </c>
      <c r="F760" s="2">
        <v>911810257</v>
      </c>
      <c r="G760" s="3">
        <v>37973</v>
      </c>
      <c r="H760" s="2" t="s">
        <v>1853</v>
      </c>
      <c r="I760" s="2" t="s">
        <v>1639</v>
      </c>
      <c r="J760" s="2" t="s">
        <v>1721</v>
      </c>
      <c r="K760" s="2" t="s">
        <v>26</v>
      </c>
      <c r="L760" s="2" t="s">
        <v>27</v>
      </c>
      <c r="M760" s="2">
        <v>5314000</v>
      </c>
      <c r="N760" s="2" t="s">
        <v>522</v>
      </c>
      <c r="O760" s="2" t="s">
        <v>225</v>
      </c>
      <c r="P760" s="2" t="s">
        <v>771</v>
      </c>
      <c r="Q760" s="2" t="s">
        <v>281</v>
      </c>
      <c r="R760" s="2" t="s">
        <v>53</v>
      </c>
      <c r="S760" s="2">
        <v>8</v>
      </c>
      <c r="T760" s="2" t="s">
        <v>33</v>
      </c>
      <c r="U760" s="2" t="s">
        <v>34</v>
      </c>
      <c r="V760" s="32">
        <v>51300880</v>
      </c>
      <c r="W760" s="23">
        <v>26000000</v>
      </c>
      <c r="X760" s="13" t="s">
        <v>2629</v>
      </c>
      <c r="Y760" s="30">
        <f t="shared" si="22"/>
        <v>25300880</v>
      </c>
      <c r="Z760" s="41">
        <f t="shared" si="23"/>
        <v>0.506813918201793</v>
      </c>
    </row>
    <row r="761" spans="1:26" ht="15.75">
      <c r="A761" s="2">
        <v>759</v>
      </c>
      <c r="B761" s="2">
        <v>3299385</v>
      </c>
      <c r="C761" s="2">
        <v>50603036740066</v>
      </c>
      <c r="D761" s="2" t="s">
        <v>22</v>
      </c>
      <c r="E761" s="2">
        <v>1813705</v>
      </c>
      <c r="F761" s="2">
        <v>900520790</v>
      </c>
      <c r="G761" s="3">
        <v>37686</v>
      </c>
      <c r="H761" s="2" t="s">
        <v>444</v>
      </c>
      <c r="I761" s="2" t="s">
        <v>1854</v>
      </c>
      <c r="J761" s="2" t="s">
        <v>849</v>
      </c>
      <c r="K761" s="2" t="s">
        <v>26</v>
      </c>
      <c r="L761" s="2" t="s">
        <v>27</v>
      </c>
      <c r="M761" s="2">
        <v>5340603</v>
      </c>
      <c r="N761" s="2" t="s">
        <v>174</v>
      </c>
      <c r="O761" s="2" t="s">
        <v>139</v>
      </c>
      <c r="P761" s="2" t="s">
        <v>155</v>
      </c>
      <c r="Q761" s="5">
        <v>44317</v>
      </c>
      <c r="R761" s="2" t="s">
        <v>93</v>
      </c>
      <c r="S761" s="2">
        <v>8</v>
      </c>
      <c r="T761" s="2" t="s">
        <v>33</v>
      </c>
      <c r="U761" s="2" t="s">
        <v>34</v>
      </c>
      <c r="V761" s="32">
        <v>10637910</v>
      </c>
      <c r="W761" s="21">
        <v>5320000</v>
      </c>
      <c r="X761" s="11" t="s">
        <v>2643</v>
      </c>
      <c r="Y761" s="30">
        <f t="shared" si="22"/>
        <v>5317910</v>
      </c>
      <c r="Z761" s="41">
        <f t="shared" si="23"/>
        <v>0.50009823358159633</v>
      </c>
    </row>
    <row r="762" spans="1:26">
      <c r="A762" s="2">
        <v>760</v>
      </c>
      <c r="B762" s="2">
        <v>1968028</v>
      </c>
      <c r="C762" s="2">
        <v>51208016230064</v>
      </c>
      <c r="D762" s="2" t="s">
        <v>45</v>
      </c>
      <c r="E762" s="2">
        <v>8323740</v>
      </c>
      <c r="F762" s="2">
        <v>912282208</v>
      </c>
      <c r="G762" s="3">
        <v>37115</v>
      </c>
      <c r="H762" s="2" t="s">
        <v>1090</v>
      </c>
      <c r="I762" s="2" t="s">
        <v>1855</v>
      </c>
      <c r="J762" s="2" t="s">
        <v>102</v>
      </c>
      <c r="K762" s="2" t="s">
        <v>26</v>
      </c>
      <c r="L762" s="2" t="s">
        <v>27</v>
      </c>
      <c r="M762" s="2">
        <v>5620101</v>
      </c>
      <c r="N762" s="2" t="s">
        <v>49</v>
      </c>
      <c r="O762" s="2" t="s">
        <v>281</v>
      </c>
      <c r="P762" s="2" t="s">
        <v>51</v>
      </c>
      <c r="Q762" s="2" t="s">
        <v>199</v>
      </c>
      <c r="R762" s="2" t="s">
        <v>53</v>
      </c>
      <c r="S762" s="2">
        <v>8</v>
      </c>
      <c r="T762" s="2" t="s">
        <v>33</v>
      </c>
      <c r="U762" s="2" t="s">
        <v>34</v>
      </c>
      <c r="V762" s="32">
        <v>113471040</v>
      </c>
      <c r="Y762" s="30">
        <f t="shared" si="22"/>
        <v>113471040</v>
      </c>
      <c r="Z762" s="41">
        <f t="shared" si="23"/>
        <v>0</v>
      </c>
    </row>
    <row r="763" spans="1:26" ht="26.25">
      <c r="A763" s="2">
        <v>761</v>
      </c>
      <c r="B763" s="2">
        <v>1680134</v>
      </c>
      <c r="C763" s="2">
        <v>31102920222532</v>
      </c>
      <c r="D763" s="2" t="s">
        <v>145</v>
      </c>
      <c r="E763" s="2">
        <v>5374313</v>
      </c>
      <c r="F763" s="2">
        <v>977700708</v>
      </c>
      <c r="G763" s="3">
        <v>33645</v>
      </c>
      <c r="H763" s="2" t="s">
        <v>648</v>
      </c>
      <c r="I763" s="2" t="s">
        <v>1856</v>
      </c>
      <c r="J763" s="2" t="s">
        <v>1857</v>
      </c>
      <c r="K763" s="2" t="s">
        <v>39</v>
      </c>
      <c r="L763" s="2" t="s">
        <v>27</v>
      </c>
      <c r="M763" s="2">
        <v>5310601</v>
      </c>
      <c r="N763" s="2" t="s">
        <v>153</v>
      </c>
      <c r="O763" s="2" t="s">
        <v>160</v>
      </c>
      <c r="P763" s="2" t="s">
        <v>79</v>
      </c>
      <c r="Q763" s="2" t="s">
        <v>166</v>
      </c>
      <c r="R763" s="2" t="s">
        <v>62</v>
      </c>
      <c r="S763" s="2">
        <v>8</v>
      </c>
      <c r="T763" s="2" t="s">
        <v>33</v>
      </c>
      <c r="U763" s="2" t="s">
        <v>34</v>
      </c>
      <c r="V763" s="32">
        <v>119562080</v>
      </c>
      <c r="W763" s="20">
        <v>64177500</v>
      </c>
      <c r="X763" s="2" t="s">
        <v>2686</v>
      </c>
      <c r="Y763" s="30">
        <f t="shared" si="22"/>
        <v>55384580</v>
      </c>
      <c r="Z763" s="41">
        <f t="shared" si="23"/>
        <v>0.53677135760769634</v>
      </c>
    </row>
    <row r="764" spans="1:26" ht="26.25">
      <c r="A764" s="2">
        <v>762</v>
      </c>
      <c r="B764" s="2">
        <v>2629510</v>
      </c>
      <c r="C764" s="2">
        <v>62502026580019</v>
      </c>
      <c r="D764" s="2" t="s">
        <v>45</v>
      </c>
      <c r="E764" s="2">
        <v>9126575</v>
      </c>
      <c r="F764" s="2">
        <v>900682575</v>
      </c>
      <c r="G764" s="3">
        <v>37312</v>
      </c>
      <c r="H764" s="2" t="s">
        <v>176</v>
      </c>
      <c r="I764" s="2" t="s">
        <v>1858</v>
      </c>
      <c r="J764" s="2" t="s">
        <v>1859</v>
      </c>
      <c r="K764" s="2" t="s">
        <v>26</v>
      </c>
      <c r="L764" s="2" t="s">
        <v>27</v>
      </c>
      <c r="M764" s="2">
        <v>5630103</v>
      </c>
      <c r="N764" s="2" t="s">
        <v>343</v>
      </c>
      <c r="O764" s="2" t="s">
        <v>211</v>
      </c>
      <c r="P764" s="2" t="s">
        <v>345</v>
      </c>
      <c r="Q764" s="2" t="s">
        <v>391</v>
      </c>
      <c r="R764" s="2" t="s">
        <v>53</v>
      </c>
      <c r="S764" s="2">
        <v>8</v>
      </c>
      <c r="T764" s="2" t="s">
        <v>33</v>
      </c>
      <c r="U764" s="2" t="s">
        <v>34</v>
      </c>
      <c r="V764" s="32">
        <v>102601760</v>
      </c>
      <c r="Y764" s="30">
        <f t="shared" si="22"/>
        <v>102601760</v>
      </c>
      <c r="Z764" s="41">
        <f t="shared" si="23"/>
        <v>0</v>
      </c>
    </row>
    <row r="765" spans="1:26" ht="15.75">
      <c r="A765" s="2">
        <v>763</v>
      </c>
      <c r="B765" s="2">
        <v>2788469</v>
      </c>
      <c r="C765" s="2">
        <v>52109026670020</v>
      </c>
      <c r="D765" s="2" t="s">
        <v>22</v>
      </c>
      <c r="E765" s="2">
        <v>1399497</v>
      </c>
      <c r="F765" s="2">
        <v>950135470</v>
      </c>
      <c r="G765" s="3">
        <v>37520</v>
      </c>
      <c r="H765" s="2" t="s">
        <v>278</v>
      </c>
      <c r="I765" s="2" t="s">
        <v>1860</v>
      </c>
      <c r="J765" s="2" t="s">
        <v>1010</v>
      </c>
      <c r="K765" s="2" t="s">
        <v>26</v>
      </c>
      <c r="L765" s="2" t="s">
        <v>27</v>
      </c>
      <c r="M765" s="2">
        <v>5340603</v>
      </c>
      <c r="N765" s="2" t="s">
        <v>174</v>
      </c>
      <c r="O765" s="2">
        <v>63</v>
      </c>
      <c r="P765" s="2" t="s">
        <v>155</v>
      </c>
      <c r="Q765" s="4">
        <v>14824</v>
      </c>
      <c r="R765" s="2" t="s">
        <v>93</v>
      </c>
      <c r="S765" s="2">
        <v>8</v>
      </c>
      <c r="T765" s="2" t="s">
        <v>33</v>
      </c>
      <c r="U765" s="2" t="s">
        <v>34</v>
      </c>
      <c r="V765" s="29">
        <v>51061968</v>
      </c>
      <c r="W765" s="21">
        <f>50000000+1061968</f>
        <v>51061968</v>
      </c>
      <c r="X765" s="11" t="s">
        <v>2964</v>
      </c>
      <c r="Y765" s="30">
        <f t="shared" si="22"/>
        <v>0</v>
      </c>
      <c r="Z765" s="41">
        <f t="shared" si="23"/>
        <v>1</v>
      </c>
    </row>
    <row r="766" spans="1:26" ht="26.25">
      <c r="A766" s="2">
        <v>764</v>
      </c>
      <c r="B766" s="2">
        <v>2376741</v>
      </c>
      <c r="C766" s="2">
        <v>40804951140028</v>
      </c>
      <c r="D766" s="2" t="s">
        <v>45</v>
      </c>
      <c r="E766" s="2">
        <v>2033448</v>
      </c>
      <c r="F766" s="2">
        <v>998145555</v>
      </c>
      <c r="G766" s="3">
        <v>34797</v>
      </c>
      <c r="H766" s="2" t="s">
        <v>1861</v>
      </c>
      <c r="I766" s="2" t="s">
        <v>1652</v>
      </c>
      <c r="J766" s="2" t="s">
        <v>1862</v>
      </c>
      <c r="K766" s="2" t="s">
        <v>39</v>
      </c>
      <c r="L766" s="2" t="s">
        <v>57</v>
      </c>
      <c r="M766" s="2">
        <v>5620701</v>
      </c>
      <c r="N766" s="2" t="s">
        <v>218</v>
      </c>
      <c r="O766" s="2" t="s">
        <v>225</v>
      </c>
      <c r="P766" s="2" t="s">
        <v>194</v>
      </c>
      <c r="Q766" s="4">
        <v>12966</v>
      </c>
      <c r="R766" s="2" t="s">
        <v>62</v>
      </c>
      <c r="S766" s="2">
        <v>8</v>
      </c>
      <c r="T766" s="2" t="s">
        <v>33</v>
      </c>
      <c r="U766" s="2" t="s">
        <v>34</v>
      </c>
      <c r="V766" s="29">
        <v>53802936</v>
      </c>
      <c r="W766" s="20">
        <v>26902000</v>
      </c>
      <c r="X766" s="2" t="s">
        <v>2673</v>
      </c>
      <c r="Y766" s="30">
        <f t="shared" si="22"/>
        <v>26900936</v>
      </c>
      <c r="Z766" s="41">
        <f t="shared" si="23"/>
        <v>0.50000988793622714</v>
      </c>
    </row>
    <row r="767" spans="1:26">
      <c r="A767" s="2">
        <v>765</v>
      </c>
      <c r="B767" s="2">
        <v>3114825</v>
      </c>
      <c r="C767" s="2">
        <v>30105780630038</v>
      </c>
      <c r="D767" s="2" t="s">
        <v>145</v>
      </c>
      <c r="E767" s="2">
        <v>1859035</v>
      </c>
      <c r="F767" s="2">
        <v>983030169</v>
      </c>
      <c r="G767" s="3">
        <v>28611</v>
      </c>
      <c r="H767" s="2" t="s">
        <v>1863</v>
      </c>
      <c r="I767" s="2" t="s">
        <v>1167</v>
      </c>
      <c r="J767" s="2" t="s">
        <v>1864</v>
      </c>
      <c r="K767" s="2" t="s">
        <v>39</v>
      </c>
      <c r="L767" s="2" t="s">
        <v>57</v>
      </c>
      <c r="M767" s="2">
        <v>5620200</v>
      </c>
      <c r="N767" s="2" t="s">
        <v>58</v>
      </c>
      <c r="O767" s="2">
        <v>42</v>
      </c>
      <c r="P767" s="2" t="s">
        <v>60</v>
      </c>
      <c r="Q767" s="2" t="s">
        <v>591</v>
      </c>
      <c r="R767" s="2" t="s">
        <v>62</v>
      </c>
      <c r="S767" s="2">
        <v>8</v>
      </c>
      <c r="T767" s="2" t="s">
        <v>33</v>
      </c>
      <c r="U767" s="2" t="s">
        <v>34</v>
      </c>
      <c r="V767" s="32">
        <v>119562080</v>
      </c>
      <c r="Y767" s="30">
        <f t="shared" si="22"/>
        <v>119562080</v>
      </c>
      <c r="Z767" s="41">
        <f t="shared" si="23"/>
        <v>0</v>
      </c>
    </row>
    <row r="768" spans="1:26" ht="26.25">
      <c r="A768" s="2">
        <v>766</v>
      </c>
      <c r="B768" s="2">
        <v>3658505</v>
      </c>
      <c r="C768" s="2">
        <v>52306045350010</v>
      </c>
      <c r="D768" s="2" t="s">
        <v>22</v>
      </c>
      <c r="E768" s="2">
        <v>2369291</v>
      </c>
      <c r="F768" s="2">
        <v>930592734</v>
      </c>
      <c r="G768" s="3">
        <v>38161</v>
      </c>
      <c r="H768" s="2" t="s">
        <v>1865</v>
      </c>
      <c r="I768" s="2" t="s">
        <v>1167</v>
      </c>
      <c r="J768" s="2" t="s">
        <v>1866</v>
      </c>
      <c r="K768" s="2" t="s">
        <v>26</v>
      </c>
      <c r="L768" s="2" t="s">
        <v>27</v>
      </c>
      <c r="M768" s="2">
        <v>5310602</v>
      </c>
      <c r="N768" s="2" t="s">
        <v>518</v>
      </c>
      <c r="O768" s="2">
        <v>63</v>
      </c>
      <c r="P768" s="2" t="s">
        <v>88</v>
      </c>
      <c r="Q768" s="5">
        <v>44317</v>
      </c>
      <c r="R768" s="2" t="s">
        <v>53</v>
      </c>
      <c r="S768" s="2">
        <v>8</v>
      </c>
      <c r="T768" s="2" t="s">
        <v>33</v>
      </c>
      <c r="U768" s="2" t="s">
        <v>34</v>
      </c>
      <c r="V768" s="32">
        <v>9618915</v>
      </c>
      <c r="W768" s="24">
        <v>9620000</v>
      </c>
      <c r="X768" s="14" t="s">
        <v>2643</v>
      </c>
      <c r="Y768" s="30">
        <f t="shared" si="22"/>
        <v>-1085</v>
      </c>
      <c r="Z768" s="41">
        <f t="shared" si="23"/>
        <v>1.0001127985848717</v>
      </c>
    </row>
    <row r="769" spans="1:26" ht="26.25">
      <c r="A769" s="2">
        <v>767</v>
      </c>
      <c r="B769" s="2">
        <v>3791838</v>
      </c>
      <c r="C769" s="2">
        <v>41202951640024</v>
      </c>
      <c r="D769" s="2" t="s">
        <v>145</v>
      </c>
      <c r="E769" s="2">
        <v>5724354</v>
      </c>
      <c r="F769" s="2">
        <v>981509200</v>
      </c>
      <c r="G769" s="3">
        <v>34742</v>
      </c>
      <c r="H769" s="2" t="s">
        <v>1867</v>
      </c>
      <c r="I769" s="2" t="s">
        <v>579</v>
      </c>
      <c r="J769" s="2" t="s">
        <v>1868</v>
      </c>
      <c r="K769" s="2" t="s">
        <v>39</v>
      </c>
      <c r="L769" s="2" t="s">
        <v>27</v>
      </c>
      <c r="M769" s="2">
        <v>5320102</v>
      </c>
      <c r="N769" s="2" t="s">
        <v>138</v>
      </c>
      <c r="O769" s="2" t="s">
        <v>194</v>
      </c>
      <c r="P769" s="2" t="s">
        <v>140</v>
      </c>
      <c r="Q769" s="5">
        <v>44471</v>
      </c>
      <c r="R769" s="2" t="s">
        <v>62</v>
      </c>
      <c r="S769" s="2">
        <v>8</v>
      </c>
      <c r="T769" s="2" t="s">
        <v>33</v>
      </c>
      <c r="U769" s="2" t="s">
        <v>34</v>
      </c>
      <c r="V769" s="32">
        <v>18681575</v>
      </c>
      <c r="Y769" s="30">
        <f t="shared" si="22"/>
        <v>18681575</v>
      </c>
      <c r="Z769" s="41">
        <f t="shared" si="23"/>
        <v>0</v>
      </c>
    </row>
    <row r="770" spans="1:26" ht="26.25">
      <c r="A770" s="2">
        <v>768</v>
      </c>
      <c r="B770" s="2">
        <v>3440437</v>
      </c>
      <c r="C770" s="2">
        <v>50906036770038</v>
      </c>
      <c r="D770" s="2" t="s">
        <v>22</v>
      </c>
      <c r="E770" s="2">
        <v>2590719</v>
      </c>
      <c r="F770" s="2">
        <v>996045939</v>
      </c>
      <c r="G770" s="3">
        <v>37781</v>
      </c>
      <c r="H770" s="2" t="s">
        <v>466</v>
      </c>
      <c r="I770" s="2" t="s">
        <v>1869</v>
      </c>
      <c r="J770" s="2" t="s">
        <v>143</v>
      </c>
      <c r="K770" s="2" t="s">
        <v>26</v>
      </c>
      <c r="L770" s="2" t="s">
        <v>27</v>
      </c>
      <c r="M770" s="2">
        <v>5310601</v>
      </c>
      <c r="N770" s="2" t="s">
        <v>153</v>
      </c>
      <c r="O770" s="2" t="s">
        <v>60</v>
      </c>
      <c r="P770" s="2" t="s">
        <v>584</v>
      </c>
      <c r="Q770" s="2" t="s">
        <v>469</v>
      </c>
      <c r="R770" s="2" t="s">
        <v>53</v>
      </c>
      <c r="S770" s="2">
        <v>8</v>
      </c>
      <c r="T770" s="2" t="s">
        <v>33</v>
      </c>
      <c r="U770" s="2" t="s">
        <v>34</v>
      </c>
      <c r="V770" s="32">
        <v>51300880</v>
      </c>
      <c r="Y770" s="30">
        <f t="shared" si="22"/>
        <v>51300880</v>
      </c>
      <c r="Z770" s="41">
        <f t="shared" si="23"/>
        <v>0</v>
      </c>
    </row>
    <row r="771" spans="1:26">
      <c r="A771" s="2">
        <v>769</v>
      </c>
      <c r="B771" s="2">
        <v>2917483</v>
      </c>
      <c r="C771" s="2">
        <v>51212026820014</v>
      </c>
      <c r="D771" s="2" t="s">
        <v>22</v>
      </c>
      <c r="E771" s="2">
        <v>1523018</v>
      </c>
      <c r="F771" s="2">
        <v>888789848</v>
      </c>
      <c r="G771" s="3">
        <v>37602</v>
      </c>
      <c r="H771" s="2" t="s">
        <v>1870</v>
      </c>
      <c r="I771" s="2" t="s">
        <v>266</v>
      </c>
      <c r="J771" s="2" t="s">
        <v>618</v>
      </c>
      <c r="K771" s="2" t="s">
        <v>26</v>
      </c>
      <c r="L771" s="2" t="s">
        <v>27</v>
      </c>
      <c r="M771" s="2">
        <v>5330600</v>
      </c>
      <c r="N771" s="2" t="s">
        <v>131</v>
      </c>
      <c r="O771" s="2" t="s">
        <v>792</v>
      </c>
      <c r="P771" s="2" t="s">
        <v>132</v>
      </c>
      <c r="Q771" s="2" t="s">
        <v>223</v>
      </c>
      <c r="R771" s="2" t="s">
        <v>134</v>
      </c>
      <c r="S771" s="2">
        <v>10</v>
      </c>
      <c r="T771" s="2" t="s">
        <v>33</v>
      </c>
      <c r="U771" s="2" t="s">
        <v>34</v>
      </c>
      <c r="V771" s="32">
        <v>182598600</v>
      </c>
      <c r="Y771" s="30">
        <f t="shared" si="22"/>
        <v>182598600</v>
      </c>
      <c r="Z771" s="41">
        <f t="shared" si="23"/>
        <v>0</v>
      </c>
    </row>
    <row r="772" spans="1:26" ht="26.25">
      <c r="A772" s="2">
        <v>770</v>
      </c>
      <c r="B772" s="2">
        <v>1759291</v>
      </c>
      <c r="C772" s="2">
        <v>31003976500035</v>
      </c>
      <c r="D772" s="2" t="s">
        <v>145</v>
      </c>
      <c r="E772" s="2">
        <v>1245536</v>
      </c>
      <c r="F772" s="2">
        <v>983612822</v>
      </c>
      <c r="G772" s="3">
        <v>35499</v>
      </c>
      <c r="H772" s="2" t="s">
        <v>260</v>
      </c>
      <c r="I772" s="2" t="s">
        <v>1871</v>
      </c>
      <c r="J772" s="2" t="s">
        <v>618</v>
      </c>
      <c r="K772" s="2" t="s">
        <v>39</v>
      </c>
      <c r="L772" s="2" t="s">
        <v>57</v>
      </c>
      <c r="M772" s="2">
        <v>5310601</v>
      </c>
      <c r="N772" s="2" t="s">
        <v>153</v>
      </c>
      <c r="O772" s="2" t="s">
        <v>296</v>
      </c>
      <c r="P772" s="2" t="s">
        <v>155</v>
      </c>
      <c r="Q772" s="4">
        <v>20394</v>
      </c>
      <c r="R772" s="2" t="s">
        <v>62</v>
      </c>
      <c r="S772" s="2">
        <v>8</v>
      </c>
      <c r="T772" s="2" t="s">
        <v>33</v>
      </c>
      <c r="U772" s="2" t="s">
        <v>34</v>
      </c>
      <c r="V772" s="32">
        <v>53802936</v>
      </c>
      <c r="W772" s="21">
        <v>30000000</v>
      </c>
      <c r="X772" s="10" t="s">
        <v>2633</v>
      </c>
      <c r="Y772" s="30">
        <f t="shared" ref="Y772:Y835" si="24">V772-W772</f>
        <v>23802936</v>
      </c>
      <c r="Z772" s="41">
        <f t="shared" ref="Z772:Z835" si="25">W772/V772</f>
        <v>0.55759038874755829</v>
      </c>
    </row>
    <row r="773" spans="1:26" ht="39">
      <c r="A773" s="2">
        <v>771</v>
      </c>
      <c r="B773" s="2">
        <v>1465246</v>
      </c>
      <c r="C773" s="2">
        <v>30812977020029</v>
      </c>
      <c r="D773" s="2" t="s">
        <v>145</v>
      </c>
      <c r="E773" s="2">
        <v>8109060</v>
      </c>
      <c r="F773" s="2">
        <v>998289798</v>
      </c>
      <c r="G773" s="3">
        <v>35772</v>
      </c>
      <c r="H773" s="2" t="s">
        <v>1872</v>
      </c>
      <c r="I773" s="2" t="s">
        <v>1873</v>
      </c>
      <c r="J773" s="2" t="s">
        <v>1874</v>
      </c>
      <c r="K773" s="2" t="s">
        <v>26</v>
      </c>
      <c r="L773" s="2" t="s">
        <v>27</v>
      </c>
      <c r="M773" s="2">
        <v>5340605</v>
      </c>
      <c r="N773" s="2" t="s">
        <v>40</v>
      </c>
      <c r="O773" s="2" t="s">
        <v>60</v>
      </c>
      <c r="P773" s="2" t="s">
        <v>73</v>
      </c>
      <c r="Q773" s="5">
        <v>44492</v>
      </c>
      <c r="R773" s="2" t="s">
        <v>93</v>
      </c>
      <c r="S773" s="2">
        <v>8</v>
      </c>
      <c r="T773" s="2" t="s">
        <v>33</v>
      </c>
      <c r="U773" s="2" t="s">
        <v>34</v>
      </c>
      <c r="V773" s="32">
        <v>51061968</v>
      </c>
      <c r="W773" s="20">
        <f>26000000+24931968+130000</f>
        <v>51061968</v>
      </c>
      <c r="X773" s="2" t="s">
        <v>2907</v>
      </c>
      <c r="Y773" s="30">
        <f t="shared" si="24"/>
        <v>0</v>
      </c>
      <c r="Z773" s="41">
        <f t="shared" si="25"/>
        <v>1</v>
      </c>
    </row>
    <row r="774" spans="1:26" ht="26.25">
      <c r="A774" s="2">
        <v>772</v>
      </c>
      <c r="B774" s="2">
        <v>1032783</v>
      </c>
      <c r="C774" s="2">
        <v>50805026600051</v>
      </c>
      <c r="D774" s="2" t="s">
        <v>45</v>
      </c>
      <c r="E774" s="2">
        <v>9744041</v>
      </c>
      <c r="F774" s="2">
        <v>909737391</v>
      </c>
      <c r="G774" s="3">
        <v>37384</v>
      </c>
      <c r="H774" s="2" t="s">
        <v>1090</v>
      </c>
      <c r="I774" s="2" t="s">
        <v>400</v>
      </c>
      <c r="J774" s="2" t="s">
        <v>933</v>
      </c>
      <c r="K774" s="2" t="s">
        <v>39</v>
      </c>
      <c r="L774" s="2" t="s">
        <v>27</v>
      </c>
      <c r="M774" s="2">
        <v>5340202</v>
      </c>
      <c r="N774" s="2" t="s">
        <v>499</v>
      </c>
      <c r="O774" s="2" t="s">
        <v>241</v>
      </c>
      <c r="P774" s="2" t="s">
        <v>490</v>
      </c>
      <c r="Q774" s="2" t="s">
        <v>81</v>
      </c>
      <c r="R774" s="2" t="s">
        <v>44</v>
      </c>
      <c r="S774" s="2">
        <v>8</v>
      </c>
      <c r="T774" s="2" t="s">
        <v>33</v>
      </c>
      <c r="U774" s="2" t="s">
        <v>34</v>
      </c>
      <c r="V774" s="32">
        <v>65759144</v>
      </c>
      <c r="Y774" s="30">
        <f t="shared" si="24"/>
        <v>65759144</v>
      </c>
      <c r="Z774" s="41">
        <f t="shared" si="25"/>
        <v>0</v>
      </c>
    </row>
    <row r="775" spans="1:26" ht="15.75">
      <c r="A775" s="2">
        <v>773</v>
      </c>
      <c r="B775" s="2">
        <v>3444247</v>
      </c>
      <c r="C775" s="2">
        <v>51606047170087</v>
      </c>
      <c r="D775" s="2" t="s">
        <v>74</v>
      </c>
      <c r="E775" s="2">
        <v>179307</v>
      </c>
      <c r="F775" s="2">
        <v>900771182</v>
      </c>
      <c r="G775" s="3">
        <v>38154</v>
      </c>
      <c r="H775" s="2" t="s">
        <v>1875</v>
      </c>
      <c r="I775" s="2" t="s">
        <v>1876</v>
      </c>
      <c r="J775" s="2" t="s">
        <v>1877</v>
      </c>
      <c r="K775" s="2" t="s">
        <v>26</v>
      </c>
      <c r="L775" s="2" t="s">
        <v>27</v>
      </c>
      <c r="M775" s="2">
        <v>5340601</v>
      </c>
      <c r="N775" s="2" t="s">
        <v>110</v>
      </c>
      <c r="O775" s="2" t="s">
        <v>253</v>
      </c>
      <c r="P775" s="2" t="s">
        <v>402</v>
      </c>
      <c r="Q775" s="2" t="s">
        <v>709</v>
      </c>
      <c r="R775" s="2" t="s">
        <v>93</v>
      </c>
      <c r="S775" s="2">
        <v>8</v>
      </c>
      <c r="T775" s="2" t="s">
        <v>33</v>
      </c>
      <c r="U775" s="2" t="s">
        <v>34</v>
      </c>
      <c r="V775" s="32">
        <v>102123936</v>
      </c>
      <c r="W775" s="21">
        <v>51065000</v>
      </c>
      <c r="X775" s="11" t="s">
        <v>2662</v>
      </c>
      <c r="Y775" s="30">
        <f t="shared" si="24"/>
        <v>51058936</v>
      </c>
      <c r="Z775" s="41">
        <f t="shared" si="25"/>
        <v>0.50002968941580939</v>
      </c>
    </row>
    <row r="776" spans="1:26">
      <c r="A776" s="2">
        <v>774</v>
      </c>
      <c r="B776" s="2">
        <v>2933382</v>
      </c>
      <c r="C776" s="2">
        <v>32106942870037</v>
      </c>
      <c r="D776" s="2" t="s">
        <v>145</v>
      </c>
      <c r="E776" s="2">
        <v>2104857</v>
      </c>
      <c r="F776" s="2">
        <v>945517678</v>
      </c>
      <c r="G776" s="3">
        <v>34506</v>
      </c>
      <c r="H776" s="2" t="s">
        <v>409</v>
      </c>
      <c r="I776" s="2" t="s">
        <v>1878</v>
      </c>
      <c r="J776" s="2" t="s">
        <v>1669</v>
      </c>
      <c r="K776" s="2" t="s">
        <v>39</v>
      </c>
      <c r="L776" s="2" t="s">
        <v>27</v>
      </c>
      <c r="M776" s="2">
        <v>5620400</v>
      </c>
      <c r="N776" s="2" t="s">
        <v>103</v>
      </c>
      <c r="O776" s="2">
        <v>63</v>
      </c>
      <c r="P776" s="2" t="s">
        <v>123</v>
      </c>
      <c r="Q776" s="2" t="s">
        <v>253</v>
      </c>
      <c r="R776" s="2" t="s">
        <v>62</v>
      </c>
      <c r="S776" s="2">
        <v>8</v>
      </c>
      <c r="T776" s="2" t="s">
        <v>33</v>
      </c>
      <c r="U776" s="2" t="s">
        <v>34</v>
      </c>
      <c r="V776" s="32">
        <v>59781040</v>
      </c>
      <c r="Y776" s="30">
        <f t="shared" si="24"/>
        <v>59781040</v>
      </c>
      <c r="Z776" s="41">
        <f t="shared" si="25"/>
        <v>0</v>
      </c>
    </row>
    <row r="777" spans="1:26">
      <c r="A777" s="2">
        <v>775</v>
      </c>
      <c r="B777" s="2">
        <v>1117173</v>
      </c>
      <c r="C777" s="2">
        <v>32004985740059</v>
      </c>
      <c r="D777" s="2" t="s">
        <v>145</v>
      </c>
      <c r="E777" s="2">
        <v>7509522</v>
      </c>
      <c r="F777" s="2">
        <v>973150711</v>
      </c>
      <c r="G777" s="3">
        <v>35905</v>
      </c>
      <c r="H777" s="2" t="s">
        <v>1789</v>
      </c>
      <c r="I777" s="2" t="s">
        <v>1879</v>
      </c>
      <c r="J777" s="2" t="s">
        <v>1880</v>
      </c>
      <c r="K777" s="2" t="s">
        <v>39</v>
      </c>
      <c r="L777" s="2" t="s">
        <v>27</v>
      </c>
      <c r="M777" s="2">
        <v>5620400</v>
      </c>
      <c r="N777" s="2" t="s">
        <v>103</v>
      </c>
      <c r="O777" s="2" t="s">
        <v>50</v>
      </c>
      <c r="P777" s="2" t="s">
        <v>123</v>
      </c>
      <c r="Q777" s="2" t="s">
        <v>310</v>
      </c>
      <c r="R777" s="2" t="s">
        <v>62</v>
      </c>
      <c r="S777" s="2">
        <v>8</v>
      </c>
      <c r="T777" s="2" t="s">
        <v>33</v>
      </c>
      <c r="U777" s="2" t="s">
        <v>34</v>
      </c>
      <c r="V777" s="32">
        <v>119562080</v>
      </c>
      <c r="Y777" s="30">
        <f t="shared" si="24"/>
        <v>119562080</v>
      </c>
      <c r="Z777" s="41">
        <f t="shared" si="25"/>
        <v>0</v>
      </c>
    </row>
    <row r="778" spans="1:26" ht="39">
      <c r="A778" s="2">
        <v>776</v>
      </c>
      <c r="B778" s="2">
        <v>1624833</v>
      </c>
      <c r="C778" s="2">
        <v>32910996770023</v>
      </c>
      <c r="D778" s="2" t="s">
        <v>45</v>
      </c>
      <c r="E778" s="2">
        <v>4003355</v>
      </c>
      <c r="F778" s="2">
        <v>933947722</v>
      </c>
      <c r="G778" s="3">
        <v>36462</v>
      </c>
      <c r="H778" s="2" t="s">
        <v>94</v>
      </c>
      <c r="I778" s="2" t="s">
        <v>1881</v>
      </c>
      <c r="J778" s="2" t="s">
        <v>1882</v>
      </c>
      <c r="K778" s="2" t="s">
        <v>39</v>
      </c>
      <c r="L778" s="2" t="s">
        <v>27</v>
      </c>
      <c r="M778" s="2">
        <v>5320200</v>
      </c>
      <c r="N778" s="2" t="s">
        <v>66</v>
      </c>
      <c r="O778" s="2">
        <v>63</v>
      </c>
      <c r="P778" s="2" t="s">
        <v>68</v>
      </c>
      <c r="Q778" s="5">
        <v>44338</v>
      </c>
      <c r="R778" s="2" t="s">
        <v>62</v>
      </c>
      <c r="S778" s="2">
        <v>8</v>
      </c>
      <c r="T778" s="2" t="s">
        <v>33</v>
      </c>
      <c r="U778" s="2" t="s">
        <v>34</v>
      </c>
      <c r="V778" s="29">
        <v>53802936</v>
      </c>
      <c r="W778" s="21">
        <f>27000000+4300000+3200000+3200000</f>
        <v>37700000</v>
      </c>
      <c r="X778" s="10" t="s">
        <v>2873</v>
      </c>
      <c r="Y778" s="30">
        <f t="shared" si="24"/>
        <v>16102936</v>
      </c>
      <c r="Z778" s="41">
        <f t="shared" si="25"/>
        <v>0.70070525519276494</v>
      </c>
    </row>
    <row r="779" spans="1:26" ht="26.25">
      <c r="A779" s="2">
        <v>777</v>
      </c>
      <c r="B779" s="2">
        <v>2923864</v>
      </c>
      <c r="C779" s="2">
        <v>42710881140073</v>
      </c>
      <c r="D779" s="2" t="s">
        <v>145</v>
      </c>
      <c r="E779" s="2">
        <v>4906662</v>
      </c>
      <c r="F779" s="2">
        <v>903256465</v>
      </c>
      <c r="G779" s="3">
        <v>32443</v>
      </c>
      <c r="H779" s="2" t="s">
        <v>1883</v>
      </c>
      <c r="I779" s="2" t="s">
        <v>1884</v>
      </c>
      <c r="J779" s="2" t="s">
        <v>1885</v>
      </c>
      <c r="K779" s="2" t="s">
        <v>39</v>
      </c>
      <c r="L779" s="2" t="s">
        <v>27</v>
      </c>
      <c r="M779" s="2">
        <v>5330202</v>
      </c>
      <c r="N779" s="2" t="s">
        <v>164</v>
      </c>
      <c r="O779" s="2" t="s">
        <v>88</v>
      </c>
      <c r="P779" s="2" t="s">
        <v>123</v>
      </c>
      <c r="Q779" s="2" t="s">
        <v>500</v>
      </c>
      <c r="R779" s="2" t="s">
        <v>44</v>
      </c>
      <c r="S779" s="2">
        <v>10</v>
      </c>
      <c r="T779" s="2" t="s">
        <v>33</v>
      </c>
      <c r="U779" s="2" t="s">
        <v>34</v>
      </c>
      <c r="V779" s="32">
        <v>82198930</v>
      </c>
      <c r="Y779" s="30">
        <f t="shared" si="24"/>
        <v>82198930</v>
      </c>
      <c r="Z779" s="41">
        <f t="shared" si="25"/>
        <v>0</v>
      </c>
    </row>
    <row r="780" spans="1:26" ht="26.25">
      <c r="A780" s="2">
        <v>778</v>
      </c>
      <c r="B780" s="2">
        <v>2050596</v>
      </c>
      <c r="C780" s="2">
        <v>30801860520018</v>
      </c>
      <c r="D780" s="2" t="s">
        <v>45</v>
      </c>
      <c r="E780" s="2">
        <v>9486279</v>
      </c>
      <c r="F780" s="2">
        <v>998320801</v>
      </c>
      <c r="G780" s="3">
        <v>31420</v>
      </c>
      <c r="H780" s="2" t="s">
        <v>403</v>
      </c>
      <c r="I780" s="2" t="s">
        <v>1886</v>
      </c>
      <c r="J780" s="2" t="s">
        <v>1887</v>
      </c>
      <c r="K780" s="2" t="s">
        <v>39</v>
      </c>
      <c r="L780" s="2" t="s">
        <v>27</v>
      </c>
      <c r="M780" s="2">
        <v>5340605</v>
      </c>
      <c r="N780" s="2" t="s">
        <v>40</v>
      </c>
      <c r="O780" s="2" t="s">
        <v>198</v>
      </c>
      <c r="P780" s="2" t="s">
        <v>42</v>
      </c>
      <c r="Q780" s="2" t="s">
        <v>775</v>
      </c>
      <c r="R780" s="2" t="s">
        <v>44</v>
      </c>
      <c r="S780" s="2">
        <v>8</v>
      </c>
      <c r="T780" s="2" t="s">
        <v>33</v>
      </c>
      <c r="U780" s="2" t="s">
        <v>34</v>
      </c>
      <c r="V780" s="29">
        <v>59183229.600000001</v>
      </c>
      <c r="W780" s="20">
        <f>29591615+14800000</f>
        <v>44391615</v>
      </c>
      <c r="X780" s="2" t="s">
        <v>2914</v>
      </c>
      <c r="Y780" s="30">
        <f t="shared" si="24"/>
        <v>14791614.600000001</v>
      </c>
      <c r="Z780" s="41">
        <f t="shared" si="25"/>
        <v>0.75007084439339211</v>
      </c>
    </row>
    <row r="781" spans="1:26">
      <c r="A781" s="2">
        <v>779</v>
      </c>
      <c r="B781" s="2">
        <v>3754815</v>
      </c>
      <c r="C781" s="2">
        <v>50412036830031</v>
      </c>
      <c r="D781" s="2" t="s">
        <v>22</v>
      </c>
      <c r="E781" s="2">
        <v>2709210</v>
      </c>
      <c r="F781" s="2">
        <v>949340413</v>
      </c>
      <c r="G781" s="3">
        <v>37959</v>
      </c>
      <c r="H781" s="2" t="s">
        <v>1888</v>
      </c>
      <c r="I781" s="2" t="s">
        <v>1889</v>
      </c>
      <c r="J781" s="2" t="s">
        <v>1086</v>
      </c>
      <c r="K781" s="2" t="s">
        <v>26</v>
      </c>
      <c r="L781" s="2" t="s">
        <v>27</v>
      </c>
      <c r="M781" s="2">
        <v>5240109</v>
      </c>
      <c r="N781" s="2" t="s">
        <v>28</v>
      </c>
      <c r="O781" s="2" t="s">
        <v>408</v>
      </c>
      <c r="P781" s="2" t="s">
        <v>30</v>
      </c>
      <c r="Q781" s="2" t="s">
        <v>1890</v>
      </c>
      <c r="R781" s="2" t="s">
        <v>32</v>
      </c>
      <c r="S781" s="2">
        <v>25</v>
      </c>
      <c r="T781" s="2" t="s">
        <v>33</v>
      </c>
      <c r="U781" s="2" t="s">
        <v>34</v>
      </c>
      <c r="V781" s="32">
        <v>245231500</v>
      </c>
      <c r="Y781" s="30">
        <f t="shared" si="24"/>
        <v>245231500</v>
      </c>
      <c r="Z781" s="41">
        <f t="shared" si="25"/>
        <v>0</v>
      </c>
    </row>
    <row r="782" spans="1:26" ht="39">
      <c r="A782" s="2">
        <v>780</v>
      </c>
      <c r="B782" s="2">
        <v>3705711</v>
      </c>
      <c r="C782" s="2">
        <v>51305016030026</v>
      </c>
      <c r="D782" s="2" t="s">
        <v>45</v>
      </c>
      <c r="E782" s="2">
        <v>6734252</v>
      </c>
      <c r="F782" s="2">
        <v>995988448</v>
      </c>
      <c r="G782" s="3">
        <v>37024</v>
      </c>
      <c r="H782" s="2" t="s">
        <v>466</v>
      </c>
      <c r="I782" s="2" t="s">
        <v>1891</v>
      </c>
      <c r="J782" s="2" t="s">
        <v>1892</v>
      </c>
      <c r="K782" s="2" t="s">
        <v>26</v>
      </c>
      <c r="L782" s="2" t="s">
        <v>27</v>
      </c>
      <c r="M782" s="2">
        <v>5620400</v>
      </c>
      <c r="N782" s="2" t="s">
        <v>103</v>
      </c>
      <c r="O782" s="2">
        <v>63</v>
      </c>
      <c r="P782" s="2" t="s">
        <v>105</v>
      </c>
      <c r="Q782" s="2" t="s">
        <v>818</v>
      </c>
      <c r="R782" s="2" t="s">
        <v>53</v>
      </c>
      <c r="S782" s="2">
        <v>8</v>
      </c>
      <c r="T782" s="2" t="s">
        <v>33</v>
      </c>
      <c r="U782" s="2" t="s">
        <v>34</v>
      </c>
      <c r="V782" s="29">
        <v>46170792</v>
      </c>
      <c r="W782" s="20">
        <f>23085500+23017000+69700</f>
        <v>46172200</v>
      </c>
      <c r="X782" s="2" t="s">
        <v>2871</v>
      </c>
      <c r="Y782" s="30">
        <f t="shared" si="24"/>
        <v>-1408</v>
      </c>
      <c r="Z782" s="41">
        <f t="shared" si="25"/>
        <v>1.0000304954699499</v>
      </c>
    </row>
    <row r="783" spans="1:26">
      <c r="A783" s="2">
        <v>781</v>
      </c>
      <c r="B783" s="2">
        <v>1566797</v>
      </c>
      <c r="C783" s="2">
        <v>31201975300036</v>
      </c>
      <c r="D783" s="2" t="s">
        <v>145</v>
      </c>
      <c r="E783" s="2">
        <v>6935142</v>
      </c>
      <c r="F783" s="2">
        <v>908080197</v>
      </c>
      <c r="G783" s="3">
        <v>35442</v>
      </c>
      <c r="H783" s="2" t="s">
        <v>1893</v>
      </c>
      <c r="I783" s="2" t="s">
        <v>1405</v>
      </c>
      <c r="J783" s="2" t="s">
        <v>1894</v>
      </c>
      <c r="K783" s="2" t="s">
        <v>39</v>
      </c>
      <c r="L783" s="2" t="s">
        <v>27</v>
      </c>
      <c r="M783" s="2">
        <v>5310202</v>
      </c>
      <c r="N783" s="2" t="s">
        <v>86</v>
      </c>
      <c r="O783" s="2">
        <v>42</v>
      </c>
      <c r="P783" s="2" t="s">
        <v>219</v>
      </c>
      <c r="Q783" s="2" t="s">
        <v>281</v>
      </c>
      <c r="R783" s="2" t="s">
        <v>62</v>
      </c>
      <c r="S783" s="2">
        <v>8</v>
      </c>
      <c r="T783" s="2" t="s">
        <v>33</v>
      </c>
      <c r="U783" s="2" t="s">
        <v>34</v>
      </c>
      <c r="V783" s="32">
        <v>107605872</v>
      </c>
      <c r="W783" s="20">
        <v>60000000</v>
      </c>
      <c r="X783" s="2" t="s">
        <v>2680</v>
      </c>
      <c r="Y783" s="30">
        <f t="shared" si="24"/>
        <v>47605872</v>
      </c>
      <c r="Z783" s="41">
        <f t="shared" si="25"/>
        <v>0.55759038874755829</v>
      </c>
    </row>
    <row r="784" spans="1:26">
      <c r="A784" s="2">
        <v>782</v>
      </c>
      <c r="B784" s="2">
        <v>3101287</v>
      </c>
      <c r="C784" s="2">
        <v>52105006830035</v>
      </c>
      <c r="D784" s="2" t="s">
        <v>45</v>
      </c>
      <c r="E784" s="2">
        <v>4216333</v>
      </c>
      <c r="F784" s="2">
        <v>937720444</v>
      </c>
      <c r="G784" s="3">
        <v>36667</v>
      </c>
      <c r="H784" s="2" t="s">
        <v>1895</v>
      </c>
      <c r="I784" s="2" t="s">
        <v>721</v>
      </c>
      <c r="J784" s="2" t="s">
        <v>976</v>
      </c>
      <c r="K784" s="2" t="s">
        <v>26</v>
      </c>
      <c r="L784" s="2" t="s">
        <v>27</v>
      </c>
      <c r="M784" s="2">
        <v>5230105</v>
      </c>
      <c r="N784" s="2" t="s">
        <v>407</v>
      </c>
      <c r="O784" s="2" t="s">
        <v>179</v>
      </c>
      <c r="P784" s="2" t="s">
        <v>408</v>
      </c>
      <c r="Q784" s="2" t="s">
        <v>340</v>
      </c>
      <c r="R784" s="2" t="s">
        <v>134</v>
      </c>
      <c r="S784" s="2">
        <v>10</v>
      </c>
      <c r="T784" s="2" t="s">
        <v>33</v>
      </c>
      <c r="U784" s="2" t="s">
        <v>34</v>
      </c>
      <c r="V784" s="32">
        <v>82169370</v>
      </c>
      <c r="W784" s="20">
        <v>45650000</v>
      </c>
      <c r="X784" s="2" t="s">
        <v>2677</v>
      </c>
      <c r="Y784" s="30">
        <f t="shared" si="24"/>
        <v>36519370</v>
      </c>
      <c r="Z784" s="41">
        <f t="shared" si="25"/>
        <v>0.55555981505030405</v>
      </c>
    </row>
    <row r="785" spans="1:26" ht="15.75">
      <c r="A785" s="2">
        <v>783</v>
      </c>
      <c r="B785" s="2">
        <v>1230868</v>
      </c>
      <c r="C785" s="2">
        <v>30207986540055</v>
      </c>
      <c r="D785" s="2" t="s">
        <v>145</v>
      </c>
      <c r="E785" s="2">
        <v>8783845</v>
      </c>
      <c r="F785" s="2">
        <v>998403135</v>
      </c>
      <c r="G785" s="3">
        <v>35978</v>
      </c>
      <c r="H785" s="2" t="s">
        <v>1442</v>
      </c>
      <c r="I785" s="2" t="s">
        <v>678</v>
      </c>
      <c r="J785" s="2" t="s">
        <v>822</v>
      </c>
      <c r="K785" s="2" t="s">
        <v>39</v>
      </c>
      <c r="L785" s="2" t="s">
        <v>57</v>
      </c>
      <c r="M785" s="2">
        <v>5620101</v>
      </c>
      <c r="N785" s="2" t="s">
        <v>49</v>
      </c>
      <c r="O785" s="2" t="s">
        <v>155</v>
      </c>
      <c r="P785" s="2" t="s">
        <v>194</v>
      </c>
      <c r="Q785" s="5">
        <v>44471</v>
      </c>
      <c r="R785" s="2" t="s">
        <v>62</v>
      </c>
      <c r="S785" s="2">
        <v>8</v>
      </c>
      <c r="T785" s="2" t="s">
        <v>33</v>
      </c>
      <c r="U785" s="2" t="s">
        <v>34</v>
      </c>
      <c r="V785" s="32">
        <v>18681575</v>
      </c>
      <c r="W785" s="21">
        <v>9400000</v>
      </c>
      <c r="X785" s="10" t="s">
        <v>2709</v>
      </c>
      <c r="Y785" s="30">
        <f t="shared" si="24"/>
        <v>9281575</v>
      </c>
      <c r="Z785" s="41">
        <f t="shared" si="25"/>
        <v>0.50316956680579661</v>
      </c>
    </row>
    <row r="786" spans="1:26">
      <c r="A786" s="2">
        <v>784</v>
      </c>
      <c r="B786" s="2">
        <v>2811102</v>
      </c>
      <c r="C786" s="2">
        <v>51111026770014</v>
      </c>
      <c r="D786" s="2" t="s">
        <v>22</v>
      </c>
      <c r="E786" s="2">
        <v>217493</v>
      </c>
      <c r="F786" s="2">
        <v>944065697</v>
      </c>
      <c r="G786" s="3">
        <v>37571</v>
      </c>
      <c r="H786" s="2" t="s">
        <v>115</v>
      </c>
      <c r="I786" s="2" t="s">
        <v>1213</v>
      </c>
      <c r="J786" s="2" t="s">
        <v>1896</v>
      </c>
      <c r="K786" s="2" t="s">
        <v>26</v>
      </c>
      <c r="L786" s="2" t="s">
        <v>27</v>
      </c>
      <c r="M786" s="2">
        <v>5240109</v>
      </c>
      <c r="N786" s="2" t="s">
        <v>28</v>
      </c>
      <c r="O786" s="2" t="s">
        <v>194</v>
      </c>
      <c r="P786" s="2" t="s">
        <v>30</v>
      </c>
      <c r="Q786" s="2" t="s">
        <v>1897</v>
      </c>
      <c r="R786" s="2" t="s">
        <v>32</v>
      </c>
      <c r="S786" s="2">
        <v>25</v>
      </c>
      <c r="T786" s="2" t="s">
        <v>33</v>
      </c>
      <c r="U786" s="2" t="s">
        <v>34</v>
      </c>
      <c r="V786" s="32">
        <v>245231500</v>
      </c>
      <c r="Y786" s="30">
        <f t="shared" si="24"/>
        <v>245231500</v>
      </c>
      <c r="Z786" s="41">
        <f t="shared" si="25"/>
        <v>0</v>
      </c>
    </row>
    <row r="787" spans="1:26" ht="26.25">
      <c r="A787" s="2">
        <v>785</v>
      </c>
      <c r="B787" s="2">
        <v>3307261</v>
      </c>
      <c r="C787" s="2">
        <v>52402036800022</v>
      </c>
      <c r="D787" s="2" t="s">
        <v>22</v>
      </c>
      <c r="E787" s="2">
        <v>1685024</v>
      </c>
      <c r="F787" s="2">
        <v>998307123</v>
      </c>
      <c r="G787" s="3">
        <v>37676</v>
      </c>
      <c r="H787" s="2" t="s">
        <v>1898</v>
      </c>
      <c r="I787" s="2" t="s">
        <v>1899</v>
      </c>
      <c r="J787" s="2" t="s">
        <v>1900</v>
      </c>
      <c r="K787" s="2" t="s">
        <v>26</v>
      </c>
      <c r="L787" s="2" t="s">
        <v>57</v>
      </c>
      <c r="M787" s="2">
        <v>5310605</v>
      </c>
      <c r="N787" s="2" t="s">
        <v>97</v>
      </c>
      <c r="O787" s="2" t="s">
        <v>281</v>
      </c>
      <c r="P787" s="2" t="s">
        <v>41</v>
      </c>
      <c r="Q787" s="4">
        <v>16681</v>
      </c>
      <c r="R787" s="2" t="s">
        <v>53</v>
      </c>
      <c r="S787" s="2">
        <v>8</v>
      </c>
      <c r="T787" s="2" t="s">
        <v>33</v>
      </c>
      <c r="U787" s="2" t="s">
        <v>34</v>
      </c>
      <c r="V787" s="32">
        <v>102601760</v>
      </c>
      <c r="Y787" s="30">
        <f t="shared" si="24"/>
        <v>102601760</v>
      </c>
      <c r="Z787" s="41">
        <f t="shared" si="25"/>
        <v>0</v>
      </c>
    </row>
    <row r="788" spans="1:26" ht="26.25">
      <c r="A788" s="2">
        <v>786</v>
      </c>
      <c r="B788" s="2">
        <v>1532237</v>
      </c>
      <c r="C788" s="2">
        <v>50208015320062</v>
      </c>
      <c r="D788" s="2" t="s">
        <v>45</v>
      </c>
      <c r="E788" s="2">
        <v>9077310</v>
      </c>
      <c r="F788" s="2">
        <v>934557087</v>
      </c>
      <c r="G788" s="3">
        <v>37105</v>
      </c>
      <c r="H788" s="2" t="s">
        <v>1901</v>
      </c>
      <c r="I788" s="2" t="s">
        <v>76</v>
      </c>
      <c r="J788" s="2" t="s">
        <v>419</v>
      </c>
      <c r="K788" s="2" t="s">
        <v>26</v>
      </c>
      <c r="L788" s="2" t="s">
        <v>27</v>
      </c>
      <c r="M788" s="2">
        <v>5330202</v>
      </c>
      <c r="N788" s="2" t="s">
        <v>164</v>
      </c>
      <c r="O788" s="2" t="s">
        <v>179</v>
      </c>
      <c r="P788" s="2" t="s">
        <v>165</v>
      </c>
      <c r="Q788" s="2" t="s">
        <v>433</v>
      </c>
      <c r="R788" s="2" t="s">
        <v>93</v>
      </c>
      <c r="S788" s="2">
        <v>10</v>
      </c>
      <c r="T788" s="2" t="s">
        <v>33</v>
      </c>
      <c r="U788" s="2" t="s">
        <v>34</v>
      </c>
      <c r="V788" s="32">
        <v>70919400</v>
      </c>
      <c r="Y788" s="30">
        <f t="shared" si="24"/>
        <v>70919400</v>
      </c>
      <c r="Z788" s="41">
        <f t="shared" si="25"/>
        <v>0</v>
      </c>
    </row>
    <row r="789" spans="1:26">
      <c r="A789" s="2">
        <v>787</v>
      </c>
      <c r="B789" s="2">
        <v>3349170</v>
      </c>
      <c r="C789" s="2">
        <v>31407911140083</v>
      </c>
      <c r="D789" s="2" t="s">
        <v>45</v>
      </c>
      <c r="E789" s="2">
        <v>2818095</v>
      </c>
      <c r="F789" s="2">
        <v>991493274</v>
      </c>
      <c r="G789" s="3">
        <v>33433</v>
      </c>
      <c r="H789" s="2" t="s">
        <v>1902</v>
      </c>
      <c r="I789" s="2" t="s">
        <v>451</v>
      </c>
      <c r="J789" s="2" t="s">
        <v>1903</v>
      </c>
      <c r="K789" s="2" t="s">
        <v>39</v>
      </c>
      <c r="L789" s="2" t="s">
        <v>27</v>
      </c>
      <c r="M789" s="2">
        <v>5340603</v>
      </c>
      <c r="N789" s="2" t="s">
        <v>174</v>
      </c>
      <c r="O789" s="2" t="s">
        <v>155</v>
      </c>
      <c r="P789" s="2" t="s">
        <v>175</v>
      </c>
      <c r="Q789" s="4">
        <v>42064</v>
      </c>
      <c r="R789" s="2" t="s">
        <v>44</v>
      </c>
      <c r="S789" s="2">
        <v>8</v>
      </c>
      <c r="T789" s="2" t="s">
        <v>33</v>
      </c>
      <c r="U789" s="2" t="s">
        <v>34</v>
      </c>
      <c r="V789" s="32">
        <v>24659679</v>
      </c>
      <c r="Y789" s="30">
        <f t="shared" si="24"/>
        <v>24659679</v>
      </c>
      <c r="Z789" s="41">
        <f t="shared" si="25"/>
        <v>0</v>
      </c>
    </row>
    <row r="790" spans="1:26" ht="26.25">
      <c r="A790" s="2">
        <v>788</v>
      </c>
      <c r="B790" s="2">
        <v>1901156</v>
      </c>
      <c r="C790" s="2">
        <v>32610996790017</v>
      </c>
      <c r="D790" s="2" t="s">
        <v>45</v>
      </c>
      <c r="E790" s="2">
        <v>3754188</v>
      </c>
      <c r="F790" s="2">
        <v>950369926</v>
      </c>
      <c r="G790" s="3">
        <v>36459</v>
      </c>
      <c r="H790" s="2" t="s">
        <v>821</v>
      </c>
      <c r="I790" s="2" t="s">
        <v>1904</v>
      </c>
      <c r="J790" s="2" t="s">
        <v>1665</v>
      </c>
      <c r="K790" s="2" t="s">
        <v>26</v>
      </c>
      <c r="L790" s="2" t="s">
        <v>27</v>
      </c>
      <c r="M790" s="2">
        <v>5630103</v>
      </c>
      <c r="N790" s="2" t="s">
        <v>343</v>
      </c>
      <c r="O790" s="2" t="s">
        <v>88</v>
      </c>
      <c r="P790" s="2" t="s">
        <v>345</v>
      </c>
      <c r="Q790" s="2" t="s">
        <v>395</v>
      </c>
      <c r="R790" s="2" t="s">
        <v>53</v>
      </c>
      <c r="S790" s="2">
        <v>8</v>
      </c>
      <c r="T790" s="2" t="s">
        <v>33</v>
      </c>
      <c r="U790" s="2" t="s">
        <v>34</v>
      </c>
      <c r="V790" s="32">
        <v>51300880</v>
      </c>
      <c r="Y790" s="30">
        <f t="shared" si="24"/>
        <v>51300880</v>
      </c>
      <c r="Z790" s="41">
        <f t="shared" si="25"/>
        <v>0</v>
      </c>
    </row>
    <row r="791" spans="1:26">
      <c r="A791" s="2">
        <v>789</v>
      </c>
      <c r="B791" s="2">
        <v>3297183</v>
      </c>
      <c r="C791" s="2">
        <v>52207036350032</v>
      </c>
      <c r="D791" s="2" t="s">
        <v>22</v>
      </c>
      <c r="E791" s="2">
        <v>2275179</v>
      </c>
      <c r="F791" s="2">
        <v>936343979</v>
      </c>
      <c r="G791" s="3">
        <v>37824</v>
      </c>
      <c r="H791" s="2" t="s">
        <v>622</v>
      </c>
      <c r="I791" s="2" t="s">
        <v>1771</v>
      </c>
      <c r="J791" s="2" t="s">
        <v>521</v>
      </c>
      <c r="K791" s="2" t="s">
        <v>26</v>
      </c>
      <c r="L791" s="2" t="s">
        <v>27</v>
      </c>
      <c r="M791" s="2">
        <v>5314000</v>
      </c>
      <c r="N791" s="2" t="s">
        <v>522</v>
      </c>
      <c r="O791" s="2" t="s">
        <v>104</v>
      </c>
      <c r="P791" s="2" t="s">
        <v>771</v>
      </c>
      <c r="Q791" s="2" t="s">
        <v>972</v>
      </c>
      <c r="R791" s="2" t="s">
        <v>53</v>
      </c>
      <c r="S791" s="2">
        <v>8</v>
      </c>
      <c r="T791" s="2" t="s">
        <v>33</v>
      </c>
      <c r="U791" s="2" t="s">
        <v>34</v>
      </c>
      <c r="V791" s="29">
        <v>46170792</v>
      </c>
      <c r="W791" s="20">
        <v>23200000</v>
      </c>
      <c r="X791" s="2" t="s">
        <v>2680</v>
      </c>
      <c r="Y791" s="30">
        <f t="shared" si="24"/>
        <v>22970792</v>
      </c>
      <c r="Z791" s="41">
        <f t="shared" si="25"/>
        <v>0.50248217531117945</v>
      </c>
    </row>
    <row r="792" spans="1:26">
      <c r="A792" s="2">
        <v>790</v>
      </c>
      <c r="B792" s="2">
        <v>3400861</v>
      </c>
      <c r="C792" s="2">
        <v>52210035970059</v>
      </c>
      <c r="D792" s="2" t="s">
        <v>22</v>
      </c>
      <c r="E792" s="2">
        <v>2339910</v>
      </c>
      <c r="F792" s="2">
        <v>913505231</v>
      </c>
      <c r="G792" s="3">
        <v>37916</v>
      </c>
      <c r="H792" s="2" t="s">
        <v>1905</v>
      </c>
      <c r="I792" s="2" t="s">
        <v>948</v>
      </c>
      <c r="J792" s="2" t="s">
        <v>598</v>
      </c>
      <c r="K792" s="2" t="s">
        <v>26</v>
      </c>
      <c r="L792" s="2" t="s">
        <v>27</v>
      </c>
      <c r="M792" s="2">
        <v>5230407</v>
      </c>
      <c r="N792" s="2" t="s">
        <v>186</v>
      </c>
      <c r="O792" s="2" t="s">
        <v>68</v>
      </c>
      <c r="P792" s="2" t="s">
        <v>187</v>
      </c>
      <c r="Q792" s="4">
        <v>42064</v>
      </c>
      <c r="R792" s="2" t="s">
        <v>134</v>
      </c>
      <c r="S792" s="2">
        <v>10</v>
      </c>
      <c r="T792" s="2" t="s">
        <v>33</v>
      </c>
      <c r="U792" s="2" t="s">
        <v>34</v>
      </c>
      <c r="V792" s="32">
        <v>27389790</v>
      </c>
      <c r="Y792" s="30">
        <f t="shared" si="24"/>
        <v>27389790</v>
      </c>
      <c r="Z792" s="41">
        <f t="shared" si="25"/>
        <v>0</v>
      </c>
    </row>
    <row r="793" spans="1:26">
      <c r="A793" s="2">
        <v>791</v>
      </c>
      <c r="B793" s="2">
        <v>3577166</v>
      </c>
      <c r="C793" s="2">
        <v>31704801040026</v>
      </c>
      <c r="D793" s="2" t="s">
        <v>145</v>
      </c>
      <c r="E793" s="2">
        <v>875342</v>
      </c>
      <c r="F793" s="2">
        <v>935600568</v>
      </c>
      <c r="G793" s="3">
        <v>29328</v>
      </c>
      <c r="H793" s="2" t="s">
        <v>1906</v>
      </c>
      <c r="I793" s="2" t="s">
        <v>1907</v>
      </c>
      <c r="J793" s="2" t="s">
        <v>1908</v>
      </c>
      <c r="K793" s="2" t="s">
        <v>39</v>
      </c>
      <c r="L793" s="2" t="s">
        <v>27</v>
      </c>
      <c r="M793" s="2">
        <v>5310202</v>
      </c>
      <c r="N793" s="2" t="s">
        <v>86</v>
      </c>
      <c r="O793" s="2" t="s">
        <v>60</v>
      </c>
      <c r="P793" s="2" t="s">
        <v>219</v>
      </c>
      <c r="Q793" s="2" t="s">
        <v>391</v>
      </c>
      <c r="R793" s="2" t="s">
        <v>62</v>
      </c>
      <c r="S793" s="2">
        <v>8</v>
      </c>
      <c r="T793" s="2" t="s">
        <v>33</v>
      </c>
      <c r="U793" s="2" t="s">
        <v>34</v>
      </c>
      <c r="V793" s="32">
        <v>53802936</v>
      </c>
      <c r="W793" s="20">
        <v>27000000</v>
      </c>
      <c r="X793" s="2" t="s">
        <v>2672</v>
      </c>
      <c r="Y793" s="30">
        <f t="shared" si="24"/>
        <v>26802936</v>
      </c>
      <c r="Z793" s="41">
        <f t="shared" si="25"/>
        <v>0.50183134987280253</v>
      </c>
    </row>
    <row r="794" spans="1:26" ht="31.5">
      <c r="A794" s="2">
        <v>792</v>
      </c>
      <c r="B794" s="2">
        <v>2906084</v>
      </c>
      <c r="C794" s="2">
        <v>30705987160019</v>
      </c>
      <c r="D794" s="2" t="s">
        <v>145</v>
      </c>
      <c r="E794" s="2">
        <v>5969821</v>
      </c>
      <c r="F794" s="2">
        <v>995731707</v>
      </c>
      <c r="G794" s="3">
        <v>35922</v>
      </c>
      <c r="H794" s="2" t="s">
        <v>135</v>
      </c>
      <c r="I794" s="2" t="s">
        <v>1592</v>
      </c>
      <c r="J794" s="2" t="s">
        <v>1909</v>
      </c>
      <c r="K794" s="2" t="s">
        <v>39</v>
      </c>
      <c r="L794" s="2" t="s">
        <v>27</v>
      </c>
      <c r="M794" s="2">
        <v>5320102</v>
      </c>
      <c r="N794" s="2" t="s">
        <v>138</v>
      </c>
      <c r="O794" s="2" t="s">
        <v>175</v>
      </c>
      <c r="P794" s="2" t="s">
        <v>140</v>
      </c>
      <c r="Q794" s="5">
        <v>44317</v>
      </c>
      <c r="R794" s="2" t="s">
        <v>62</v>
      </c>
      <c r="S794" s="2">
        <v>8</v>
      </c>
      <c r="T794" s="2" t="s">
        <v>33</v>
      </c>
      <c r="U794" s="2" t="s">
        <v>34</v>
      </c>
      <c r="V794" s="32">
        <v>11208945</v>
      </c>
      <c r="W794" s="21">
        <f>5800000+3000000</f>
        <v>8800000</v>
      </c>
      <c r="X794" s="45" t="s">
        <v>2954</v>
      </c>
      <c r="Y794" s="30">
        <f t="shared" si="24"/>
        <v>2408945</v>
      </c>
      <c r="Z794" s="41">
        <f t="shared" si="25"/>
        <v>0.78508726735656209</v>
      </c>
    </row>
    <row r="795" spans="1:26" ht="26.25">
      <c r="A795" s="2">
        <v>793</v>
      </c>
      <c r="B795" s="2">
        <v>1661133</v>
      </c>
      <c r="C795" s="2">
        <v>30903932970034</v>
      </c>
      <c r="D795" s="2" t="s">
        <v>45</v>
      </c>
      <c r="E795" s="2">
        <v>416856</v>
      </c>
      <c r="F795" s="2">
        <v>950130864</v>
      </c>
      <c r="G795" s="3">
        <v>34037</v>
      </c>
      <c r="H795" s="2" t="s">
        <v>1104</v>
      </c>
      <c r="I795" s="2" t="s">
        <v>1910</v>
      </c>
      <c r="J795" s="2" t="s">
        <v>1911</v>
      </c>
      <c r="K795" s="2" t="s">
        <v>39</v>
      </c>
      <c r="L795" s="2" t="s">
        <v>27</v>
      </c>
      <c r="M795" s="2">
        <v>5310601</v>
      </c>
      <c r="N795" s="2" t="s">
        <v>153</v>
      </c>
      <c r="O795" s="2" t="s">
        <v>155</v>
      </c>
      <c r="P795" s="2" t="s">
        <v>79</v>
      </c>
      <c r="Q795" s="2" t="s">
        <v>591</v>
      </c>
      <c r="R795" s="2" t="s">
        <v>62</v>
      </c>
      <c r="S795" s="2">
        <v>8</v>
      </c>
      <c r="T795" s="2" t="s">
        <v>33</v>
      </c>
      <c r="U795" s="2" t="s">
        <v>34</v>
      </c>
      <c r="V795" s="32">
        <v>59781040</v>
      </c>
      <c r="Y795" s="30">
        <f t="shared" si="24"/>
        <v>59781040</v>
      </c>
      <c r="Z795" s="41">
        <f t="shared" si="25"/>
        <v>0</v>
      </c>
    </row>
    <row r="796" spans="1:26" ht="26.25">
      <c r="A796" s="2">
        <v>794</v>
      </c>
      <c r="B796" s="2">
        <v>3548276</v>
      </c>
      <c r="C796" s="2">
        <v>51706036910060</v>
      </c>
      <c r="D796" s="2" t="s">
        <v>22</v>
      </c>
      <c r="E796" s="2">
        <v>3197492</v>
      </c>
      <c r="F796" s="2">
        <v>994786340</v>
      </c>
      <c r="G796" s="3">
        <v>37789</v>
      </c>
      <c r="H796" s="2" t="s">
        <v>1912</v>
      </c>
      <c r="I796" s="2" t="s">
        <v>1913</v>
      </c>
      <c r="J796" s="2" t="s">
        <v>1914</v>
      </c>
      <c r="K796" s="2" t="s">
        <v>26</v>
      </c>
      <c r="L796" s="2" t="s">
        <v>27</v>
      </c>
      <c r="M796" s="2">
        <v>5314000</v>
      </c>
      <c r="N796" s="2" t="s">
        <v>522</v>
      </c>
      <c r="O796" s="2" t="s">
        <v>60</v>
      </c>
      <c r="P796" s="2" t="s">
        <v>771</v>
      </c>
      <c r="Q796" s="2" t="s">
        <v>709</v>
      </c>
      <c r="R796" s="2" t="s">
        <v>53</v>
      </c>
      <c r="S796" s="2">
        <v>8</v>
      </c>
      <c r="T796" s="2" t="s">
        <v>33</v>
      </c>
      <c r="U796" s="2" t="s">
        <v>34</v>
      </c>
      <c r="V796" s="29">
        <v>46170792</v>
      </c>
      <c r="W796" s="20">
        <v>23017450</v>
      </c>
      <c r="X796" s="2" t="s">
        <v>2710</v>
      </c>
      <c r="Y796" s="30">
        <f t="shared" si="24"/>
        <v>23153342</v>
      </c>
      <c r="Z796" s="41">
        <f t="shared" si="25"/>
        <v>0.49852837698777186</v>
      </c>
    </row>
    <row r="797" spans="1:26" ht="39">
      <c r="A797" s="2">
        <v>795</v>
      </c>
      <c r="B797" s="2">
        <v>2651592</v>
      </c>
      <c r="C797" s="2">
        <v>52304026400019</v>
      </c>
      <c r="D797" s="2" t="s">
        <v>45</v>
      </c>
      <c r="E797" s="2">
        <v>9673376</v>
      </c>
      <c r="F797" s="2">
        <v>999077210</v>
      </c>
      <c r="G797" s="3">
        <v>37369</v>
      </c>
      <c r="H797" s="2" t="s">
        <v>909</v>
      </c>
      <c r="I797" s="2" t="s">
        <v>1915</v>
      </c>
      <c r="J797" s="2" t="s">
        <v>1743</v>
      </c>
      <c r="K797" s="2" t="s">
        <v>39</v>
      </c>
      <c r="L797" s="2" t="s">
        <v>27</v>
      </c>
      <c r="M797" s="2">
        <v>5311003</v>
      </c>
      <c r="N797" s="2" t="s">
        <v>144</v>
      </c>
      <c r="O797" s="2" t="s">
        <v>207</v>
      </c>
      <c r="P797" s="2" t="s">
        <v>79</v>
      </c>
      <c r="Q797" s="2" t="s">
        <v>170</v>
      </c>
      <c r="R797" s="2" t="s">
        <v>62</v>
      </c>
      <c r="S797" s="2">
        <v>8</v>
      </c>
      <c r="T797" s="2" t="s">
        <v>33</v>
      </c>
      <c r="U797" s="2" t="s">
        <v>34</v>
      </c>
      <c r="V797" s="32">
        <v>59781040</v>
      </c>
      <c r="Y797" s="30">
        <f t="shared" si="24"/>
        <v>59781040</v>
      </c>
      <c r="Z797" s="41">
        <f t="shared" si="25"/>
        <v>0</v>
      </c>
    </row>
    <row r="798" spans="1:26" ht="26.25">
      <c r="A798" s="2">
        <v>796</v>
      </c>
      <c r="B798" s="2">
        <v>2923758</v>
      </c>
      <c r="C798" s="2">
        <v>42802806030012</v>
      </c>
      <c r="D798" s="2" t="s">
        <v>145</v>
      </c>
      <c r="E798" s="2">
        <v>7695845</v>
      </c>
      <c r="F798" s="2">
        <v>915239669</v>
      </c>
      <c r="G798" s="3">
        <v>29279</v>
      </c>
      <c r="H798" s="2" t="s">
        <v>1916</v>
      </c>
      <c r="I798" s="2" t="s">
        <v>1917</v>
      </c>
      <c r="J798" s="2" t="s">
        <v>1918</v>
      </c>
      <c r="K798" s="2" t="s">
        <v>39</v>
      </c>
      <c r="L798" s="2" t="s">
        <v>27</v>
      </c>
      <c r="M798" s="2">
        <v>5230903</v>
      </c>
      <c r="N798" s="2" t="s">
        <v>314</v>
      </c>
      <c r="O798" s="2" t="s">
        <v>225</v>
      </c>
      <c r="P798" s="2" t="s">
        <v>298</v>
      </c>
      <c r="Q798" s="2" t="s">
        <v>340</v>
      </c>
      <c r="R798" s="2" t="s">
        <v>82</v>
      </c>
      <c r="S798" s="2">
        <v>10</v>
      </c>
      <c r="T798" s="2" t="s">
        <v>33</v>
      </c>
      <c r="U798" s="2" t="s">
        <v>34</v>
      </c>
      <c r="V798" s="32">
        <v>104616820</v>
      </c>
      <c r="Y798" s="30">
        <f t="shared" si="24"/>
        <v>104616820</v>
      </c>
      <c r="Z798" s="41">
        <f t="shared" si="25"/>
        <v>0</v>
      </c>
    </row>
    <row r="799" spans="1:26">
      <c r="A799" s="2">
        <v>797</v>
      </c>
      <c r="B799" s="2">
        <v>3499781</v>
      </c>
      <c r="C799" s="2">
        <v>50110036300043</v>
      </c>
      <c r="D799" s="2" t="s">
        <v>22</v>
      </c>
      <c r="E799" s="2">
        <v>2305376</v>
      </c>
      <c r="F799" s="2">
        <v>904104060</v>
      </c>
      <c r="G799" s="3">
        <v>37895</v>
      </c>
      <c r="H799" s="2" t="s">
        <v>1555</v>
      </c>
      <c r="I799" s="2" t="s">
        <v>1919</v>
      </c>
      <c r="J799" s="2" t="s">
        <v>1920</v>
      </c>
      <c r="K799" s="2" t="s">
        <v>26</v>
      </c>
      <c r="L799" s="2" t="s">
        <v>27</v>
      </c>
      <c r="M799" s="2">
        <v>5620600</v>
      </c>
      <c r="N799" s="2" t="s">
        <v>1528</v>
      </c>
      <c r="O799" s="2" t="s">
        <v>433</v>
      </c>
      <c r="P799" s="2" t="s">
        <v>345</v>
      </c>
      <c r="Q799" s="2" t="s">
        <v>106</v>
      </c>
      <c r="R799" s="2" t="s">
        <v>53</v>
      </c>
      <c r="S799" s="2">
        <v>8</v>
      </c>
      <c r="T799" s="2" t="s">
        <v>33</v>
      </c>
      <c r="U799" s="2" t="s">
        <v>34</v>
      </c>
      <c r="V799" s="32">
        <v>102601760</v>
      </c>
      <c r="Y799" s="30">
        <f t="shared" si="24"/>
        <v>102601760</v>
      </c>
      <c r="Z799" s="41">
        <f t="shared" si="25"/>
        <v>0</v>
      </c>
    </row>
    <row r="800" spans="1:26" ht="39">
      <c r="A800" s="2">
        <v>798</v>
      </c>
      <c r="B800" s="2">
        <v>1179805</v>
      </c>
      <c r="C800" s="2">
        <v>30502901631112</v>
      </c>
      <c r="D800" s="2" t="s">
        <v>145</v>
      </c>
      <c r="E800" s="2">
        <v>7891116</v>
      </c>
      <c r="F800" s="2">
        <v>933018310</v>
      </c>
      <c r="G800" s="3">
        <v>32909</v>
      </c>
      <c r="H800" s="2" t="s">
        <v>1921</v>
      </c>
      <c r="I800" s="2" t="s">
        <v>1879</v>
      </c>
      <c r="J800" s="2" t="s">
        <v>1922</v>
      </c>
      <c r="K800" s="2" t="s">
        <v>39</v>
      </c>
      <c r="L800" s="2" t="s">
        <v>27</v>
      </c>
      <c r="M800" s="2">
        <v>5311003</v>
      </c>
      <c r="N800" s="2" t="s">
        <v>144</v>
      </c>
      <c r="O800" s="2" t="s">
        <v>41</v>
      </c>
      <c r="P800" s="2" t="s">
        <v>79</v>
      </c>
      <c r="Q800" s="2" t="s">
        <v>363</v>
      </c>
      <c r="R800" s="2" t="s">
        <v>62</v>
      </c>
      <c r="S800" s="2">
        <v>8</v>
      </c>
      <c r="T800" s="2" t="s">
        <v>33</v>
      </c>
      <c r="U800" s="2" t="s">
        <v>34</v>
      </c>
      <c r="V800" s="29">
        <v>53802936</v>
      </c>
      <c r="W800" s="21">
        <f>30000000+10000000</f>
        <v>40000000</v>
      </c>
      <c r="X800" s="11" t="s">
        <v>2899</v>
      </c>
      <c r="Y800" s="30">
        <f t="shared" si="24"/>
        <v>13802936</v>
      </c>
      <c r="Z800" s="41">
        <f t="shared" si="25"/>
        <v>0.74345385166341105</v>
      </c>
    </row>
    <row r="801" spans="1:27">
      <c r="A801" s="2">
        <v>799</v>
      </c>
      <c r="B801" s="2">
        <v>2021629</v>
      </c>
      <c r="C801" s="2">
        <v>32104940420074</v>
      </c>
      <c r="D801" s="2" t="s">
        <v>145</v>
      </c>
      <c r="E801" s="2">
        <v>2075823</v>
      </c>
      <c r="F801" s="2">
        <v>944112104</v>
      </c>
      <c r="G801" s="3">
        <v>34445</v>
      </c>
      <c r="H801" s="2" t="s">
        <v>1923</v>
      </c>
      <c r="I801" s="2" t="s">
        <v>1924</v>
      </c>
      <c r="J801" s="2" t="s">
        <v>25</v>
      </c>
      <c r="K801" s="2" t="s">
        <v>39</v>
      </c>
      <c r="L801" s="2" t="s">
        <v>27</v>
      </c>
      <c r="M801" s="2">
        <v>5310606</v>
      </c>
      <c r="N801" s="2" t="s">
        <v>72</v>
      </c>
      <c r="O801" s="2" t="s">
        <v>154</v>
      </c>
      <c r="P801" s="2" t="s">
        <v>73</v>
      </c>
      <c r="Q801" s="4">
        <v>20394</v>
      </c>
      <c r="R801" s="2" t="s">
        <v>62</v>
      </c>
      <c r="S801" s="2">
        <v>8</v>
      </c>
      <c r="T801" s="2" t="s">
        <v>33</v>
      </c>
      <c r="U801" s="2" t="s">
        <v>34</v>
      </c>
      <c r="V801" s="32">
        <v>59781040</v>
      </c>
      <c r="Y801" s="30">
        <f t="shared" si="24"/>
        <v>59781040</v>
      </c>
      <c r="Z801" s="41">
        <f t="shared" si="25"/>
        <v>0</v>
      </c>
    </row>
    <row r="802" spans="1:27" ht="39">
      <c r="A802" s="2">
        <v>800</v>
      </c>
      <c r="B802" s="2">
        <v>1716442</v>
      </c>
      <c r="C802" s="2">
        <v>33012975970028</v>
      </c>
      <c r="D802" s="2" t="s">
        <v>145</v>
      </c>
      <c r="E802" s="2">
        <v>9702087</v>
      </c>
      <c r="F802" s="2">
        <v>972171783</v>
      </c>
      <c r="G802" s="3">
        <v>35794</v>
      </c>
      <c r="H802" s="2" t="s">
        <v>1057</v>
      </c>
      <c r="I802" s="2" t="s">
        <v>1925</v>
      </c>
      <c r="J802" s="2" t="s">
        <v>1926</v>
      </c>
      <c r="K802" s="2" t="s">
        <v>26</v>
      </c>
      <c r="L802" s="2" t="s">
        <v>27</v>
      </c>
      <c r="M802" s="2">
        <v>5340401</v>
      </c>
      <c r="N802" s="2" t="s">
        <v>349</v>
      </c>
      <c r="O802" s="2" t="s">
        <v>42</v>
      </c>
      <c r="P802" s="2" t="s">
        <v>629</v>
      </c>
      <c r="Q802" s="5">
        <v>44471</v>
      </c>
      <c r="R802" s="2" t="s">
        <v>93</v>
      </c>
      <c r="S802" s="2">
        <v>8</v>
      </c>
      <c r="T802" s="2" t="s">
        <v>508</v>
      </c>
      <c r="U802" s="2" t="s">
        <v>34</v>
      </c>
      <c r="V802" s="32">
        <v>17729850</v>
      </c>
      <c r="Y802" s="30">
        <f t="shared" si="24"/>
        <v>17729850</v>
      </c>
      <c r="Z802" s="41">
        <f t="shared" si="25"/>
        <v>0</v>
      </c>
    </row>
    <row r="803" spans="1:27" ht="15.75">
      <c r="A803" s="2">
        <v>801</v>
      </c>
      <c r="B803" s="2">
        <v>3324720</v>
      </c>
      <c r="C803" s="2">
        <v>52004035820025</v>
      </c>
      <c r="D803" s="2" t="s">
        <v>22</v>
      </c>
      <c r="E803" s="2">
        <v>2209890</v>
      </c>
      <c r="F803" s="2">
        <v>973221778</v>
      </c>
      <c r="G803" s="3">
        <v>37731</v>
      </c>
      <c r="H803" s="2" t="s">
        <v>477</v>
      </c>
      <c r="I803" s="2" t="s">
        <v>405</v>
      </c>
      <c r="J803" s="2" t="s">
        <v>1927</v>
      </c>
      <c r="K803" s="2" t="s">
        <v>39</v>
      </c>
      <c r="L803" s="2" t="s">
        <v>27</v>
      </c>
      <c r="M803" s="2">
        <v>5310202</v>
      </c>
      <c r="N803" s="2" t="s">
        <v>86</v>
      </c>
      <c r="O803" s="2" t="s">
        <v>139</v>
      </c>
      <c r="P803" s="2" t="s">
        <v>219</v>
      </c>
      <c r="Q803" s="2" t="s">
        <v>500</v>
      </c>
      <c r="R803" s="2" t="s">
        <v>62</v>
      </c>
      <c r="S803" s="2">
        <v>8</v>
      </c>
      <c r="T803" s="2" t="s">
        <v>33</v>
      </c>
      <c r="U803" s="2" t="s">
        <v>34</v>
      </c>
      <c r="V803" s="33">
        <v>53802936</v>
      </c>
      <c r="W803" s="21">
        <f>27000000+26803000</f>
        <v>53803000</v>
      </c>
      <c r="X803" s="10" t="s">
        <v>2819</v>
      </c>
      <c r="Y803" s="30">
        <f t="shared" si="24"/>
        <v>-64</v>
      </c>
      <c r="Z803" s="41">
        <f t="shared" si="25"/>
        <v>1.0000011895261627</v>
      </c>
    </row>
    <row r="804" spans="1:27" ht="26.25">
      <c r="A804" s="2">
        <v>802</v>
      </c>
      <c r="B804" s="2">
        <v>1966811</v>
      </c>
      <c r="C804" s="2">
        <v>33004943080028</v>
      </c>
      <c r="D804" s="2" t="s">
        <v>45</v>
      </c>
      <c r="E804" s="2">
        <v>1756630</v>
      </c>
      <c r="F804" s="2">
        <v>937470169</v>
      </c>
      <c r="G804" s="3">
        <v>34454</v>
      </c>
      <c r="H804" s="2" t="s">
        <v>1928</v>
      </c>
      <c r="I804" s="2" t="s">
        <v>1929</v>
      </c>
      <c r="J804" s="2" t="s">
        <v>1930</v>
      </c>
      <c r="K804" s="2" t="s">
        <v>39</v>
      </c>
      <c r="L804" s="2" t="s">
        <v>57</v>
      </c>
      <c r="M804" s="2">
        <v>5310601</v>
      </c>
      <c r="N804" s="2" t="s">
        <v>153</v>
      </c>
      <c r="O804" s="2">
        <v>63</v>
      </c>
      <c r="P804" s="2" t="s">
        <v>155</v>
      </c>
      <c r="Q804" s="4">
        <v>14824</v>
      </c>
      <c r="R804" s="2" t="s">
        <v>62</v>
      </c>
      <c r="S804" s="2">
        <v>8</v>
      </c>
      <c r="T804" s="2" t="s">
        <v>33</v>
      </c>
      <c r="U804" s="2" t="s">
        <v>34</v>
      </c>
      <c r="V804" s="32">
        <v>59781040</v>
      </c>
      <c r="Y804" s="30">
        <f t="shared" si="24"/>
        <v>59781040</v>
      </c>
      <c r="Z804" s="41">
        <f t="shared" si="25"/>
        <v>0</v>
      </c>
    </row>
    <row r="805" spans="1:27" ht="15.75">
      <c r="A805" s="2">
        <v>803</v>
      </c>
      <c r="B805" s="2">
        <v>2362209</v>
      </c>
      <c r="C805" s="2">
        <v>51705016750038</v>
      </c>
      <c r="D805" s="2" t="s">
        <v>45</v>
      </c>
      <c r="E805" s="2">
        <v>6960603</v>
      </c>
      <c r="F805" s="2">
        <v>998682910</v>
      </c>
      <c r="G805" s="3">
        <v>37028</v>
      </c>
      <c r="H805" s="2" t="s">
        <v>636</v>
      </c>
      <c r="I805" s="2" t="s">
        <v>1931</v>
      </c>
      <c r="J805" s="2" t="s">
        <v>1191</v>
      </c>
      <c r="K805" s="2" t="s">
        <v>39</v>
      </c>
      <c r="L805" s="2" t="s">
        <v>27</v>
      </c>
      <c r="M805" s="2">
        <v>5620101</v>
      </c>
      <c r="N805" s="2" t="s">
        <v>49</v>
      </c>
      <c r="O805" s="2" t="s">
        <v>122</v>
      </c>
      <c r="P805" s="2" t="s">
        <v>264</v>
      </c>
      <c r="Q805" s="2" t="s">
        <v>578</v>
      </c>
      <c r="R805" s="2" t="s">
        <v>62</v>
      </c>
      <c r="S805" s="2">
        <v>8</v>
      </c>
      <c r="T805" s="2" t="s">
        <v>33</v>
      </c>
      <c r="U805" s="2" t="s">
        <v>34</v>
      </c>
      <c r="V805" s="32">
        <v>53802936</v>
      </c>
      <c r="W805" s="21">
        <f>2000000+4000000+24000000</f>
        <v>30000000</v>
      </c>
      <c r="X805" s="10" t="s">
        <v>2637</v>
      </c>
      <c r="Y805" s="30">
        <f t="shared" si="24"/>
        <v>23802936</v>
      </c>
      <c r="Z805" s="41">
        <f t="shared" si="25"/>
        <v>0.55759038874755829</v>
      </c>
    </row>
    <row r="806" spans="1:27">
      <c r="A806" s="2">
        <v>804</v>
      </c>
      <c r="B806" s="2">
        <v>2120236</v>
      </c>
      <c r="C806" s="2">
        <v>50502026600011</v>
      </c>
      <c r="D806" s="2" t="s">
        <v>45</v>
      </c>
      <c r="E806" s="2">
        <v>8885731</v>
      </c>
      <c r="F806" s="2">
        <v>903385143</v>
      </c>
      <c r="G806" s="3">
        <v>37292</v>
      </c>
      <c r="H806" s="2" t="s">
        <v>242</v>
      </c>
      <c r="I806" s="2" t="s">
        <v>382</v>
      </c>
      <c r="J806" s="2" t="s">
        <v>1932</v>
      </c>
      <c r="K806" s="2" t="s">
        <v>26</v>
      </c>
      <c r="L806" s="2" t="s">
        <v>57</v>
      </c>
      <c r="M806" s="2">
        <v>5310400</v>
      </c>
      <c r="N806" s="2" t="s">
        <v>232</v>
      </c>
      <c r="O806" s="2" t="s">
        <v>87</v>
      </c>
      <c r="P806" s="2" t="s">
        <v>67</v>
      </c>
      <c r="Q806" s="2" t="s">
        <v>277</v>
      </c>
      <c r="R806" s="2" t="s">
        <v>53</v>
      </c>
      <c r="S806" s="2">
        <v>8</v>
      </c>
      <c r="T806" s="2" t="s">
        <v>33</v>
      </c>
      <c r="U806" s="2" t="s">
        <v>34</v>
      </c>
      <c r="V806" s="29">
        <v>46170792</v>
      </c>
      <c r="Y806" s="30">
        <f t="shared" si="24"/>
        <v>46170792</v>
      </c>
      <c r="Z806" s="41">
        <f t="shared" si="25"/>
        <v>0</v>
      </c>
    </row>
    <row r="807" spans="1:27" ht="39">
      <c r="A807" s="2">
        <v>805</v>
      </c>
      <c r="B807" s="2">
        <v>1162783</v>
      </c>
      <c r="C807" s="2">
        <v>62809006840045</v>
      </c>
      <c r="D807" s="2" t="s">
        <v>45</v>
      </c>
      <c r="E807" s="2">
        <v>6125558</v>
      </c>
      <c r="F807" s="2">
        <v>942147041</v>
      </c>
      <c r="G807" s="3">
        <v>36797</v>
      </c>
      <c r="H807" s="2" t="s">
        <v>1933</v>
      </c>
      <c r="I807" s="2" t="s">
        <v>1934</v>
      </c>
      <c r="J807" s="2" t="s">
        <v>1935</v>
      </c>
      <c r="K807" s="2" t="s">
        <v>39</v>
      </c>
      <c r="L807" s="2" t="s">
        <v>27</v>
      </c>
      <c r="M807" s="2">
        <v>5311003</v>
      </c>
      <c r="N807" s="2" t="s">
        <v>144</v>
      </c>
      <c r="O807" s="2" t="s">
        <v>225</v>
      </c>
      <c r="P807" s="2" t="s">
        <v>79</v>
      </c>
      <c r="Q807" s="2" t="s">
        <v>775</v>
      </c>
      <c r="R807" s="2" t="s">
        <v>62</v>
      </c>
      <c r="S807" s="2">
        <v>8</v>
      </c>
      <c r="T807" s="2" t="s">
        <v>33</v>
      </c>
      <c r="U807" s="2" t="s">
        <v>34</v>
      </c>
      <c r="V807" s="32">
        <v>59781040</v>
      </c>
      <c r="Y807" s="30">
        <f t="shared" si="24"/>
        <v>59781040</v>
      </c>
      <c r="Z807" s="41">
        <f t="shared" si="25"/>
        <v>0</v>
      </c>
    </row>
    <row r="808" spans="1:27" ht="26.25">
      <c r="A808" s="2">
        <v>806</v>
      </c>
      <c r="B808" s="2">
        <v>3693258</v>
      </c>
      <c r="C808" s="2">
        <v>31906883460031</v>
      </c>
      <c r="D808" s="2" t="s">
        <v>35</v>
      </c>
      <c r="E808" s="2">
        <v>25728</v>
      </c>
      <c r="F808" s="2">
        <v>906640688</v>
      </c>
      <c r="G808" s="3">
        <v>32313</v>
      </c>
      <c r="H808" s="2" t="s">
        <v>1936</v>
      </c>
      <c r="I808" s="2" t="s">
        <v>1937</v>
      </c>
      <c r="J808" s="2" t="s">
        <v>1938</v>
      </c>
      <c r="K808" s="2" t="s">
        <v>39</v>
      </c>
      <c r="L808" s="2" t="s">
        <v>27</v>
      </c>
      <c r="M808" s="2">
        <v>5340606</v>
      </c>
      <c r="N808" s="2" t="s">
        <v>191</v>
      </c>
      <c r="O808" s="2" t="s">
        <v>155</v>
      </c>
      <c r="P808" s="2" t="s">
        <v>42</v>
      </c>
      <c r="Q808" s="4">
        <v>12966</v>
      </c>
      <c r="R808" s="2" t="s">
        <v>44</v>
      </c>
      <c r="S808" s="2">
        <v>8</v>
      </c>
      <c r="T808" s="2" t="s">
        <v>33</v>
      </c>
      <c r="U808" s="2" t="s">
        <v>34</v>
      </c>
      <c r="V808" s="32">
        <v>65759144</v>
      </c>
      <c r="Y808" s="30">
        <f t="shared" si="24"/>
        <v>65759144</v>
      </c>
      <c r="Z808" s="41">
        <f t="shared" si="25"/>
        <v>0</v>
      </c>
    </row>
    <row r="809" spans="1:27" ht="26.25">
      <c r="A809" s="2">
        <v>807</v>
      </c>
      <c r="B809" s="2">
        <v>1354132</v>
      </c>
      <c r="C809" s="2">
        <v>32506996270025</v>
      </c>
      <c r="D809" s="2" t="s">
        <v>45</v>
      </c>
      <c r="E809" s="2">
        <v>3872270</v>
      </c>
      <c r="F809" s="2">
        <v>978480075</v>
      </c>
      <c r="G809" s="3">
        <v>36336</v>
      </c>
      <c r="H809" s="2" t="s">
        <v>1939</v>
      </c>
      <c r="I809" s="2" t="s">
        <v>1940</v>
      </c>
      <c r="J809" s="2" t="s">
        <v>1941</v>
      </c>
      <c r="K809" s="2" t="s">
        <v>39</v>
      </c>
      <c r="L809" s="2" t="s">
        <v>27</v>
      </c>
      <c r="M809" s="2">
        <v>5310601</v>
      </c>
      <c r="N809" s="2" t="s">
        <v>153</v>
      </c>
      <c r="O809" s="2" t="s">
        <v>88</v>
      </c>
      <c r="P809" s="2" t="s">
        <v>79</v>
      </c>
      <c r="Q809" s="5">
        <v>44338</v>
      </c>
      <c r="R809" s="2" t="s">
        <v>62</v>
      </c>
      <c r="S809" s="2">
        <v>8</v>
      </c>
      <c r="T809" s="2" t="s">
        <v>33</v>
      </c>
      <c r="U809" s="2" t="s">
        <v>34</v>
      </c>
      <c r="V809" s="32">
        <v>59781040</v>
      </c>
      <c r="Y809" s="30">
        <f t="shared" si="24"/>
        <v>59781040</v>
      </c>
      <c r="Z809" s="41">
        <f t="shared" si="25"/>
        <v>0</v>
      </c>
    </row>
    <row r="810" spans="1:27" ht="26.25">
      <c r="A810" s="2">
        <v>808</v>
      </c>
      <c r="B810" s="2">
        <v>1435988</v>
      </c>
      <c r="C810" s="2">
        <v>52601016820014</v>
      </c>
      <c r="D810" s="2" t="s">
        <v>45</v>
      </c>
      <c r="E810" s="2">
        <v>6185122</v>
      </c>
      <c r="F810" s="2">
        <v>972497272</v>
      </c>
      <c r="G810" s="3">
        <v>36917</v>
      </c>
      <c r="H810" s="2" t="s">
        <v>1942</v>
      </c>
      <c r="I810" s="2" t="s">
        <v>1943</v>
      </c>
      <c r="J810" s="2" t="s">
        <v>1944</v>
      </c>
      <c r="K810" s="2" t="s">
        <v>39</v>
      </c>
      <c r="L810" s="2" t="s">
        <v>57</v>
      </c>
      <c r="M810" s="2">
        <v>5310601</v>
      </c>
      <c r="N810" s="2" t="s">
        <v>153</v>
      </c>
      <c r="O810" s="2" t="s">
        <v>384</v>
      </c>
      <c r="P810" s="2" t="s">
        <v>155</v>
      </c>
      <c r="Q810" s="2" t="s">
        <v>363</v>
      </c>
      <c r="R810" s="2" t="s">
        <v>62</v>
      </c>
      <c r="S810" s="2">
        <v>8</v>
      </c>
      <c r="T810" s="2" t="s">
        <v>33</v>
      </c>
      <c r="U810" s="2" t="s">
        <v>34</v>
      </c>
      <c r="V810" s="32">
        <v>119562080</v>
      </c>
      <c r="Y810" s="30">
        <f t="shared" si="24"/>
        <v>119562080</v>
      </c>
      <c r="Z810" s="41">
        <f t="shared" si="25"/>
        <v>0</v>
      </c>
    </row>
    <row r="811" spans="1:27" ht="26.25">
      <c r="A811" s="2">
        <v>809</v>
      </c>
      <c r="B811" s="2">
        <v>2463138</v>
      </c>
      <c r="C811" s="2">
        <v>51408025750014</v>
      </c>
      <c r="D811" s="2" t="s">
        <v>22</v>
      </c>
      <c r="E811" s="2">
        <v>268796</v>
      </c>
      <c r="F811" s="2">
        <v>993437383</v>
      </c>
      <c r="G811" s="3">
        <v>37482</v>
      </c>
      <c r="H811" s="2" t="s">
        <v>89</v>
      </c>
      <c r="I811" s="2" t="s">
        <v>405</v>
      </c>
      <c r="J811" s="2" t="s">
        <v>262</v>
      </c>
      <c r="K811" s="2" t="s">
        <v>26</v>
      </c>
      <c r="L811" s="2" t="s">
        <v>57</v>
      </c>
      <c r="M811" s="2">
        <v>5340606</v>
      </c>
      <c r="N811" s="2" t="s">
        <v>191</v>
      </c>
      <c r="O811" s="2" t="s">
        <v>223</v>
      </c>
      <c r="P811" s="2" t="s">
        <v>179</v>
      </c>
      <c r="Q811" s="4">
        <v>11110</v>
      </c>
      <c r="R811" s="2" t="s">
        <v>93</v>
      </c>
      <c r="S811" s="2">
        <v>8</v>
      </c>
      <c r="T811" s="2" t="s">
        <v>33</v>
      </c>
      <c r="U811" s="2" t="s">
        <v>34</v>
      </c>
      <c r="V811" s="32">
        <v>113471040</v>
      </c>
      <c r="Y811" s="30">
        <f t="shared" si="24"/>
        <v>113471040</v>
      </c>
      <c r="Z811" s="41">
        <f t="shared" si="25"/>
        <v>0</v>
      </c>
    </row>
    <row r="812" spans="1:27" ht="15.75">
      <c r="A812" s="2">
        <v>810</v>
      </c>
      <c r="B812" s="2">
        <v>3573251</v>
      </c>
      <c r="C812" s="2">
        <v>52909036500056</v>
      </c>
      <c r="D812" s="2" t="s">
        <v>22</v>
      </c>
      <c r="E812" s="2">
        <v>2395581</v>
      </c>
      <c r="F812" s="2">
        <v>913507892</v>
      </c>
      <c r="G812" s="3">
        <v>37893</v>
      </c>
      <c r="H812" s="2" t="s">
        <v>403</v>
      </c>
      <c r="I812" s="2" t="s">
        <v>1945</v>
      </c>
      <c r="J812" s="2" t="s">
        <v>1308</v>
      </c>
      <c r="K812" s="2" t="s">
        <v>26</v>
      </c>
      <c r="L812" s="2" t="s">
        <v>27</v>
      </c>
      <c r="M812" s="2">
        <v>5340603</v>
      </c>
      <c r="N812" s="2" t="s">
        <v>174</v>
      </c>
      <c r="O812" s="2" t="s">
        <v>139</v>
      </c>
      <c r="P812" s="2" t="s">
        <v>155</v>
      </c>
      <c r="Q812" s="5">
        <v>44317</v>
      </c>
      <c r="R812" s="2" t="s">
        <v>93</v>
      </c>
      <c r="S812" s="2">
        <v>8</v>
      </c>
      <c r="T812" s="2" t="s">
        <v>33</v>
      </c>
      <c r="U812" s="2" t="s">
        <v>34</v>
      </c>
      <c r="V812" s="32">
        <v>10637910</v>
      </c>
      <c r="W812" s="21">
        <v>5500000</v>
      </c>
      <c r="X812" s="11" t="s">
        <v>2627</v>
      </c>
      <c r="Y812" s="30">
        <f t="shared" si="24"/>
        <v>5137910</v>
      </c>
      <c r="Z812" s="41">
        <f t="shared" si="25"/>
        <v>0.51701885050728946</v>
      </c>
    </row>
    <row r="813" spans="1:27" ht="26.25">
      <c r="A813" s="2">
        <v>811</v>
      </c>
      <c r="B813" s="2">
        <v>1945545</v>
      </c>
      <c r="C813" s="2">
        <v>32509988660044</v>
      </c>
      <c r="D813" s="2" t="s">
        <v>145</v>
      </c>
      <c r="E813" s="2">
        <v>8728775</v>
      </c>
      <c r="F813" s="2">
        <v>935273227</v>
      </c>
      <c r="G813" s="3">
        <v>36063</v>
      </c>
      <c r="H813" s="2" t="s">
        <v>1062</v>
      </c>
      <c r="I813" s="2" t="s">
        <v>1556</v>
      </c>
      <c r="J813" s="2" t="s">
        <v>1493</v>
      </c>
      <c r="K813" s="2" t="s">
        <v>39</v>
      </c>
      <c r="L813" s="2" t="s">
        <v>27</v>
      </c>
      <c r="M813" s="2">
        <v>5640202</v>
      </c>
      <c r="N813" s="2" t="s">
        <v>240</v>
      </c>
      <c r="O813" s="2" t="s">
        <v>87</v>
      </c>
      <c r="P813" s="2" t="s">
        <v>241</v>
      </c>
      <c r="Q813" s="2" t="s">
        <v>363</v>
      </c>
      <c r="R813" s="2" t="s">
        <v>62</v>
      </c>
      <c r="S813" s="2">
        <v>8</v>
      </c>
      <c r="T813" s="2" t="s">
        <v>33</v>
      </c>
      <c r="U813" s="2" t="s">
        <v>34</v>
      </c>
      <c r="V813" s="29" t="s">
        <v>2748</v>
      </c>
      <c r="W813" s="20">
        <f>30000000+14000000</f>
        <v>44000000</v>
      </c>
      <c r="X813" s="2" t="s">
        <v>2875</v>
      </c>
      <c r="Y813" s="30">
        <f t="shared" si="24"/>
        <v>9802936</v>
      </c>
      <c r="Z813" s="41">
        <f t="shared" si="25"/>
        <v>0.8177992368297522</v>
      </c>
      <c r="AA813" s="42" t="s">
        <v>2798</v>
      </c>
    </row>
    <row r="814" spans="1:27" ht="26.25">
      <c r="A814" s="2">
        <v>812</v>
      </c>
      <c r="B814" s="2">
        <v>3537260</v>
      </c>
      <c r="C814" s="2">
        <v>52503047310011</v>
      </c>
      <c r="D814" s="2" t="s">
        <v>74</v>
      </c>
      <c r="E814" s="2">
        <v>114495</v>
      </c>
      <c r="F814" s="2">
        <v>994559798</v>
      </c>
      <c r="G814" s="3">
        <v>38071</v>
      </c>
      <c r="H814" s="2" t="s">
        <v>1946</v>
      </c>
      <c r="I814" s="2" t="s">
        <v>871</v>
      </c>
      <c r="J814" s="2" t="s">
        <v>1947</v>
      </c>
      <c r="K814" s="2" t="s">
        <v>26</v>
      </c>
      <c r="L814" s="2" t="s">
        <v>27</v>
      </c>
      <c r="M814" s="2">
        <v>5620701</v>
      </c>
      <c r="N814" s="2" t="s">
        <v>218</v>
      </c>
      <c r="O814" s="2" t="s">
        <v>179</v>
      </c>
      <c r="P814" s="2" t="s">
        <v>224</v>
      </c>
      <c r="Q814" s="2" t="s">
        <v>296</v>
      </c>
      <c r="R814" s="2" t="s">
        <v>53</v>
      </c>
      <c r="S814" s="2">
        <v>8</v>
      </c>
      <c r="T814" s="2" t="s">
        <v>33</v>
      </c>
      <c r="U814" s="2" t="s">
        <v>34</v>
      </c>
      <c r="V814" s="32">
        <v>51300880</v>
      </c>
      <c r="Y814" s="30">
        <f t="shared" si="24"/>
        <v>51300880</v>
      </c>
      <c r="Z814" s="41">
        <f t="shared" si="25"/>
        <v>0</v>
      </c>
    </row>
    <row r="815" spans="1:27">
      <c r="A815" s="2">
        <v>813</v>
      </c>
      <c r="B815" s="2">
        <v>2462736</v>
      </c>
      <c r="C815" s="2">
        <v>50708026150028</v>
      </c>
      <c r="D815" s="2" t="s">
        <v>22</v>
      </c>
      <c r="E815" s="2">
        <v>194793</v>
      </c>
      <c r="F815" s="2">
        <v>937848187</v>
      </c>
      <c r="G815" s="3">
        <v>37475</v>
      </c>
      <c r="H815" s="2" t="s">
        <v>935</v>
      </c>
      <c r="I815" s="2" t="s">
        <v>1948</v>
      </c>
      <c r="J815" s="2" t="s">
        <v>1767</v>
      </c>
      <c r="K815" s="2" t="s">
        <v>26</v>
      </c>
      <c r="L815" s="2" t="s">
        <v>27</v>
      </c>
      <c r="M815" s="2">
        <v>5330600</v>
      </c>
      <c r="N815" s="2" t="s">
        <v>131</v>
      </c>
      <c r="O815" s="2" t="s">
        <v>211</v>
      </c>
      <c r="P815" s="2" t="s">
        <v>132</v>
      </c>
      <c r="Q815" s="2" t="s">
        <v>59</v>
      </c>
      <c r="R815" s="2" t="s">
        <v>134</v>
      </c>
      <c r="S815" s="2">
        <v>10</v>
      </c>
      <c r="T815" s="2" t="s">
        <v>33</v>
      </c>
      <c r="U815" s="2" t="s">
        <v>34</v>
      </c>
      <c r="V815" s="32">
        <v>182598600</v>
      </c>
      <c r="Y815" s="30">
        <f t="shared" si="24"/>
        <v>182598600</v>
      </c>
      <c r="Z815" s="41">
        <f t="shared" si="25"/>
        <v>0</v>
      </c>
    </row>
    <row r="816" spans="1:27">
      <c r="A816" s="2">
        <v>814</v>
      </c>
      <c r="B816" s="2">
        <v>1517120</v>
      </c>
      <c r="C816" s="2">
        <v>50101005610038</v>
      </c>
      <c r="D816" s="2" t="s">
        <v>45</v>
      </c>
      <c r="E816" s="2">
        <v>4945737</v>
      </c>
      <c r="F816" s="2">
        <v>998723880</v>
      </c>
      <c r="G816" s="3">
        <v>36526</v>
      </c>
      <c r="H816" s="2" t="s">
        <v>1949</v>
      </c>
      <c r="I816" s="2" t="s">
        <v>1950</v>
      </c>
      <c r="J816" s="2" t="s">
        <v>1951</v>
      </c>
      <c r="K816" s="2" t="s">
        <v>39</v>
      </c>
      <c r="L816" s="2" t="s">
        <v>27</v>
      </c>
      <c r="M816" s="2">
        <v>5340603</v>
      </c>
      <c r="N816" s="2" t="s">
        <v>174</v>
      </c>
      <c r="O816" s="2" t="s">
        <v>194</v>
      </c>
      <c r="P816" s="2" t="s">
        <v>175</v>
      </c>
      <c r="Q816" s="5">
        <v>44317</v>
      </c>
      <c r="R816" s="2" t="s">
        <v>44</v>
      </c>
      <c r="S816" s="2">
        <v>8</v>
      </c>
      <c r="T816" s="2" t="s">
        <v>33</v>
      </c>
      <c r="U816" s="2" t="s">
        <v>34</v>
      </c>
      <c r="V816" s="32" t="s">
        <v>2724</v>
      </c>
      <c r="W816" s="20">
        <v>6200000</v>
      </c>
      <c r="X816" s="2" t="s">
        <v>2681</v>
      </c>
      <c r="Y816" s="30">
        <f t="shared" si="24"/>
        <v>6129839.5</v>
      </c>
      <c r="Z816" s="41">
        <f t="shared" si="25"/>
        <v>0.50284515057961621</v>
      </c>
    </row>
    <row r="817" spans="1:27" ht="26.25">
      <c r="A817" s="2">
        <v>815</v>
      </c>
      <c r="B817" s="2">
        <v>1020932</v>
      </c>
      <c r="C817" s="2">
        <v>31211975140015</v>
      </c>
      <c r="D817" s="2" t="s">
        <v>145</v>
      </c>
      <c r="E817" s="2">
        <v>3327337</v>
      </c>
      <c r="F817" s="2">
        <v>997651101</v>
      </c>
      <c r="G817" s="3">
        <v>35746</v>
      </c>
      <c r="H817" s="2" t="s">
        <v>1952</v>
      </c>
      <c r="I817" s="2" t="s">
        <v>1953</v>
      </c>
      <c r="J817" s="2" t="s">
        <v>173</v>
      </c>
      <c r="K817" s="2" t="s">
        <v>39</v>
      </c>
      <c r="L817" s="2" t="s">
        <v>27</v>
      </c>
      <c r="M817" s="2">
        <v>5230903</v>
      </c>
      <c r="N817" s="2" t="s">
        <v>314</v>
      </c>
      <c r="O817" s="2" t="s">
        <v>225</v>
      </c>
      <c r="P817" s="2" t="s">
        <v>298</v>
      </c>
      <c r="Q817" s="2" t="s">
        <v>340</v>
      </c>
      <c r="R817" s="2" t="s">
        <v>82</v>
      </c>
      <c r="S817" s="2">
        <v>10</v>
      </c>
      <c r="T817" s="2" t="s">
        <v>33</v>
      </c>
      <c r="U817" s="2" t="s">
        <v>34</v>
      </c>
      <c r="V817" s="32">
        <v>104616820</v>
      </c>
      <c r="Y817" s="30">
        <f t="shared" si="24"/>
        <v>104616820</v>
      </c>
      <c r="Z817" s="41">
        <f t="shared" si="25"/>
        <v>0</v>
      </c>
    </row>
    <row r="818" spans="1:27" ht="26.25">
      <c r="A818" s="2">
        <v>816</v>
      </c>
      <c r="B818" s="2">
        <v>2965918</v>
      </c>
      <c r="C818" s="2">
        <v>52009026790024</v>
      </c>
      <c r="D818" s="2" t="s">
        <v>22</v>
      </c>
      <c r="E818" s="2">
        <v>189584</v>
      </c>
      <c r="F818" s="2">
        <v>936866337</v>
      </c>
      <c r="G818" s="3">
        <v>37519</v>
      </c>
      <c r="H818" s="2" t="s">
        <v>1954</v>
      </c>
      <c r="I818" s="2" t="s">
        <v>1955</v>
      </c>
      <c r="J818" s="2" t="s">
        <v>1956</v>
      </c>
      <c r="K818" s="2" t="s">
        <v>39</v>
      </c>
      <c r="L818" s="2" t="s">
        <v>27</v>
      </c>
      <c r="M818" s="2">
        <v>5620702</v>
      </c>
      <c r="N818" s="2" t="s">
        <v>159</v>
      </c>
      <c r="O818" s="2" t="s">
        <v>198</v>
      </c>
      <c r="P818" s="2" t="s">
        <v>629</v>
      </c>
      <c r="Q818" s="5">
        <v>44338</v>
      </c>
      <c r="R818" s="2" t="s">
        <v>62</v>
      </c>
      <c r="S818" s="2">
        <v>8</v>
      </c>
      <c r="T818" s="2" t="s">
        <v>33</v>
      </c>
      <c r="U818" s="2" t="s">
        <v>34</v>
      </c>
      <c r="V818" s="32">
        <v>59781040</v>
      </c>
      <c r="Y818" s="30">
        <f t="shared" si="24"/>
        <v>59781040</v>
      </c>
      <c r="Z818" s="41">
        <f t="shared" si="25"/>
        <v>0</v>
      </c>
    </row>
    <row r="819" spans="1:27" ht="26.25">
      <c r="A819" s="2">
        <v>817</v>
      </c>
      <c r="B819" s="2">
        <v>1859605</v>
      </c>
      <c r="C819" s="2">
        <v>32604874060013</v>
      </c>
      <c r="D819" s="2" t="s">
        <v>145</v>
      </c>
      <c r="E819" s="2">
        <v>1161542</v>
      </c>
      <c r="F819" s="2">
        <v>998359594</v>
      </c>
      <c r="G819" s="3">
        <v>31893</v>
      </c>
      <c r="H819" s="2" t="s">
        <v>1957</v>
      </c>
      <c r="I819" s="2" t="s">
        <v>370</v>
      </c>
      <c r="J819" s="2" t="s">
        <v>1958</v>
      </c>
      <c r="K819" s="2" t="s">
        <v>39</v>
      </c>
      <c r="L819" s="2" t="s">
        <v>27</v>
      </c>
      <c r="M819" s="2">
        <v>5350701</v>
      </c>
      <c r="N819" s="2" t="s">
        <v>338</v>
      </c>
      <c r="O819" s="2" t="s">
        <v>194</v>
      </c>
      <c r="P819" s="2" t="s">
        <v>73</v>
      </c>
      <c r="Q819" s="4">
        <v>11110</v>
      </c>
      <c r="R819" s="2" t="s">
        <v>44</v>
      </c>
      <c r="S819" s="2">
        <v>8</v>
      </c>
      <c r="T819" s="2" t="s">
        <v>33</v>
      </c>
      <c r="U819" s="2" t="s">
        <v>34</v>
      </c>
      <c r="V819" s="32">
        <v>65759144</v>
      </c>
      <c r="Y819" s="30">
        <f t="shared" si="24"/>
        <v>65759144</v>
      </c>
      <c r="Z819" s="41">
        <f t="shared" si="25"/>
        <v>0</v>
      </c>
    </row>
    <row r="820" spans="1:27" ht="26.25">
      <c r="A820" s="2">
        <v>818</v>
      </c>
      <c r="B820" s="2">
        <v>3306870</v>
      </c>
      <c r="C820" s="2">
        <v>52801035720016</v>
      </c>
      <c r="D820" s="2" t="s">
        <v>22</v>
      </c>
      <c r="E820" s="2">
        <v>2058121</v>
      </c>
      <c r="F820" s="2">
        <v>931333401</v>
      </c>
      <c r="G820" s="3">
        <v>37649</v>
      </c>
      <c r="H820" s="2" t="s">
        <v>1959</v>
      </c>
      <c r="I820" s="2" t="s">
        <v>1960</v>
      </c>
      <c r="J820" s="2" t="s">
        <v>1010</v>
      </c>
      <c r="K820" s="2" t="s">
        <v>26</v>
      </c>
      <c r="L820" s="2" t="s">
        <v>27</v>
      </c>
      <c r="M820" s="2">
        <v>5310601</v>
      </c>
      <c r="N820" s="2" t="s">
        <v>153</v>
      </c>
      <c r="O820" s="2">
        <v>63</v>
      </c>
      <c r="P820" s="2" t="s">
        <v>584</v>
      </c>
      <c r="Q820" s="2" t="s">
        <v>310</v>
      </c>
      <c r="R820" s="2" t="s">
        <v>53</v>
      </c>
      <c r="S820" s="2">
        <v>8</v>
      </c>
      <c r="T820" s="2" t="s">
        <v>33</v>
      </c>
      <c r="U820" s="2" t="s">
        <v>34</v>
      </c>
      <c r="V820" s="32">
        <v>51300880</v>
      </c>
      <c r="Y820" s="30">
        <f t="shared" si="24"/>
        <v>51300880</v>
      </c>
      <c r="Z820" s="41">
        <f t="shared" si="25"/>
        <v>0</v>
      </c>
    </row>
    <row r="821" spans="1:27" ht="26.25">
      <c r="A821" s="2">
        <v>819</v>
      </c>
      <c r="B821" s="2">
        <v>3597296</v>
      </c>
      <c r="C821" s="2">
        <v>52008036020060</v>
      </c>
      <c r="D821" s="2" t="s">
        <v>22</v>
      </c>
      <c r="E821" s="2">
        <v>3065835</v>
      </c>
      <c r="F821" s="2">
        <v>998879091</v>
      </c>
      <c r="G821" s="3">
        <v>37853</v>
      </c>
      <c r="H821" s="2" t="s">
        <v>417</v>
      </c>
      <c r="I821" s="2" t="s">
        <v>1961</v>
      </c>
      <c r="J821" s="2" t="s">
        <v>703</v>
      </c>
      <c r="K821" s="2" t="s">
        <v>39</v>
      </c>
      <c r="L821" s="2" t="s">
        <v>27</v>
      </c>
      <c r="M821" s="2">
        <v>5330202</v>
      </c>
      <c r="N821" s="2" t="s">
        <v>164</v>
      </c>
      <c r="O821" s="2" t="s">
        <v>67</v>
      </c>
      <c r="P821" s="2" t="s">
        <v>123</v>
      </c>
      <c r="Q821" s="2" t="s">
        <v>591</v>
      </c>
      <c r="R821" s="2" t="s">
        <v>44</v>
      </c>
      <c r="S821" s="2">
        <v>10</v>
      </c>
      <c r="T821" s="2" t="s">
        <v>33</v>
      </c>
      <c r="U821" s="2" t="s">
        <v>34</v>
      </c>
      <c r="V821" s="32">
        <v>82198930</v>
      </c>
      <c r="Y821" s="30">
        <f t="shared" si="24"/>
        <v>82198930</v>
      </c>
      <c r="Z821" s="41">
        <f t="shared" si="25"/>
        <v>0</v>
      </c>
    </row>
    <row r="822" spans="1:27" ht="26.25">
      <c r="A822" s="2">
        <v>820</v>
      </c>
      <c r="B822" s="2">
        <v>1781451</v>
      </c>
      <c r="C822" s="2">
        <v>32702965280011</v>
      </c>
      <c r="D822" s="2" t="s">
        <v>145</v>
      </c>
      <c r="E822" s="2">
        <v>3413058</v>
      </c>
      <c r="F822" s="2">
        <v>931366661</v>
      </c>
      <c r="G822" s="3">
        <v>35122</v>
      </c>
      <c r="H822" s="2" t="s">
        <v>1962</v>
      </c>
      <c r="I822" s="2" t="s">
        <v>1963</v>
      </c>
      <c r="J822" s="2" t="s">
        <v>1964</v>
      </c>
      <c r="K822" s="2" t="s">
        <v>39</v>
      </c>
      <c r="L822" s="2" t="s">
        <v>27</v>
      </c>
      <c r="M822" s="2">
        <v>5340605</v>
      </c>
      <c r="N822" s="2" t="s">
        <v>40</v>
      </c>
      <c r="O822" s="2" t="s">
        <v>149</v>
      </c>
      <c r="P822" s="2" t="s">
        <v>42</v>
      </c>
      <c r="Q822" s="4">
        <v>11110</v>
      </c>
      <c r="R822" s="2" t="s">
        <v>44</v>
      </c>
      <c r="S822" s="2">
        <v>8</v>
      </c>
      <c r="T822" s="2" t="s">
        <v>33</v>
      </c>
      <c r="U822" s="2" t="s">
        <v>34</v>
      </c>
      <c r="V822" s="32">
        <v>65759144</v>
      </c>
      <c r="Y822" s="30">
        <f t="shared" si="24"/>
        <v>65759144</v>
      </c>
      <c r="Z822" s="41">
        <f t="shared" si="25"/>
        <v>0</v>
      </c>
    </row>
    <row r="823" spans="1:27">
      <c r="A823" s="2">
        <v>821</v>
      </c>
      <c r="B823" s="2">
        <v>2251279</v>
      </c>
      <c r="C823" s="2">
        <v>51401016050074</v>
      </c>
      <c r="D823" s="2" t="s">
        <v>45</v>
      </c>
      <c r="E823" s="2">
        <v>9902777</v>
      </c>
      <c r="F823" s="2">
        <v>991466259</v>
      </c>
      <c r="G823" s="3">
        <v>36905</v>
      </c>
      <c r="H823" s="2" t="s">
        <v>1534</v>
      </c>
      <c r="I823" s="2" t="s">
        <v>637</v>
      </c>
      <c r="J823" s="2" t="s">
        <v>1965</v>
      </c>
      <c r="K823" s="2" t="s">
        <v>39</v>
      </c>
      <c r="L823" s="2" t="s">
        <v>27</v>
      </c>
      <c r="M823" s="2">
        <v>5620400</v>
      </c>
      <c r="N823" s="2" t="s">
        <v>103</v>
      </c>
      <c r="O823" s="2" t="s">
        <v>281</v>
      </c>
      <c r="P823" s="2" t="s">
        <v>123</v>
      </c>
      <c r="Q823" s="2" t="s">
        <v>421</v>
      </c>
      <c r="R823" s="2" t="s">
        <v>62</v>
      </c>
      <c r="S823" s="2">
        <v>8</v>
      </c>
      <c r="T823" s="2" t="s">
        <v>33</v>
      </c>
      <c r="U823" s="2" t="s">
        <v>34</v>
      </c>
      <c r="V823" s="32">
        <v>119562080</v>
      </c>
      <c r="Y823" s="30">
        <f t="shared" si="24"/>
        <v>119562080</v>
      </c>
      <c r="Z823" s="41">
        <f t="shared" si="25"/>
        <v>0</v>
      </c>
    </row>
    <row r="824" spans="1:27">
      <c r="A824" s="2">
        <v>822</v>
      </c>
      <c r="B824" s="2">
        <v>2335416</v>
      </c>
      <c r="C824" s="2">
        <v>52601025130025</v>
      </c>
      <c r="D824" s="2" t="s">
        <v>45</v>
      </c>
      <c r="E824" s="2">
        <v>8743879</v>
      </c>
      <c r="F824" s="2">
        <v>902682721</v>
      </c>
      <c r="G824" s="3">
        <v>37282</v>
      </c>
      <c r="H824" s="2" t="s">
        <v>1966</v>
      </c>
      <c r="I824" s="2" t="s">
        <v>1967</v>
      </c>
      <c r="J824" s="2" t="s">
        <v>1968</v>
      </c>
      <c r="K824" s="2" t="s">
        <v>39</v>
      </c>
      <c r="L824" s="2" t="s">
        <v>27</v>
      </c>
      <c r="M824" s="2">
        <v>5314000</v>
      </c>
      <c r="N824" s="2" t="s">
        <v>522</v>
      </c>
      <c r="O824" s="2" t="s">
        <v>194</v>
      </c>
      <c r="P824" s="2" t="s">
        <v>523</v>
      </c>
      <c r="Q824" s="2" t="s">
        <v>1969</v>
      </c>
      <c r="R824" s="2" t="s">
        <v>62</v>
      </c>
      <c r="S824" s="2">
        <v>8</v>
      </c>
      <c r="T824" s="2" t="s">
        <v>33</v>
      </c>
      <c r="U824" s="2" t="s">
        <v>34</v>
      </c>
      <c r="V824" s="32">
        <v>59781040</v>
      </c>
      <c r="Y824" s="30">
        <f t="shared" si="24"/>
        <v>59781040</v>
      </c>
      <c r="Z824" s="41">
        <f t="shared" si="25"/>
        <v>0</v>
      </c>
    </row>
    <row r="825" spans="1:27">
      <c r="A825" s="2">
        <v>823</v>
      </c>
      <c r="B825" s="2">
        <v>1443625</v>
      </c>
      <c r="C825" s="2">
        <v>32504976800039</v>
      </c>
      <c r="D825" s="2" t="s">
        <v>145</v>
      </c>
      <c r="E825" s="2">
        <v>9348844</v>
      </c>
      <c r="F825" s="2">
        <v>996329725</v>
      </c>
      <c r="G825" s="3">
        <v>35545</v>
      </c>
      <c r="H825" s="2" t="s">
        <v>1275</v>
      </c>
      <c r="I825" s="2" t="s">
        <v>1970</v>
      </c>
      <c r="J825" s="2" t="s">
        <v>1971</v>
      </c>
      <c r="K825" s="2" t="s">
        <v>39</v>
      </c>
      <c r="L825" s="2" t="s">
        <v>27</v>
      </c>
      <c r="M825" s="2">
        <v>5620400</v>
      </c>
      <c r="N825" s="2" t="s">
        <v>103</v>
      </c>
      <c r="O825" s="2" t="s">
        <v>41</v>
      </c>
      <c r="P825" s="2" t="s">
        <v>123</v>
      </c>
      <c r="Q825" s="2" t="s">
        <v>133</v>
      </c>
      <c r="R825" s="2" t="s">
        <v>62</v>
      </c>
      <c r="S825" s="2">
        <v>8</v>
      </c>
      <c r="T825" s="2" t="s">
        <v>33</v>
      </c>
      <c r="U825" s="2" t="s">
        <v>34</v>
      </c>
      <c r="V825" s="32">
        <v>59781040</v>
      </c>
      <c r="Y825" s="30">
        <f t="shared" si="24"/>
        <v>59781040</v>
      </c>
      <c r="Z825" s="41">
        <f t="shared" si="25"/>
        <v>0</v>
      </c>
    </row>
    <row r="826" spans="1:27" ht="39">
      <c r="A826" s="2">
        <v>824</v>
      </c>
      <c r="B826" s="2">
        <v>2889747</v>
      </c>
      <c r="C826" s="2">
        <v>31802922330032</v>
      </c>
      <c r="D826" s="2" t="s">
        <v>145</v>
      </c>
      <c r="E826" s="2">
        <v>3753011</v>
      </c>
      <c r="F826" s="2">
        <v>902330007</v>
      </c>
      <c r="G826" s="3">
        <v>33652</v>
      </c>
      <c r="H826" s="2" t="s">
        <v>805</v>
      </c>
      <c r="I826" s="2" t="s">
        <v>1972</v>
      </c>
      <c r="J826" s="2" t="s">
        <v>1973</v>
      </c>
      <c r="K826" s="2" t="s">
        <v>39</v>
      </c>
      <c r="L826" s="2" t="s">
        <v>27</v>
      </c>
      <c r="M826" s="2">
        <v>5340401</v>
      </c>
      <c r="N826" s="2" t="s">
        <v>349</v>
      </c>
      <c r="O826" s="2" t="s">
        <v>88</v>
      </c>
      <c r="P826" s="2" t="s">
        <v>350</v>
      </c>
      <c r="Q826" s="2" t="s">
        <v>43</v>
      </c>
      <c r="R826" s="2" t="s">
        <v>44</v>
      </c>
      <c r="S826" s="2">
        <v>8</v>
      </c>
      <c r="T826" s="2" t="s">
        <v>33</v>
      </c>
      <c r="U826" s="2" t="s">
        <v>34</v>
      </c>
      <c r="V826" s="32">
        <v>65759144</v>
      </c>
      <c r="Y826" s="30">
        <f t="shared" si="24"/>
        <v>65759144</v>
      </c>
      <c r="Z826" s="41">
        <f t="shared" si="25"/>
        <v>0</v>
      </c>
    </row>
    <row r="827" spans="1:27" ht="26.25">
      <c r="A827" s="2">
        <v>825</v>
      </c>
      <c r="B827" s="2">
        <v>2157570</v>
      </c>
      <c r="C827" s="2">
        <v>52712016090030</v>
      </c>
      <c r="D827" s="2" t="s">
        <v>45</v>
      </c>
      <c r="E827" s="2">
        <v>8671808</v>
      </c>
      <c r="F827" s="2">
        <v>915298288</v>
      </c>
      <c r="G827" s="3">
        <v>37252</v>
      </c>
      <c r="H827" s="2" t="s">
        <v>1974</v>
      </c>
      <c r="I827" s="2" t="s">
        <v>1975</v>
      </c>
      <c r="J827" s="2" t="s">
        <v>597</v>
      </c>
      <c r="K827" s="2" t="s">
        <v>39</v>
      </c>
      <c r="L827" s="2" t="s">
        <v>57</v>
      </c>
      <c r="M827" s="2">
        <v>5310701</v>
      </c>
      <c r="N827" s="2" t="s">
        <v>118</v>
      </c>
      <c r="O827" s="2" t="s">
        <v>41</v>
      </c>
      <c r="P827" s="2" t="s">
        <v>207</v>
      </c>
      <c r="Q827" s="4">
        <v>43922</v>
      </c>
      <c r="R827" s="2" t="s">
        <v>62</v>
      </c>
      <c r="S827" s="2">
        <v>8</v>
      </c>
      <c r="T827" s="2" t="s">
        <v>33</v>
      </c>
      <c r="U827" s="2" t="s">
        <v>34</v>
      </c>
      <c r="V827" s="32">
        <v>53802936</v>
      </c>
      <c r="W827" s="21">
        <f>26902000+21237000+714000+1637345+1634346+1400000</f>
        <v>53524691</v>
      </c>
      <c r="X827" s="10" t="s">
        <v>2972</v>
      </c>
      <c r="Y827" s="30">
        <f t="shared" si="24"/>
        <v>278245</v>
      </c>
      <c r="Z827" s="41">
        <f t="shared" si="25"/>
        <v>0.99482844207609789</v>
      </c>
    </row>
    <row r="828" spans="1:27">
      <c r="A828" s="2">
        <v>826</v>
      </c>
      <c r="B828" s="2">
        <v>2866515</v>
      </c>
      <c r="C828" s="2">
        <v>30703995430016</v>
      </c>
      <c r="D828" s="2" t="s">
        <v>45</v>
      </c>
      <c r="E828" s="2">
        <v>1036075</v>
      </c>
      <c r="F828" s="2">
        <v>999404770</v>
      </c>
      <c r="G828" s="3">
        <v>36226</v>
      </c>
      <c r="H828" s="2" t="s">
        <v>1976</v>
      </c>
      <c r="I828" s="2" t="s">
        <v>120</v>
      </c>
      <c r="J828" s="2" t="s">
        <v>1977</v>
      </c>
      <c r="K828" s="2" t="s">
        <v>26</v>
      </c>
      <c r="L828" s="2" t="s">
        <v>27</v>
      </c>
      <c r="M828" s="2">
        <v>5234101</v>
      </c>
      <c r="N828" s="2" t="s">
        <v>1684</v>
      </c>
      <c r="O828" s="2" t="s">
        <v>179</v>
      </c>
      <c r="P828" s="2" t="s">
        <v>219</v>
      </c>
      <c r="Q828" s="2" t="s">
        <v>602</v>
      </c>
      <c r="R828" s="2" t="s">
        <v>134</v>
      </c>
      <c r="S828" s="2">
        <v>10</v>
      </c>
      <c r="T828" s="2" t="s">
        <v>33</v>
      </c>
      <c r="U828" s="2" t="s">
        <v>34</v>
      </c>
      <c r="V828" s="32">
        <v>91299300</v>
      </c>
      <c r="Y828" s="30">
        <f t="shared" si="24"/>
        <v>91299300</v>
      </c>
      <c r="Z828" s="41">
        <f t="shared" si="25"/>
        <v>0</v>
      </c>
    </row>
    <row r="829" spans="1:27" ht="15.75">
      <c r="A829" s="2">
        <v>827</v>
      </c>
      <c r="B829" s="2">
        <v>1855870</v>
      </c>
      <c r="C829" s="2">
        <v>32410966520020</v>
      </c>
      <c r="D829" s="2" t="s">
        <v>145</v>
      </c>
      <c r="E829" s="2">
        <v>387398</v>
      </c>
      <c r="F829" s="2">
        <v>998420730</v>
      </c>
      <c r="G829" s="3">
        <v>35362</v>
      </c>
      <c r="H829" s="2" t="s">
        <v>1978</v>
      </c>
      <c r="I829" s="2" t="s">
        <v>1284</v>
      </c>
      <c r="J829" s="2" t="s">
        <v>1979</v>
      </c>
      <c r="K829" s="2" t="s">
        <v>39</v>
      </c>
      <c r="L829" s="2" t="s">
        <v>57</v>
      </c>
      <c r="M829" s="2">
        <v>5620400</v>
      </c>
      <c r="N829" s="2" t="s">
        <v>103</v>
      </c>
      <c r="O829" s="2" t="s">
        <v>207</v>
      </c>
      <c r="P829" s="2" t="s">
        <v>139</v>
      </c>
      <c r="Q829" s="5">
        <v>44317</v>
      </c>
      <c r="R829" s="2" t="s">
        <v>62</v>
      </c>
      <c r="S829" s="2">
        <v>8</v>
      </c>
      <c r="T829" s="2" t="s">
        <v>33</v>
      </c>
      <c r="U829" s="2" t="s">
        <v>34</v>
      </c>
      <c r="V829" s="32">
        <v>11208945</v>
      </c>
      <c r="W829" s="21">
        <v>5605000</v>
      </c>
      <c r="X829" s="11" t="s">
        <v>2649</v>
      </c>
      <c r="Y829" s="30">
        <f t="shared" si="24"/>
        <v>5603945</v>
      </c>
      <c r="Z829" s="41">
        <f t="shared" si="25"/>
        <v>0.50004706062881032</v>
      </c>
    </row>
    <row r="830" spans="1:27" ht="26.25">
      <c r="A830" s="2">
        <v>828</v>
      </c>
      <c r="B830" s="2">
        <v>3611054</v>
      </c>
      <c r="C830" s="2">
        <v>52712036270018</v>
      </c>
      <c r="D830" s="2" t="s">
        <v>22</v>
      </c>
      <c r="E830" s="2">
        <v>3107996</v>
      </c>
      <c r="F830" s="2">
        <v>977001792</v>
      </c>
      <c r="G830" s="3">
        <v>37982</v>
      </c>
      <c r="H830" s="2" t="s">
        <v>509</v>
      </c>
      <c r="I830" s="2" t="s">
        <v>891</v>
      </c>
      <c r="J830" s="2" t="s">
        <v>406</v>
      </c>
      <c r="K830" s="2" t="s">
        <v>26</v>
      </c>
      <c r="L830" s="2" t="s">
        <v>27</v>
      </c>
      <c r="M830" s="2">
        <v>5620701</v>
      </c>
      <c r="N830" s="2" t="s">
        <v>218</v>
      </c>
      <c r="O830" s="2" t="s">
        <v>79</v>
      </c>
      <c r="P830" s="2" t="s">
        <v>224</v>
      </c>
      <c r="Q830" s="2" t="s">
        <v>395</v>
      </c>
      <c r="R830" s="2" t="s">
        <v>53</v>
      </c>
      <c r="S830" s="2">
        <v>8</v>
      </c>
      <c r="T830" s="2" t="s">
        <v>508</v>
      </c>
      <c r="U830" s="2" t="s">
        <v>34</v>
      </c>
      <c r="V830" s="32">
        <v>51300880</v>
      </c>
      <c r="Y830" s="30">
        <f t="shared" si="24"/>
        <v>51300880</v>
      </c>
      <c r="Z830" s="41">
        <f t="shared" si="25"/>
        <v>0</v>
      </c>
    </row>
    <row r="831" spans="1:27" ht="26.25">
      <c r="A831" s="2">
        <v>829</v>
      </c>
      <c r="B831" s="2">
        <v>3576437</v>
      </c>
      <c r="C831" s="2">
        <v>62302036560010</v>
      </c>
      <c r="D831" s="2" t="s">
        <v>22</v>
      </c>
      <c r="E831" s="2">
        <v>1757691</v>
      </c>
      <c r="F831" s="2">
        <v>972665071</v>
      </c>
      <c r="G831" s="3">
        <v>37675</v>
      </c>
      <c r="H831" s="2" t="s">
        <v>1980</v>
      </c>
      <c r="I831" s="2" t="s">
        <v>1981</v>
      </c>
      <c r="J831" s="2" t="s">
        <v>1982</v>
      </c>
      <c r="K831" s="2" t="s">
        <v>39</v>
      </c>
      <c r="L831" s="2" t="s">
        <v>57</v>
      </c>
      <c r="M831" s="2">
        <v>5620702</v>
      </c>
      <c r="N831" s="2" t="s">
        <v>159</v>
      </c>
      <c r="O831" s="2" t="s">
        <v>104</v>
      </c>
      <c r="P831" s="2" t="s">
        <v>139</v>
      </c>
      <c r="Q831" s="4">
        <v>42064</v>
      </c>
      <c r="R831" s="2" t="s">
        <v>62</v>
      </c>
      <c r="S831" s="2">
        <v>8</v>
      </c>
      <c r="T831" s="2" t="s">
        <v>33</v>
      </c>
      <c r="U831" s="2" t="s">
        <v>34</v>
      </c>
      <c r="V831" s="32">
        <v>22417890</v>
      </c>
      <c r="W831" s="21">
        <v>11209000</v>
      </c>
      <c r="X831" s="11" t="s">
        <v>2643</v>
      </c>
      <c r="Y831" s="30">
        <f t="shared" si="24"/>
        <v>11208890</v>
      </c>
      <c r="Z831" s="41">
        <f t="shared" si="25"/>
        <v>0.50000245339771054</v>
      </c>
    </row>
    <row r="832" spans="1:27" ht="51.75">
      <c r="A832" s="2">
        <v>830</v>
      </c>
      <c r="B832" s="2">
        <v>2587339</v>
      </c>
      <c r="C832" s="2">
        <v>50207028660080</v>
      </c>
      <c r="D832" s="2" t="s">
        <v>22</v>
      </c>
      <c r="E832" s="2">
        <v>2472887</v>
      </c>
      <c r="F832" s="2">
        <v>977671161</v>
      </c>
      <c r="G832" s="3">
        <v>37439</v>
      </c>
      <c r="H832" s="2" t="s">
        <v>399</v>
      </c>
      <c r="I832" s="2" t="s">
        <v>544</v>
      </c>
      <c r="J832" s="2" t="s">
        <v>1983</v>
      </c>
      <c r="K832" s="2" t="s">
        <v>39</v>
      </c>
      <c r="L832" s="2" t="s">
        <v>27</v>
      </c>
      <c r="M832" s="2">
        <v>5311003</v>
      </c>
      <c r="N832" s="2" t="s">
        <v>144</v>
      </c>
      <c r="O832" s="2" t="s">
        <v>198</v>
      </c>
      <c r="P832" s="2" t="s">
        <v>79</v>
      </c>
      <c r="Q832" s="2" t="s">
        <v>500</v>
      </c>
      <c r="R832" s="2" t="s">
        <v>62</v>
      </c>
      <c r="S832" s="2">
        <v>8</v>
      </c>
      <c r="T832" s="2" t="s">
        <v>33</v>
      </c>
      <c r="U832" s="2" t="s">
        <v>34</v>
      </c>
      <c r="V832" s="29" t="s">
        <v>2748</v>
      </c>
      <c r="W832" s="20">
        <f>30000000+15800000+8000000+3000</f>
        <v>53803000</v>
      </c>
      <c r="X832" s="2" t="s">
        <v>2979</v>
      </c>
      <c r="Y832" s="30">
        <f t="shared" si="24"/>
        <v>-64</v>
      </c>
      <c r="Z832" s="41">
        <f t="shared" si="25"/>
        <v>1.0000011895261627</v>
      </c>
      <c r="AA832" s="42" t="s">
        <v>2798</v>
      </c>
    </row>
    <row r="833" spans="1:27" ht="39">
      <c r="A833" s="2">
        <v>831</v>
      </c>
      <c r="B833" s="2">
        <v>2587185</v>
      </c>
      <c r="C833" s="2">
        <v>60207028660056</v>
      </c>
      <c r="D833" s="2" t="s">
        <v>22</v>
      </c>
      <c r="E833" s="2">
        <v>2472900</v>
      </c>
      <c r="F833" s="2">
        <v>974577776</v>
      </c>
      <c r="G833" s="3">
        <v>37439</v>
      </c>
      <c r="H833" s="2" t="s">
        <v>1984</v>
      </c>
      <c r="I833" s="2" t="s">
        <v>1985</v>
      </c>
      <c r="J833" s="2" t="s">
        <v>1986</v>
      </c>
      <c r="K833" s="2" t="s">
        <v>39</v>
      </c>
      <c r="L833" s="2" t="s">
        <v>27</v>
      </c>
      <c r="M833" s="2">
        <v>5311003</v>
      </c>
      <c r="N833" s="2" t="s">
        <v>144</v>
      </c>
      <c r="O833" s="2" t="s">
        <v>87</v>
      </c>
      <c r="P833" s="2" t="s">
        <v>79</v>
      </c>
      <c r="Q833" s="2" t="s">
        <v>440</v>
      </c>
      <c r="R833" s="2" t="s">
        <v>62</v>
      </c>
      <c r="S833" s="2">
        <v>8</v>
      </c>
      <c r="T833" s="2" t="s">
        <v>33</v>
      </c>
      <c r="U833" s="2" t="s">
        <v>34</v>
      </c>
      <c r="V833" s="29" t="s">
        <v>2748</v>
      </c>
      <c r="W833" s="22">
        <f>30000000+12150000+11653600</f>
        <v>53803600</v>
      </c>
      <c r="X833" s="2" t="s">
        <v>2971</v>
      </c>
      <c r="Y833" s="30">
        <f t="shared" si="24"/>
        <v>-664</v>
      </c>
      <c r="Z833" s="41">
        <f t="shared" si="25"/>
        <v>1.0000123413339377</v>
      </c>
      <c r="AA833" s="42" t="s">
        <v>2798</v>
      </c>
    </row>
    <row r="834" spans="1:27" ht="26.25">
      <c r="A834" s="2">
        <v>832</v>
      </c>
      <c r="B834" s="2">
        <v>1909590</v>
      </c>
      <c r="C834" s="2">
        <v>30905996640030</v>
      </c>
      <c r="D834" s="2" t="s">
        <v>45</v>
      </c>
      <c r="E834" s="2">
        <v>1900861</v>
      </c>
      <c r="F834" s="2">
        <v>911337696</v>
      </c>
      <c r="G834" s="3">
        <v>36289</v>
      </c>
      <c r="H834" s="2" t="s">
        <v>422</v>
      </c>
      <c r="I834" s="2" t="s">
        <v>1474</v>
      </c>
      <c r="J834" s="2" t="s">
        <v>1926</v>
      </c>
      <c r="K834" s="2" t="s">
        <v>39</v>
      </c>
      <c r="L834" s="2" t="s">
        <v>27</v>
      </c>
      <c r="M834" s="2">
        <v>5340202</v>
      </c>
      <c r="N834" s="2" t="s">
        <v>499</v>
      </c>
      <c r="O834" s="2" t="s">
        <v>1089</v>
      </c>
      <c r="P834" s="2" t="s">
        <v>490</v>
      </c>
      <c r="Q834" s="5">
        <v>44317</v>
      </c>
      <c r="R834" s="2" t="s">
        <v>44</v>
      </c>
      <c r="S834" s="2">
        <v>8</v>
      </c>
      <c r="T834" s="2" t="s">
        <v>33</v>
      </c>
      <c r="U834" s="2" t="s">
        <v>34</v>
      </c>
      <c r="V834" s="32" t="s">
        <v>2724</v>
      </c>
      <c r="W834" s="21">
        <f>8219893+4110000</f>
        <v>12329893</v>
      </c>
      <c r="X834" s="11" t="s">
        <v>2824</v>
      </c>
      <c r="Y834" s="30">
        <f t="shared" si="24"/>
        <v>-53.5</v>
      </c>
      <c r="Z834" s="41">
        <f t="shared" si="25"/>
        <v>1.0000043390670252</v>
      </c>
    </row>
    <row r="835" spans="1:27" ht="26.25">
      <c r="A835" s="2">
        <v>833</v>
      </c>
      <c r="B835" s="2">
        <v>3284361</v>
      </c>
      <c r="C835" s="2">
        <v>32501890231569</v>
      </c>
      <c r="D835" s="2" t="s">
        <v>45</v>
      </c>
      <c r="E835" s="2">
        <v>4450719</v>
      </c>
      <c r="F835" s="2">
        <v>946323208</v>
      </c>
      <c r="G835" s="3">
        <v>32533</v>
      </c>
      <c r="H835" s="2" t="s">
        <v>900</v>
      </c>
      <c r="I835" s="2" t="s">
        <v>1115</v>
      </c>
      <c r="J835" s="2" t="s">
        <v>495</v>
      </c>
      <c r="K835" s="2" t="s">
        <v>39</v>
      </c>
      <c r="L835" s="2" t="s">
        <v>27</v>
      </c>
      <c r="M835" s="2">
        <v>5640202</v>
      </c>
      <c r="N835" s="2" t="s">
        <v>240</v>
      </c>
      <c r="O835" s="2" t="s">
        <v>198</v>
      </c>
      <c r="P835" s="2" t="s">
        <v>241</v>
      </c>
      <c r="Q835" s="5">
        <v>44492</v>
      </c>
      <c r="R835" s="2" t="s">
        <v>62</v>
      </c>
      <c r="S835" s="2">
        <v>8</v>
      </c>
      <c r="T835" s="2" t="s">
        <v>33</v>
      </c>
      <c r="U835" s="2" t="s">
        <v>34</v>
      </c>
      <c r="V835" s="32">
        <v>59781040</v>
      </c>
      <c r="Y835" s="30">
        <f t="shared" si="24"/>
        <v>59781040</v>
      </c>
      <c r="Z835" s="41">
        <f t="shared" si="25"/>
        <v>0</v>
      </c>
    </row>
    <row r="836" spans="1:27" ht="15.75">
      <c r="A836" s="2">
        <v>834</v>
      </c>
      <c r="B836" s="2">
        <v>3531334</v>
      </c>
      <c r="C836" s="2">
        <v>50609046460017</v>
      </c>
      <c r="D836" s="2" t="s">
        <v>74</v>
      </c>
      <c r="E836" s="2">
        <v>461274</v>
      </c>
      <c r="F836" s="2">
        <v>906842920</v>
      </c>
      <c r="G836" s="3">
        <v>38236</v>
      </c>
      <c r="H836" s="2" t="s">
        <v>94</v>
      </c>
      <c r="I836" s="2" t="s">
        <v>1987</v>
      </c>
      <c r="J836" s="2" t="s">
        <v>1988</v>
      </c>
      <c r="K836" s="2" t="s">
        <v>39</v>
      </c>
      <c r="L836" s="2" t="s">
        <v>27</v>
      </c>
      <c r="M836" s="2">
        <v>5620101</v>
      </c>
      <c r="N836" s="2" t="s">
        <v>49</v>
      </c>
      <c r="O836" s="2" t="s">
        <v>41</v>
      </c>
      <c r="P836" s="2" t="s">
        <v>264</v>
      </c>
      <c r="Q836" s="2" t="s">
        <v>469</v>
      </c>
      <c r="R836" s="2" t="s">
        <v>62</v>
      </c>
      <c r="S836" s="2">
        <v>8</v>
      </c>
      <c r="T836" s="2" t="s">
        <v>33</v>
      </c>
      <c r="U836" s="2" t="s">
        <v>34</v>
      </c>
      <c r="V836" s="32">
        <v>53802936</v>
      </c>
      <c r="W836" s="21">
        <f>21000000+6000000</f>
        <v>27000000</v>
      </c>
      <c r="X836" s="10" t="s">
        <v>2772</v>
      </c>
      <c r="Y836" s="30">
        <f t="shared" ref="Y836:Y899" si="26">V836-W836</f>
        <v>26802936</v>
      </c>
      <c r="Z836" s="41">
        <f t="shared" ref="Z836:Z899" si="27">W836/V836</f>
        <v>0.50183134987280253</v>
      </c>
    </row>
    <row r="837" spans="1:27" ht="26.25">
      <c r="A837" s="2">
        <v>835</v>
      </c>
      <c r="B837" s="2">
        <v>1373248</v>
      </c>
      <c r="C837" s="2">
        <v>50801015470025</v>
      </c>
      <c r="D837" s="2" t="s">
        <v>45</v>
      </c>
      <c r="E837" s="2">
        <v>7165315</v>
      </c>
      <c r="F837" s="2">
        <v>915919476</v>
      </c>
      <c r="G837" s="3">
        <v>36899</v>
      </c>
      <c r="H837" s="2" t="s">
        <v>1169</v>
      </c>
      <c r="I837" s="2" t="s">
        <v>1989</v>
      </c>
      <c r="J837" s="2" t="s">
        <v>1990</v>
      </c>
      <c r="K837" s="2" t="s">
        <v>26</v>
      </c>
      <c r="L837" s="2" t="s">
        <v>57</v>
      </c>
      <c r="M837" s="2">
        <v>5340606</v>
      </c>
      <c r="N837" s="2" t="s">
        <v>191</v>
      </c>
      <c r="O837" s="2" t="s">
        <v>433</v>
      </c>
      <c r="P837" s="2" t="s">
        <v>179</v>
      </c>
      <c r="Q837" s="4">
        <v>14824</v>
      </c>
      <c r="R837" s="2" t="s">
        <v>93</v>
      </c>
      <c r="S837" s="2">
        <v>8</v>
      </c>
      <c r="T837" s="2" t="s">
        <v>33</v>
      </c>
      <c r="U837" s="2" t="s">
        <v>34</v>
      </c>
      <c r="V837" s="32">
        <v>113471040</v>
      </c>
      <c r="Y837" s="30">
        <f t="shared" si="26"/>
        <v>113471040</v>
      </c>
      <c r="Z837" s="41">
        <f t="shared" si="27"/>
        <v>0</v>
      </c>
    </row>
    <row r="838" spans="1:27" ht="15.75">
      <c r="A838" s="2">
        <v>836</v>
      </c>
      <c r="B838" s="2">
        <v>1846258</v>
      </c>
      <c r="C838" s="2">
        <v>51310006560034</v>
      </c>
      <c r="D838" s="2" t="s">
        <v>45</v>
      </c>
      <c r="E838" s="2">
        <v>5646669</v>
      </c>
      <c r="F838" s="2">
        <v>930006090</v>
      </c>
      <c r="G838" s="3">
        <v>36812</v>
      </c>
      <c r="H838" s="2" t="s">
        <v>926</v>
      </c>
      <c r="I838" s="2" t="s">
        <v>1460</v>
      </c>
      <c r="J838" s="2" t="s">
        <v>235</v>
      </c>
      <c r="K838" s="2" t="s">
        <v>39</v>
      </c>
      <c r="L838" s="2" t="s">
        <v>27</v>
      </c>
      <c r="M838" s="2">
        <v>5340601</v>
      </c>
      <c r="N838" s="2" t="s">
        <v>110</v>
      </c>
      <c r="O838" s="2" t="s">
        <v>241</v>
      </c>
      <c r="P838" s="2">
        <v>84</v>
      </c>
      <c r="Q838" s="5">
        <v>44471</v>
      </c>
      <c r="R838" s="2" t="s">
        <v>44</v>
      </c>
      <c r="S838" s="2">
        <v>8</v>
      </c>
      <c r="T838" s="2" t="s">
        <v>33</v>
      </c>
      <c r="U838" s="2" t="s">
        <v>34</v>
      </c>
      <c r="V838" s="32" t="s">
        <v>2726</v>
      </c>
      <c r="W838" s="21">
        <f>10549732.5+5000000</f>
        <v>15549732.5</v>
      </c>
      <c r="X838" s="11" t="s">
        <v>2923</v>
      </c>
      <c r="Y838" s="30">
        <f t="shared" si="26"/>
        <v>5000000</v>
      </c>
      <c r="Z838" s="41">
        <f t="shared" si="27"/>
        <v>0.75668783036470177</v>
      </c>
    </row>
    <row r="839" spans="1:27">
      <c r="A839" s="2">
        <v>837</v>
      </c>
      <c r="B839" s="2">
        <v>3164514</v>
      </c>
      <c r="C839" s="2">
        <v>31810951850016</v>
      </c>
      <c r="D839" s="2" t="s">
        <v>145</v>
      </c>
      <c r="E839" s="2">
        <v>9947077</v>
      </c>
      <c r="F839" s="2">
        <v>992692250</v>
      </c>
      <c r="G839" s="3">
        <v>34990</v>
      </c>
      <c r="H839" s="2" t="s">
        <v>1991</v>
      </c>
      <c r="I839" s="2" t="s">
        <v>1992</v>
      </c>
      <c r="J839" s="2" t="s">
        <v>1993</v>
      </c>
      <c r="K839" s="2" t="s">
        <v>39</v>
      </c>
      <c r="L839" s="2" t="s">
        <v>27</v>
      </c>
      <c r="M839" s="2">
        <v>5620400</v>
      </c>
      <c r="N839" s="2" t="s">
        <v>103</v>
      </c>
      <c r="O839" s="2" t="s">
        <v>104</v>
      </c>
      <c r="P839" s="2" t="s">
        <v>123</v>
      </c>
      <c r="Q839" s="2" t="s">
        <v>61</v>
      </c>
      <c r="R839" s="2" t="s">
        <v>62</v>
      </c>
      <c r="S839" s="2">
        <v>8</v>
      </c>
      <c r="T839" s="2" t="s">
        <v>33</v>
      </c>
      <c r="U839" s="2" t="s">
        <v>34</v>
      </c>
      <c r="V839" s="32">
        <v>53802936</v>
      </c>
      <c r="W839" s="20">
        <v>27000000</v>
      </c>
      <c r="X839" s="2" t="s">
        <v>2687</v>
      </c>
      <c r="Y839" s="30">
        <f t="shared" si="26"/>
        <v>26802936</v>
      </c>
      <c r="Z839" s="41">
        <f t="shared" si="27"/>
        <v>0.50183134987280253</v>
      </c>
    </row>
    <row r="840" spans="1:27">
      <c r="A840" s="2">
        <v>838</v>
      </c>
      <c r="B840" s="2">
        <v>2016180</v>
      </c>
      <c r="C840" s="2">
        <v>30903985380022</v>
      </c>
      <c r="D840" s="2" t="s">
        <v>145</v>
      </c>
      <c r="E840" s="2">
        <v>7103430</v>
      </c>
      <c r="F840" s="2">
        <v>936426656</v>
      </c>
      <c r="G840" s="3">
        <v>35863</v>
      </c>
      <c r="H840" s="2" t="s">
        <v>417</v>
      </c>
      <c r="I840" s="2" t="s">
        <v>1994</v>
      </c>
      <c r="J840" s="2" t="s">
        <v>1995</v>
      </c>
      <c r="K840" s="2" t="s">
        <v>26</v>
      </c>
      <c r="L840" s="2" t="s">
        <v>27</v>
      </c>
      <c r="M840" s="2">
        <v>5340601</v>
      </c>
      <c r="N840" s="2" t="s">
        <v>110</v>
      </c>
      <c r="O840" s="2" t="s">
        <v>67</v>
      </c>
      <c r="P840" s="2" t="s">
        <v>402</v>
      </c>
      <c r="Q840" s="2" t="s">
        <v>170</v>
      </c>
      <c r="R840" s="2" t="s">
        <v>93</v>
      </c>
      <c r="S840" s="2">
        <v>8</v>
      </c>
      <c r="T840" s="2" t="s">
        <v>508</v>
      </c>
      <c r="U840" s="2" t="s">
        <v>34</v>
      </c>
      <c r="V840" s="32">
        <v>56735520</v>
      </c>
      <c r="Y840" s="30">
        <f t="shared" si="26"/>
        <v>56735520</v>
      </c>
      <c r="Z840" s="41">
        <f t="shared" si="27"/>
        <v>0</v>
      </c>
    </row>
    <row r="841" spans="1:27">
      <c r="A841" s="2">
        <v>839</v>
      </c>
      <c r="B841" s="2">
        <v>2188874</v>
      </c>
      <c r="C841" s="2">
        <v>60808036350018</v>
      </c>
      <c r="D841" s="2" t="s">
        <v>22</v>
      </c>
      <c r="E841" s="2">
        <v>2176383</v>
      </c>
      <c r="F841" s="2">
        <v>997164843</v>
      </c>
      <c r="G841" s="3">
        <v>37841</v>
      </c>
      <c r="H841" s="2" t="s">
        <v>1996</v>
      </c>
      <c r="I841" s="2" t="s">
        <v>1997</v>
      </c>
      <c r="J841" s="2" t="s">
        <v>1998</v>
      </c>
      <c r="K841" s="2" t="s">
        <v>26</v>
      </c>
      <c r="L841" s="2" t="s">
        <v>27</v>
      </c>
      <c r="M841" s="2">
        <v>5240109</v>
      </c>
      <c r="N841" s="2" t="s">
        <v>28</v>
      </c>
      <c r="O841" s="2" t="s">
        <v>584</v>
      </c>
      <c r="P841" s="2" t="s">
        <v>30</v>
      </c>
      <c r="Q841" s="2" t="s">
        <v>296</v>
      </c>
      <c r="R841" s="2" t="s">
        <v>32</v>
      </c>
      <c r="S841" s="2">
        <v>25</v>
      </c>
      <c r="T841" s="2" t="s">
        <v>33</v>
      </c>
      <c r="U841" s="2" t="s">
        <v>34</v>
      </c>
      <c r="V841" s="32">
        <v>245231500</v>
      </c>
      <c r="Y841" s="30">
        <f t="shared" si="26"/>
        <v>245231500</v>
      </c>
      <c r="Z841" s="41">
        <f t="shared" si="27"/>
        <v>0</v>
      </c>
    </row>
    <row r="842" spans="1:27" ht="26.25">
      <c r="A842" s="2">
        <v>840</v>
      </c>
      <c r="B842" s="2">
        <v>2038042</v>
      </c>
      <c r="C842" s="2">
        <v>30705986520043</v>
      </c>
      <c r="D842" s="2" t="s">
        <v>145</v>
      </c>
      <c r="E842" s="2">
        <v>6060632</v>
      </c>
      <c r="F842" s="2">
        <v>998652672</v>
      </c>
      <c r="G842" s="3">
        <v>35922</v>
      </c>
      <c r="H842" s="2" t="s">
        <v>1288</v>
      </c>
      <c r="I842" s="2" t="s">
        <v>1999</v>
      </c>
      <c r="J842" s="2" t="s">
        <v>2000</v>
      </c>
      <c r="K842" s="2" t="s">
        <v>39</v>
      </c>
      <c r="L842" s="2" t="s">
        <v>27</v>
      </c>
      <c r="M842" s="2">
        <v>5620702</v>
      </c>
      <c r="N842" s="2" t="s">
        <v>159</v>
      </c>
      <c r="O842" s="2" t="s">
        <v>149</v>
      </c>
      <c r="P842" s="2" t="s">
        <v>629</v>
      </c>
      <c r="Q842" s="4">
        <v>14824</v>
      </c>
      <c r="R842" s="2" t="s">
        <v>62</v>
      </c>
      <c r="S842" s="2">
        <v>8</v>
      </c>
      <c r="T842" s="2" t="s">
        <v>33</v>
      </c>
      <c r="U842" s="2" t="s">
        <v>34</v>
      </c>
      <c r="V842" s="32">
        <v>53802936</v>
      </c>
      <c r="W842" s="20">
        <v>26902000</v>
      </c>
      <c r="X842" s="2" t="s">
        <v>2687</v>
      </c>
      <c r="Y842" s="30">
        <f t="shared" si="26"/>
        <v>26900936</v>
      </c>
      <c r="Z842" s="41">
        <f t="shared" si="27"/>
        <v>0.50000988793622714</v>
      </c>
    </row>
    <row r="843" spans="1:27" ht="26.25">
      <c r="A843" s="2">
        <v>841</v>
      </c>
      <c r="B843" s="2">
        <v>3432771</v>
      </c>
      <c r="C843" s="2">
        <v>50507046760037</v>
      </c>
      <c r="D843" s="2" t="s">
        <v>22</v>
      </c>
      <c r="E843" s="2">
        <v>2862306</v>
      </c>
      <c r="F843" s="2">
        <v>998312147</v>
      </c>
      <c r="G843" s="3">
        <v>38173</v>
      </c>
      <c r="H843" s="2" t="s">
        <v>2001</v>
      </c>
      <c r="I843" s="2" t="s">
        <v>2002</v>
      </c>
      <c r="J843" s="2" t="s">
        <v>2003</v>
      </c>
      <c r="K843" s="2" t="s">
        <v>26</v>
      </c>
      <c r="L843" s="2" t="s">
        <v>27</v>
      </c>
      <c r="M843" s="2">
        <v>5310605</v>
      </c>
      <c r="N843" s="2" t="s">
        <v>97</v>
      </c>
      <c r="O843" s="2" t="s">
        <v>179</v>
      </c>
      <c r="P843" s="2" t="s">
        <v>98</v>
      </c>
      <c r="Q843" s="2" t="s">
        <v>818</v>
      </c>
      <c r="R843" s="2" t="s">
        <v>53</v>
      </c>
      <c r="S843" s="2">
        <v>8</v>
      </c>
      <c r="T843" s="2" t="s">
        <v>33</v>
      </c>
      <c r="U843" s="2" t="s">
        <v>34</v>
      </c>
      <c r="V843" s="32">
        <v>51300880</v>
      </c>
      <c r="W843" s="21">
        <f>25651000+23084892</f>
        <v>48735892</v>
      </c>
      <c r="X843" s="10" t="s">
        <v>2986</v>
      </c>
      <c r="Y843" s="30">
        <f t="shared" si="26"/>
        <v>2564988</v>
      </c>
      <c r="Z843" s="41">
        <f t="shared" si="27"/>
        <v>0.95000109159920842</v>
      </c>
    </row>
    <row r="844" spans="1:27" ht="26.25">
      <c r="A844" s="2">
        <v>842</v>
      </c>
      <c r="B844" s="2">
        <v>1733267</v>
      </c>
      <c r="C844" s="2">
        <v>41108922530032</v>
      </c>
      <c r="D844" s="2" t="s">
        <v>145</v>
      </c>
      <c r="E844" s="2">
        <v>6894244</v>
      </c>
      <c r="F844" s="2">
        <v>979503231</v>
      </c>
      <c r="G844" s="3">
        <v>33827</v>
      </c>
      <c r="H844" s="2" t="s">
        <v>1065</v>
      </c>
      <c r="I844" s="2" t="s">
        <v>2004</v>
      </c>
      <c r="J844" s="2" t="s">
        <v>231</v>
      </c>
      <c r="K844" s="2" t="s">
        <v>39</v>
      </c>
      <c r="L844" s="2" t="s">
        <v>27</v>
      </c>
      <c r="M844" s="2">
        <v>5230903</v>
      </c>
      <c r="N844" s="2" t="s">
        <v>314</v>
      </c>
      <c r="O844" s="2" t="s">
        <v>198</v>
      </c>
      <c r="P844" s="2" t="s">
        <v>298</v>
      </c>
      <c r="Q844" s="2" t="s">
        <v>166</v>
      </c>
      <c r="R844" s="2" t="s">
        <v>82</v>
      </c>
      <c r="S844" s="2">
        <v>10</v>
      </c>
      <c r="T844" s="2" t="s">
        <v>33</v>
      </c>
      <c r="U844" s="2" t="s">
        <v>34</v>
      </c>
      <c r="V844" s="32">
        <v>104616820</v>
      </c>
      <c r="Y844" s="30">
        <f t="shared" si="26"/>
        <v>104616820</v>
      </c>
      <c r="Z844" s="41">
        <f t="shared" si="27"/>
        <v>0</v>
      </c>
    </row>
    <row r="845" spans="1:27" ht="26.25">
      <c r="A845" s="2">
        <v>843</v>
      </c>
      <c r="B845" s="2">
        <v>3610249</v>
      </c>
      <c r="C845" s="2">
        <v>51512037000022</v>
      </c>
      <c r="D845" s="2" t="s">
        <v>74</v>
      </c>
      <c r="E845" s="2">
        <v>181071</v>
      </c>
      <c r="F845" s="2">
        <v>911399698</v>
      </c>
      <c r="G845" s="3">
        <v>37970</v>
      </c>
      <c r="H845" s="2" t="s">
        <v>2005</v>
      </c>
      <c r="I845" s="2" t="s">
        <v>2006</v>
      </c>
      <c r="J845" s="2" t="s">
        <v>2007</v>
      </c>
      <c r="K845" s="2" t="s">
        <v>26</v>
      </c>
      <c r="L845" s="2" t="s">
        <v>27</v>
      </c>
      <c r="M845" s="2">
        <v>5340602</v>
      </c>
      <c r="N845" s="2" t="s">
        <v>628</v>
      </c>
      <c r="O845" s="2" t="s">
        <v>345</v>
      </c>
      <c r="P845" s="2" t="s">
        <v>1089</v>
      </c>
      <c r="Q845" s="4">
        <v>42064</v>
      </c>
      <c r="R845" s="2" t="s">
        <v>93</v>
      </c>
      <c r="S845" s="2">
        <v>8</v>
      </c>
      <c r="T845" s="2" t="s">
        <v>508</v>
      </c>
      <c r="U845" s="2" t="s">
        <v>34</v>
      </c>
      <c r="V845" s="32">
        <v>21275820</v>
      </c>
      <c r="Y845" s="30">
        <f t="shared" si="26"/>
        <v>21275820</v>
      </c>
      <c r="Z845" s="41">
        <f t="shared" si="27"/>
        <v>0</v>
      </c>
    </row>
    <row r="846" spans="1:27" ht="31.5">
      <c r="A846" s="2">
        <v>844</v>
      </c>
      <c r="B846" s="2">
        <v>1850358</v>
      </c>
      <c r="C846" s="2">
        <v>31104850550031</v>
      </c>
      <c r="D846" s="2" t="s">
        <v>145</v>
      </c>
      <c r="E846" s="2">
        <v>548454</v>
      </c>
      <c r="F846" s="2" t="s">
        <v>2008</v>
      </c>
      <c r="G846" s="3">
        <v>31148</v>
      </c>
      <c r="H846" s="2" t="s">
        <v>125</v>
      </c>
      <c r="I846" s="2" t="s">
        <v>1167</v>
      </c>
      <c r="J846" s="2" t="s">
        <v>2009</v>
      </c>
      <c r="K846" s="2" t="s">
        <v>39</v>
      </c>
      <c r="L846" s="2" t="s">
        <v>27</v>
      </c>
      <c r="M846" s="2">
        <v>5310601</v>
      </c>
      <c r="N846" s="2" t="s">
        <v>153</v>
      </c>
      <c r="O846" s="2">
        <v>63</v>
      </c>
      <c r="P846" s="2" t="s">
        <v>79</v>
      </c>
      <c r="Q846" s="5">
        <v>44492</v>
      </c>
      <c r="R846" s="2" t="s">
        <v>62</v>
      </c>
      <c r="S846" s="2">
        <v>8</v>
      </c>
      <c r="T846" s="2" t="s">
        <v>33</v>
      </c>
      <c r="U846" s="2" t="s">
        <v>34</v>
      </c>
      <c r="V846" s="32">
        <v>53802936</v>
      </c>
      <c r="W846" s="21">
        <f>26901500+15000000</f>
        <v>41901500</v>
      </c>
      <c r="X846" s="45" t="s">
        <v>2991</v>
      </c>
      <c r="Y846" s="30">
        <f t="shared" si="26"/>
        <v>11901436</v>
      </c>
      <c r="Z846" s="41">
        <f t="shared" si="27"/>
        <v>0.77879578913686054</v>
      </c>
    </row>
    <row r="847" spans="1:27" ht="26.25">
      <c r="A847" s="2">
        <v>845</v>
      </c>
      <c r="B847" s="2">
        <v>1593226</v>
      </c>
      <c r="C847" s="2">
        <v>31905946600016</v>
      </c>
      <c r="D847" s="2" t="s">
        <v>145</v>
      </c>
      <c r="E847" s="2">
        <v>879975</v>
      </c>
      <c r="F847" s="2" t="s">
        <v>2008</v>
      </c>
      <c r="G847" s="3">
        <v>34473</v>
      </c>
      <c r="H847" s="2" t="s">
        <v>2010</v>
      </c>
      <c r="I847" s="2" t="s">
        <v>2011</v>
      </c>
      <c r="J847" s="2" t="s">
        <v>2012</v>
      </c>
      <c r="K847" s="2" t="s">
        <v>39</v>
      </c>
      <c r="L847" s="2" t="s">
        <v>27</v>
      </c>
      <c r="M847" s="2">
        <v>5350701</v>
      </c>
      <c r="N847" s="2" t="s">
        <v>338</v>
      </c>
      <c r="O847" s="2" t="s">
        <v>149</v>
      </c>
      <c r="P847" s="2" t="s">
        <v>73</v>
      </c>
      <c r="Q847" s="4">
        <v>12966</v>
      </c>
      <c r="R847" s="2" t="s">
        <v>44</v>
      </c>
      <c r="S847" s="2">
        <v>8</v>
      </c>
      <c r="T847" s="2" t="s">
        <v>33</v>
      </c>
      <c r="U847" s="2" t="s">
        <v>34</v>
      </c>
      <c r="V847" s="32">
        <v>65759144</v>
      </c>
      <c r="Y847" s="30">
        <f t="shared" si="26"/>
        <v>65759144</v>
      </c>
      <c r="Z847" s="41">
        <f t="shared" si="27"/>
        <v>0</v>
      </c>
    </row>
    <row r="848" spans="1:27">
      <c r="A848" s="2">
        <v>846</v>
      </c>
      <c r="B848" s="2">
        <v>1668914</v>
      </c>
      <c r="C848" s="2">
        <v>30108997420021</v>
      </c>
      <c r="D848" s="2" t="s">
        <v>45</v>
      </c>
      <c r="E848" s="2">
        <v>851246</v>
      </c>
      <c r="F848" s="2">
        <v>972741767</v>
      </c>
      <c r="G848" s="3">
        <v>36373</v>
      </c>
      <c r="H848" s="2" t="s">
        <v>135</v>
      </c>
      <c r="I848" s="2" t="s">
        <v>2013</v>
      </c>
      <c r="J848" s="2" t="s">
        <v>2014</v>
      </c>
      <c r="K848" s="2" t="s">
        <v>39</v>
      </c>
      <c r="L848" s="2" t="s">
        <v>57</v>
      </c>
      <c r="M848" s="2">
        <v>5310606</v>
      </c>
      <c r="N848" s="2" t="s">
        <v>72</v>
      </c>
      <c r="O848" s="2" t="s">
        <v>87</v>
      </c>
      <c r="P848" s="2" t="s">
        <v>225</v>
      </c>
      <c r="Q848" s="4">
        <v>45778</v>
      </c>
      <c r="R848" s="2" t="s">
        <v>62</v>
      </c>
      <c r="S848" s="2">
        <v>8</v>
      </c>
      <c r="T848" s="2" t="s">
        <v>33</v>
      </c>
      <c r="U848" s="2" t="s">
        <v>34</v>
      </c>
      <c r="V848" s="32">
        <v>59781040</v>
      </c>
      <c r="Y848" s="30">
        <f t="shared" si="26"/>
        <v>59781040</v>
      </c>
      <c r="Z848" s="41">
        <f t="shared" si="27"/>
        <v>0</v>
      </c>
    </row>
    <row r="849" spans="1:26" ht="26.25">
      <c r="A849" s="2">
        <v>847</v>
      </c>
      <c r="B849" s="2">
        <v>1250969</v>
      </c>
      <c r="C849" s="2">
        <v>31906985540011</v>
      </c>
      <c r="D849" s="2" t="s">
        <v>145</v>
      </c>
      <c r="E849" s="2">
        <v>8661308</v>
      </c>
      <c r="F849" s="2" t="s">
        <v>2008</v>
      </c>
      <c r="G849" s="3">
        <v>35965</v>
      </c>
      <c r="H849" s="2" t="s">
        <v>2015</v>
      </c>
      <c r="I849" s="2" t="s">
        <v>2016</v>
      </c>
      <c r="J849" s="2" t="s">
        <v>2017</v>
      </c>
      <c r="K849" s="2" t="s">
        <v>39</v>
      </c>
      <c r="L849" s="2" t="s">
        <v>27</v>
      </c>
      <c r="M849" s="2">
        <v>5620702</v>
      </c>
      <c r="N849" s="2" t="s">
        <v>159</v>
      </c>
      <c r="O849" s="2" t="s">
        <v>350</v>
      </c>
      <c r="P849" s="2" t="s">
        <v>629</v>
      </c>
      <c r="Q849" s="4">
        <v>42064</v>
      </c>
      <c r="R849" s="2" t="s">
        <v>62</v>
      </c>
      <c r="S849" s="2">
        <v>8</v>
      </c>
      <c r="T849" s="2" t="s">
        <v>33</v>
      </c>
      <c r="U849" s="2" t="s">
        <v>34</v>
      </c>
      <c r="V849" s="32">
        <v>22417890</v>
      </c>
      <c r="W849" s="21">
        <v>12000000</v>
      </c>
      <c r="X849" s="11" t="s">
        <v>2628</v>
      </c>
      <c r="Y849" s="30">
        <f t="shared" si="26"/>
        <v>10417890</v>
      </c>
      <c r="Z849" s="41">
        <f t="shared" si="27"/>
        <v>0.53528677319765594</v>
      </c>
    </row>
    <row r="850" spans="1:26" ht="39">
      <c r="A850" s="2">
        <v>848</v>
      </c>
      <c r="B850" s="2">
        <v>1212776</v>
      </c>
      <c r="C850" s="2">
        <v>32004997420017</v>
      </c>
      <c r="D850" s="2" t="s">
        <v>145</v>
      </c>
      <c r="E850" s="2">
        <v>9731991</v>
      </c>
      <c r="F850" s="2" t="s">
        <v>2008</v>
      </c>
      <c r="G850" s="3">
        <v>36270</v>
      </c>
      <c r="H850" s="2" t="s">
        <v>1661</v>
      </c>
      <c r="I850" s="2" t="s">
        <v>2018</v>
      </c>
      <c r="J850" s="2" t="s">
        <v>2019</v>
      </c>
      <c r="K850" s="2" t="s">
        <v>39</v>
      </c>
      <c r="L850" s="2" t="s">
        <v>27</v>
      </c>
      <c r="M850" s="2">
        <v>5311003</v>
      </c>
      <c r="N850" s="2" t="s">
        <v>144</v>
      </c>
      <c r="O850" s="2" t="s">
        <v>88</v>
      </c>
      <c r="P850" s="2" t="s">
        <v>79</v>
      </c>
      <c r="Q850" s="5">
        <v>44338</v>
      </c>
      <c r="R850" s="2" t="s">
        <v>62</v>
      </c>
      <c r="S850" s="2">
        <v>8</v>
      </c>
      <c r="T850" s="2" t="s">
        <v>33</v>
      </c>
      <c r="U850" s="2" t="s">
        <v>34</v>
      </c>
      <c r="V850" s="32">
        <v>59781040</v>
      </c>
      <c r="Y850" s="30">
        <f t="shared" si="26"/>
        <v>59781040</v>
      </c>
      <c r="Z850" s="41">
        <f t="shared" si="27"/>
        <v>0</v>
      </c>
    </row>
    <row r="851" spans="1:26" ht="26.25">
      <c r="A851" s="2">
        <v>849</v>
      </c>
      <c r="B851" s="2">
        <v>1020797</v>
      </c>
      <c r="C851" s="2">
        <v>32204976520037</v>
      </c>
      <c r="D851" s="2" t="s">
        <v>145</v>
      </c>
      <c r="E851" s="2">
        <v>1280018</v>
      </c>
      <c r="F851" s="2" t="s">
        <v>2008</v>
      </c>
      <c r="G851" s="3">
        <v>35542</v>
      </c>
      <c r="H851" s="2" t="s">
        <v>2020</v>
      </c>
      <c r="I851" s="2" t="s">
        <v>2021</v>
      </c>
      <c r="J851" s="2" t="s">
        <v>1440</v>
      </c>
      <c r="K851" s="2" t="s">
        <v>39</v>
      </c>
      <c r="L851" s="2" t="s">
        <v>27</v>
      </c>
      <c r="M851" s="2">
        <v>5230903</v>
      </c>
      <c r="N851" s="2" t="s">
        <v>314</v>
      </c>
      <c r="O851" s="2" t="s">
        <v>194</v>
      </c>
      <c r="P851" s="2" t="s">
        <v>298</v>
      </c>
      <c r="Q851" s="2" t="s">
        <v>500</v>
      </c>
      <c r="R851" s="2" t="s">
        <v>82</v>
      </c>
      <c r="S851" s="2">
        <v>10</v>
      </c>
      <c r="T851" s="2" t="s">
        <v>33</v>
      </c>
      <c r="U851" s="2" t="s">
        <v>34</v>
      </c>
      <c r="V851" s="32">
        <v>104616820</v>
      </c>
      <c r="Y851" s="30">
        <f t="shared" si="26"/>
        <v>104616820</v>
      </c>
      <c r="Z851" s="41">
        <f t="shared" si="27"/>
        <v>0</v>
      </c>
    </row>
    <row r="852" spans="1:26" ht="26.25">
      <c r="A852" s="2">
        <v>850</v>
      </c>
      <c r="B852" s="2">
        <v>1894824</v>
      </c>
      <c r="C852" s="2">
        <v>30105996430026</v>
      </c>
      <c r="D852" s="2" t="s">
        <v>45</v>
      </c>
      <c r="E852" s="2">
        <v>3159525</v>
      </c>
      <c r="F852" s="2" t="s">
        <v>2008</v>
      </c>
      <c r="G852" s="3">
        <v>36281</v>
      </c>
      <c r="H852" s="2" t="s">
        <v>315</v>
      </c>
      <c r="I852" s="2" t="s">
        <v>2022</v>
      </c>
      <c r="J852" s="2" t="s">
        <v>1710</v>
      </c>
      <c r="K852" s="2" t="s">
        <v>39</v>
      </c>
      <c r="L852" s="2" t="s">
        <v>27</v>
      </c>
      <c r="M852" s="2">
        <v>5310701</v>
      </c>
      <c r="N852" s="2" t="s">
        <v>118</v>
      </c>
      <c r="O852" s="2" t="s">
        <v>281</v>
      </c>
      <c r="P852" s="2" t="s">
        <v>123</v>
      </c>
      <c r="Q852" s="2" t="s">
        <v>421</v>
      </c>
      <c r="R852" s="2" t="s">
        <v>62</v>
      </c>
      <c r="S852" s="2">
        <v>8</v>
      </c>
      <c r="T852" s="2" t="s">
        <v>33</v>
      </c>
      <c r="U852" s="2" t="s">
        <v>34</v>
      </c>
      <c r="V852" s="32">
        <v>119562080</v>
      </c>
      <c r="Y852" s="30">
        <f t="shared" si="26"/>
        <v>119562080</v>
      </c>
      <c r="Z852" s="41">
        <f t="shared" si="27"/>
        <v>0</v>
      </c>
    </row>
    <row r="853" spans="1:26" ht="26.25">
      <c r="A853" s="2">
        <v>851</v>
      </c>
      <c r="B853" s="2">
        <v>1339070</v>
      </c>
      <c r="C853" s="2">
        <v>32202965470011</v>
      </c>
      <c r="D853" s="2" t="s">
        <v>145</v>
      </c>
      <c r="E853" s="2">
        <v>1258373</v>
      </c>
      <c r="F853" s="2" t="s">
        <v>2008</v>
      </c>
      <c r="G853" s="3">
        <v>35117</v>
      </c>
      <c r="H853" s="2" t="s">
        <v>625</v>
      </c>
      <c r="I853" s="2" t="s">
        <v>2023</v>
      </c>
      <c r="J853" s="2" t="s">
        <v>2024</v>
      </c>
      <c r="K853" s="2" t="s">
        <v>39</v>
      </c>
      <c r="L853" s="2" t="s">
        <v>27</v>
      </c>
      <c r="M853" s="2">
        <v>5320102</v>
      </c>
      <c r="N853" s="2" t="s">
        <v>138</v>
      </c>
      <c r="O853" s="2">
        <v>63</v>
      </c>
      <c r="P853" s="2" t="s">
        <v>140</v>
      </c>
      <c r="Q853" s="4">
        <v>22251</v>
      </c>
      <c r="R853" s="2" t="s">
        <v>62</v>
      </c>
      <c r="S853" s="2">
        <v>8</v>
      </c>
      <c r="T853" s="2" t="s">
        <v>33</v>
      </c>
      <c r="U853" s="2" t="s">
        <v>34</v>
      </c>
      <c r="V853" s="32">
        <v>59781040</v>
      </c>
      <c r="Y853" s="30">
        <f t="shared" si="26"/>
        <v>59781040</v>
      </c>
      <c r="Z853" s="41">
        <f t="shared" si="27"/>
        <v>0</v>
      </c>
    </row>
    <row r="854" spans="1:26">
      <c r="A854" s="2">
        <v>852</v>
      </c>
      <c r="B854" s="2">
        <v>3575421</v>
      </c>
      <c r="C854" s="2">
        <v>50710036500010</v>
      </c>
      <c r="D854" s="2" t="s">
        <v>22</v>
      </c>
      <c r="E854" s="2">
        <v>2293387</v>
      </c>
      <c r="F854" s="2" t="s">
        <v>2008</v>
      </c>
      <c r="G854" s="3">
        <v>37901</v>
      </c>
      <c r="H854" s="2" t="s">
        <v>257</v>
      </c>
      <c r="I854" s="2" t="s">
        <v>147</v>
      </c>
      <c r="J854" s="2" t="s">
        <v>649</v>
      </c>
      <c r="K854" s="2" t="s">
        <v>26</v>
      </c>
      <c r="L854" s="2" t="s">
        <v>57</v>
      </c>
      <c r="M854" s="2">
        <v>5620101</v>
      </c>
      <c r="N854" s="2" t="s">
        <v>49</v>
      </c>
      <c r="O854" s="2" t="s">
        <v>433</v>
      </c>
      <c r="P854" s="2" t="s">
        <v>199</v>
      </c>
      <c r="Q854" s="2" t="s">
        <v>288</v>
      </c>
      <c r="R854" s="2" t="s">
        <v>53</v>
      </c>
      <c r="S854" s="2">
        <v>8</v>
      </c>
      <c r="T854" s="2" t="s">
        <v>33</v>
      </c>
      <c r="U854" s="2" t="s">
        <v>34</v>
      </c>
      <c r="V854" s="32">
        <v>102601760</v>
      </c>
      <c r="Y854" s="30">
        <f t="shared" si="26"/>
        <v>102601760</v>
      </c>
      <c r="Z854" s="41">
        <f t="shared" si="27"/>
        <v>0</v>
      </c>
    </row>
    <row r="855" spans="1:26">
      <c r="A855" s="2">
        <v>853</v>
      </c>
      <c r="B855" s="2">
        <v>3002020</v>
      </c>
      <c r="C855" s="2">
        <v>32104985820019</v>
      </c>
      <c r="D855" s="2" t="s">
        <v>145</v>
      </c>
      <c r="E855" s="2">
        <v>5886843</v>
      </c>
      <c r="F855" s="2">
        <v>942262510</v>
      </c>
      <c r="G855" s="3">
        <v>35906</v>
      </c>
      <c r="H855" s="2" t="s">
        <v>496</v>
      </c>
      <c r="I855" s="2" t="s">
        <v>2025</v>
      </c>
      <c r="J855" s="2" t="s">
        <v>2026</v>
      </c>
      <c r="K855" s="2" t="s">
        <v>39</v>
      </c>
      <c r="L855" s="2" t="s">
        <v>57</v>
      </c>
      <c r="M855" s="2">
        <v>5310400</v>
      </c>
      <c r="N855" s="2" t="s">
        <v>232</v>
      </c>
      <c r="O855" s="2" t="s">
        <v>207</v>
      </c>
      <c r="P855" s="2" t="s">
        <v>139</v>
      </c>
      <c r="Q855" s="5">
        <v>44317</v>
      </c>
      <c r="R855" s="2" t="s">
        <v>62</v>
      </c>
      <c r="S855" s="2">
        <v>8</v>
      </c>
      <c r="T855" s="2" t="s">
        <v>33</v>
      </c>
      <c r="U855" s="2" t="s">
        <v>34</v>
      </c>
      <c r="V855" s="32" t="s">
        <v>2725</v>
      </c>
      <c r="Y855" s="30">
        <f t="shared" si="26"/>
        <v>10088050.5</v>
      </c>
      <c r="Z855" s="41">
        <f t="shared" si="27"/>
        <v>0</v>
      </c>
    </row>
    <row r="856" spans="1:26" ht="15.75">
      <c r="A856" s="2">
        <v>854</v>
      </c>
      <c r="B856" s="2">
        <v>1704717</v>
      </c>
      <c r="C856" s="2">
        <v>32509986170019</v>
      </c>
      <c r="D856" s="2" t="s">
        <v>145</v>
      </c>
      <c r="E856" s="2">
        <v>7585834</v>
      </c>
      <c r="F856" s="2">
        <v>901962155</v>
      </c>
      <c r="G856" s="3">
        <v>36063</v>
      </c>
      <c r="H856" s="2" t="s">
        <v>2027</v>
      </c>
      <c r="I856" s="2" t="s">
        <v>2028</v>
      </c>
      <c r="J856" s="2" t="s">
        <v>963</v>
      </c>
      <c r="K856" s="2" t="s">
        <v>39</v>
      </c>
      <c r="L856" s="2" t="s">
        <v>27</v>
      </c>
      <c r="M856" s="2">
        <v>5310606</v>
      </c>
      <c r="N856" s="2" t="s">
        <v>72</v>
      </c>
      <c r="O856" s="2" t="s">
        <v>149</v>
      </c>
      <c r="P856" s="2" t="s">
        <v>73</v>
      </c>
      <c r="Q856" s="4">
        <v>12966</v>
      </c>
      <c r="R856" s="2" t="s">
        <v>62</v>
      </c>
      <c r="S856" s="2">
        <v>8</v>
      </c>
      <c r="T856" s="2" t="s">
        <v>33</v>
      </c>
      <c r="U856" s="2" t="s">
        <v>34</v>
      </c>
      <c r="V856" s="32">
        <v>53802936</v>
      </c>
      <c r="W856" s="21">
        <v>26902000</v>
      </c>
      <c r="X856" s="11" t="s">
        <v>2640</v>
      </c>
      <c r="Y856" s="30">
        <f t="shared" si="26"/>
        <v>26900936</v>
      </c>
      <c r="Z856" s="41">
        <f t="shared" si="27"/>
        <v>0.50000988793622714</v>
      </c>
    </row>
    <row r="857" spans="1:26" ht="26.25">
      <c r="A857" s="2">
        <v>855</v>
      </c>
      <c r="B857" s="2">
        <v>2410289</v>
      </c>
      <c r="C857" s="2">
        <v>50807016790016</v>
      </c>
      <c r="D857" s="2" t="s">
        <v>45</v>
      </c>
      <c r="E857" s="2">
        <v>7199139</v>
      </c>
      <c r="F857" s="2" t="s">
        <v>2008</v>
      </c>
      <c r="G857" s="3">
        <v>37080</v>
      </c>
      <c r="H857" s="2" t="s">
        <v>2029</v>
      </c>
      <c r="I857" s="2" t="s">
        <v>1273</v>
      </c>
      <c r="J857" s="2" t="s">
        <v>1388</v>
      </c>
      <c r="K857" s="2" t="s">
        <v>26</v>
      </c>
      <c r="L857" s="2" t="s">
        <v>57</v>
      </c>
      <c r="M857" s="2">
        <v>5310603</v>
      </c>
      <c r="N857" s="2" t="s">
        <v>295</v>
      </c>
      <c r="O857" s="2" t="s">
        <v>281</v>
      </c>
      <c r="P857" s="2" t="s">
        <v>60</v>
      </c>
      <c r="Q857" s="5">
        <v>44317</v>
      </c>
      <c r="R857" s="2" t="s">
        <v>53</v>
      </c>
      <c r="S857" s="2">
        <v>8</v>
      </c>
      <c r="T857" s="2" t="s">
        <v>33</v>
      </c>
      <c r="U857" s="2" t="s">
        <v>34</v>
      </c>
      <c r="V857" s="32">
        <v>102601760</v>
      </c>
      <c r="Y857" s="30">
        <f t="shared" si="26"/>
        <v>102601760</v>
      </c>
      <c r="Z857" s="41">
        <f t="shared" si="27"/>
        <v>0</v>
      </c>
    </row>
    <row r="858" spans="1:26" ht="26.25">
      <c r="A858" s="2">
        <v>856</v>
      </c>
      <c r="B858" s="2">
        <v>3612706</v>
      </c>
      <c r="C858" s="2">
        <v>30208965750036</v>
      </c>
      <c r="D858" s="2" t="s">
        <v>145</v>
      </c>
      <c r="E858" s="2">
        <v>5307941</v>
      </c>
      <c r="F858" s="2" t="s">
        <v>2008</v>
      </c>
      <c r="G858" s="3">
        <v>35279</v>
      </c>
      <c r="H858" s="2" t="s">
        <v>1286</v>
      </c>
      <c r="I858" s="2" t="s">
        <v>2030</v>
      </c>
      <c r="J858" s="2" t="s">
        <v>849</v>
      </c>
      <c r="K858" s="2" t="s">
        <v>39</v>
      </c>
      <c r="L858" s="2" t="s">
        <v>27</v>
      </c>
      <c r="M858" s="2">
        <v>5340202</v>
      </c>
      <c r="N858" s="2" t="s">
        <v>499</v>
      </c>
      <c r="O858" s="2" t="s">
        <v>155</v>
      </c>
      <c r="P858" s="2" t="s">
        <v>490</v>
      </c>
      <c r="Q858" s="2" t="s">
        <v>253</v>
      </c>
      <c r="R858" s="2" t="s">
        <v>44</v>
      </c>
      <c r="S858" s="2">
        <v>8</v>
      </c>
      <c r="T858" s="2" t="s">
        <v>33</v>
      </c>
      <c r="U858" s="2" t="s">
        <v>34</v>
      </c>
      <c r="V858" s="32">
        <v>65759144</v>
      </c>
      <c r="Y858" s="30">
        <f t="shared" si="26"/>
        <v>65759144</v>
      </c>
      <c r="Z858" s="41">
        <f t="shared" si="27"/>
        <v>0</v>
      </c>
    </row>
    <row r="859" spans="1:26" ht="26.25">
      <c r="A859" s="2">
        <v>857</v>
      </c>
      <c r="B859" s="2">
        <v>3217181</v>
      </c>
      <c r="C859" s="2">
        <v>32903833470051</v>
      </c>
      <c r="D859" s="2" t="s">
        <v>35</v>
      </c>
      <c r="E859" s="2">
        <v>408656</v>
      </c>
      <c r="F859" s="2" t="s">
        <v>2008</v>
      </c>
      <c r="G859" s="3">
        <v>30404</v>
      </c>
      <c r="H859" s="2" t="s">
        <v>1361</v>
      </c>
      <c r="I859" s="2" t="s">
        <v>2031</v>
      </c>
      <c r="J859" s="2" t="s">
        <v>2032</v>
      </c>
      <c r="K859" s="2" t="s">
        <v>39</v>
      </c>
      <c r="L859" s="2" t="s">
        <v>27</v>
      </c>
      <c r="M859" s="2">
        <v>5230903</v>
      </c>
      <c r="N859" s="2" t="s">
        <v>314</v>
      </c>
      <c r="O859" s="2">
        <v>63</v>
      </c>
      <c r="P859" s="2" t="s">
        <v>298</v>
      </c>
      <c r="Q859" s="2" t="s">
        <v>299</v>
      </c>
      <c r="R859" s="2" t="s">
        <v>82</v>
      </c>
      <c r="S859" s="2">
        <v>10</v>
      </c>
      <c r="T859" s="2" t="s">
        <v>33</v>
      </c>
      <c r="U859" s="2" t="s">
        <v>34</v>
      </c>
      <c r="V859" s="32">
        <v>104616820</v>
      </c>
      <c r="Y859" s="30">
        <f t="shared" si="26"/>
        <v>104616820</v>
      </c>
      <c r="Z859" s="41">
        <f t="shared" si="27"/>
        <v>0</v>
      </c>
    </row>
    <row r="860" spans="1:26" ht="26.25">
      <c r="A860" s="2">
        <v>858</v>
      </c>
      <c r="B860" s="2">
        <v>2455866</v>
      </c>
      <c r="C860" s="2">
        <v>32709996590030</v>
      </c>
      <c r="D860" s="2" t="s">
        <v>45</v>
      </c>
      <c r="E860" s="2">
        <v>1851127</v>
      </c>
      <c r="F860" s="2" t="s">
        <v>2008</v>
      </c>
      <c r="G860" s="3">
        <v>36430</v>
      </c>
      <c r="H860" s="2" t="s">
        <v>2033</v>
      </c>
      <c r="I860" s="2" t="s">
        <v>1768</v>
      </c>
      <c r="J860" s="2" t="s">
        <v>780</v>
      </c>
      <c r="K860" s="2" t="s">
        <v>39</v>
      </c>
      <c r="L860" s="2" t="s">
        <v>27</v>
      </c>
      <c r="M860" s="2">
        <v>5340605</v>
      </c>
      <c r="N860" s="2" t="s">
        <v>40</v>
      </c>
      <c r="O860" s="2" t="s">
        <v>154</v>
      </c>
      <c r="P860" s="2" t="s">
        <v>42</v>
      </c>
      <c r="Q860" s="4">
        <v>18537</v>
      </c>
      <c r="R860" s="2" t="s">
        <v>44</v>
      </c>
      <c r="S860" s="2">
        <v>8</v>
      </c>
      <c r="T860" s="2" t="s">
        <v>33</v>
      </c>
      <c r="U860" s="2" t="s">
        <v>34</v>
      </c>
      <c r="V860" s="32">
        <v>65759144</v>
      </c>
      <c r="Y860" s="30">
        <f t="shared" si="26"/>
        <v>65759144</v>
      </c>
      <c r="Z860" s="41">
        <f t="shared" si="27"/>
        <v>0</v>
      </c>
    </row>
    <row r="861" spans="1:26" ht="26.25">
      <c r="A861" s="2">
        <v>859</v>
      </c>
      <c r="B861" s="2">
        <v>3093050</v>
      </c>
      <c r="C861" s="2">
        <v>30301987360015</v>
      </c>
      <c r="D861" s="2" t="s">
        <v>35</v>
      </c>
      <c r="E861" s="2">
        <v>212849</v>
      </c>
      <c r="F861" s="2" t="s">
        <v>2008</v>
      </c>
      <c r="G861" s="3">
        <v>35798</v>
      </c>
      <c r="H861" s="2" t="s">
        <v>2034</v>
      </c>
      <c r="I861" s="2" t="s">
        <v>2035</v>
      </c>
      <c r="J861" s="2" t="s">
        <v>2036</v>
      </c>
      <c r="K861" s="2" t="s">
        <v>39</v>
      </c>
      <c r="L861" s="2" t="s">
        <v>27</v>
      </c>
      <c r="M861" s="2">
        <v>5340605</v>
      </c>
      <c r="N861" s="2" t="s">
        <v>40</v>
      </c>
      <c r="O861" s="2" t="s">
        <v>155</v>
      </c>
      <c r="P861" s="2" t="s">
        <v>42</v>
      </c>
      <c r="Q861" s="4">
        <v>12966</v>
      </c>
      <c r="R861" s="2" t="s">
        <v>44</v>
      </c>
      <c r="S861" s="2">
        <v>8</v>
      </c>
      <c r="T861" s="2" t="s">
        <v>33</v>
      </c>
      <c r="U861" s="2" t="s">
        <v>34</v>
      </c>
      <c r="V861" s="32">
        <v>65759144</v>
      </c>
      <c r="W861" s="21">
        <v>25650500</v>
      </c>
      <c r="X861" s="11" t="s">
        <v>2624</v>
      </c>
      <c r="Y861" s="30">
        <f t="shared" si="26"/>
        <v>40108644</v>
      </c>
      <c r="Z861" s="41">
        <f t="shared" si="27"/>
        <v>0.39006742545188849</v>
      </c>
    </row>
    <row r="862" spans="1:26" ht="26.25">
      <c r="A862" s="2">
        <v>860</v>
      </c>
      <c r="B862" s="2">
        <v>3032114</v>
      </c>
      <c r="C862" s="2">
        <v>32907987420018</v>
      </c>
      <c r="D862" s="2" t="s">
        <v>145</v>
      </c>
      <c r="E862" s="2">
        <v>7018744</v>
      </c>
      <c r="F862" s="2">
        <v>900155571</v>
      </c>
      <c r="G862" s="3">
        <v>36005</v>
      </c>
      <c r="H862" s="2" t="s">
        <v>821</v>
      </c>
      <c r="I862" s="2" t="s">
        <v>1940</v>
      </c>
      <c r="J862" s="2" t="s">
        <v>2037</v>
      </c>
      <c r="K862" s="2" t="s">
        <v>39</v>
      </c>
      <c r="L862" s="2" t="s">
        <v>27</v>
      </c>
      <c r="M862" s="2">
        <v>5330202</v>
      </c>
      <c r="N862" s="2" t="s">
        <v>164</v>
      </c>
      <c r="O862" s="2" t="s">
        <v>211</v>
      </c>
      <c r="P862" s="2" t="s">
        <v>123</v>
      </c>
      <c r="Q862" s="2" t="s">
        <v>750</v>
      </c>
      <c r="R862" s="2" t="s">
        <v>44</v>
      </c>
      <c r="S862" s="2">
        <v>10</v>
      </c>
      <c r="T862" s="2" t="s">
        <v>33</v>
      </c>
      <c r="U862" s="2" t="s">
        <v>34</v>
      </c>
      <c r="V862" s="32">
        <v>164397860</v>
      </c>
      <c r="Y862" s="30">
        <f t="shared" si="26"/>
        <v>164397860</v>
      </c>
      <c r="Z862" s="41">
        <f t="shared" si="27"/>
        <v>0</v>
      </c>
    </row>
    <row r="863" spans="1:26" ht="26.25">
      <c r="A863" s="2">
        <v>861</v>
      </c>
      <c r="B863" s="2">
        <v>1112028</v>
      </c>
      <c r="C863" s="2">
        <v>33110940170036</v>
      </c>
      <c r="D863" s="2" t="s">
        <v>45</v>
      </c>
      <c r="E863" s="2">
        <v>1795823</v>
      </c>
      <c r="F863" s="2" t="s">
        <v>2008</v>
      </c>
      <c r="G863" s="3">
        <v>34638</v>
      </c>
      <c r="H863" s="2" t="s">
        <v>585</v>
      </c>
      <c r="I863" s="2" t="s">
        <v>2038</v>
      </c>
      <c r="J863" s="2" t="s">
        <v>2039</v>
      </c>
      <c r="K863" s="2" t="s">
        <v>39</v>
      </c>
      <c r="L863" s="2" t="s">
        <v>57</v>
      </c>
      <c r="M863" s="2">
        <v>5350701</v>
      </c>
      <c r="N863" s="2" t="s">
        <v>338</v>
      </c>
      <c r="O863" s="2" t="s">
        <v>225</v>
      </c>
      <c r="P863" s="2" t="s">
        <v>104</v>
      </c>
      <c r="Q863" s="5">
        <v>44317</v>
      </c>
      <c r="R863" s="2" t="s">
        <v>44</v>
      </c>
      <c r="S863" s="2">
        <v>8</v>
      </c>
      <c r="T863" s="2" t="s">
        <v>33</v>
      </c>
      <c r="U863" s="2" t="s">
        <v>34</v>
      </c>
      <c r="V863" s="32" t="s">
        <v>2724</v>
      </c>
      <c r="W863" s="21">
        <v>8220000</v>
      </c>
      <c r="X863" s="12" t="s">
        <v>2657</v>
      </c>
      <c r="Y863" s="30">
        <f t="shared" si="26"/>
        <v>4109839.5</v>
      </c>
      <c r="Z863" s="41">
        <f t="shared" si="27"/>
        <v>0.666675344800717</v>
      </c>
    </row>
    <row r="864" spans="1:26" ht="26.25">
      <c r="A864" s="2">
        <v>862</v>
      </c>
      <c r="B864" s="2">
        <v>3395706</v>
      </c>
      <c r="C864" s="2">
        <v>32310953820064</v>
      </c>
      <c r="D864" s="2" t="s">
        <v>145</v>
      </c>
      <c r="E864" s="2">
        <v>7412691</v>
      </c>
      <c r="F864" s="2" t="s">
        <v>2008</v>
      </c>
      <c r="G864" s="3">
        <v>34995</v>
      </c>
      <c r="H864" s="2" t="s">
        <v>2040</v>
      </c>
      <c r="I864" s="2" t="s">
        <v>517</v>
      </c>
      <c r="J864" s="2" t="s">
        <v>2041</v>
      </c>
      <c r="K864" s="2" t="s">
        <v>39</v>
      </c>
      <c r="L864" s="2" t="s">
        <v>57</v>
      </c>
      <c r="M864" s="2">
        <v>5310601</v>
      </c>
      <c r="N864" s="2" t="s">
        <v>153</v>
      </c>
      <c r="O864" s="2" t="s">
        <v>41</v>
      </c>
      <c r="P864" s="2" t="s">
        <v>155</v>
      </c>
      <c r="Q864" s="4">
        <v>11110</v>
      </c>
      <c r="R864" s="2" t="s">
        <v>62</v>
      </c>
      <c r="S864" s="2">
        <v>8</v>
      </c>
      <c r="T864" s="2" t="s">
        <v>33</v>
      </c>
      <c r="U864" s="2" t="s">
        <v>34</v>
      </c>
      <c r="V864" s="32">
        <v>59781040</v>
      </c>
      <c r="Y864" s="30">
        <f t="shared" si="26"/>
        <v>59781040</v>
      </c>
      <c r="Z864" s="41">
        <f t="shared" si="27"/>
        <v>0</v>
      </c>
    </row>
    <row r="865" spans="1:26" ht="15.75">
      <c r="A865" s="2">
        <v>863</v>
      </c>
      <c r="B865" s="2">
        <v>3076225</v>
      </c>
      <c r="C865" s="2">
        <v>40102912400018</v>
      </c>
      <c r="D865" s="2" t="s">
        <v>145</v>
      </c>
      <c r="E865" s="2">
        <v>2849631</v>
      </c>
      <c r="F865" s="2">
        <v>913307057</v>
      </c>
      <c r="G865" s="3">
        <v>33270</v>
      </c>
      <c r="H865" s="2" t="s">
        <v>954</v>
      </c>
      <c r="I865" s="2" t="s">
        <v>2042</v>
      </c>
      <c r="J865" s="2" t="s">
        <v>2043</v>
      </c>
      <c r="K865" s="2" t="s">
        <v>39</v>
      </c>
      <c r="L865" s="2" t="s">
        <v>57</v>
      </c>
      <c r="M865" s="2">
        <v>5310606</v>
      </c>
      <c r="N865" s="2" t="s">
        <v>72</v>
      </c>
      <c r="O865" s="2">
        <v>63</v>
      </c>
      <c r="P865" s="2" t="s">
        <v>225</v>
      </c>
      <c r="Q865" s="4">
        <v>42064</v>
      </c>
      <c r="R865" s="2" t="s">
        <v>62</v>
      </c>
      <c r="S865" s="2">
        <v>8</v>
      </c>
      <c r="T865" s="2" t="s">
        <v>33</v>
      </c>
      <c r="U865" s="2" t="s">
        <v>34</v>
      </c>
      <c r="V865" s="32">
        <v>22417890</v>
      </c>
      <c r="W865" s="21">
        <v>11209000</v>
      </c>
      <c r="X865" s="11" t="s">
        <v>2646</v>
      </c>
      <c r="Y865" s="30">
        <f t="shared" si="26"/>
        <v>11208890</v>
      </c>
      <c r="Z865" s="41">
        <f t="shared" si="27"/>
        <v>0.50000245339771054</v>
      </c>
    </row>
    <row r="866" spans="1:26">
      <c r="A866" s="2">
        <v>864</v>
      </c>
      <c r="B866" s="2">
        <v>2471417</v>
      </c>
      <c r="C866" s="2">
        <v>50902026710037</v>
      </c>
      <c r="D866" s="2" t="s">
        <v>45</v>
      </c>
      <c r="E866" s="2">
        <v>8876734</v>
      </c>
      <c r="F866" s="2" t="s">
        <v>2008</v>
      </c>
      <c r="G866" s="3">
        <v>37296</v>
      </c>
      <c r="H866" s="2" t="s">
        <v>135</v>
      </c>
      <c r="I866" s="2" t="s">
        <v>2044</v>
      </c>
      <c r="J866" s="2" t="s">
        <v>2045</v>
      </c>
      <c r="K866" s="2" t="s">
        <v>39</v>
      </c>
      <c r="L866" s="2" t="s">
        <v>27</v>
      </c>
      <c r="M866" s="2">
        <v>5620400</v>
      </c>
      <c r="N866" s="2" t="s">
        <v>103</v>
      </c>
      <c r="O866" s="2" t="s">
        <v>198</v>
      </c>
      <c r="P866" s="2" t="s">
        <v>123</v>
      </c>
      <c r="Q866" s="2" t="s">
        <v>59</v>
      </c>
      <c r="R866" s="2" t="s">
        <v>62</v>
      </c>
      <c r="S866" s="2">
        <v>8</v>
      </c>
      <c r="T866" s="2" t="s">
        <v>33</v>
      </c>
      <c r="U866" s="2" t="s">
        <v>34</v>
      </c>
      <c r="V866" s="32">
        <v>59781040</v>
      </c>
      <c r="Y866" s="30">
        <f t="shared" si="26"/>
        <v>59781040</v>
      </c>
      <c r="Z866" s="41">
        <f t="shared" si="27"/>
        <v>0</v>
      </c>
    </row>
    <row r="867" spans="1:26">
      <c r="A867" s="2">
        <v>865</v>
      </c>
      <c r="B867" s="2">
        <v>1661666</v>
      </c>
      <c r="C867" s="2">
        <v>30204987110016</v>
      </c>
      <c r="D867" s="2" t="s">
        <v>22</v>
      </c>
      <c r="E867" s="2">
        <v>1700428</v>
      </c>
      <c r="F867" s="2" t="s">
        <v>2008</v>
      </c>
      <c r="G867" s="3">
        <v>35887</v>
      </c>
      <c r="H867" s="2" t="s">
        <v>2046</v>
      </c>
      <c r="I867" s="2" t="s">
        <v>2047</v>
      </c>
      <c r="J867" s="2" t="s">
        <v>2048</v>
      </c>
      <c r="K867" s="2" t="s">
        <v>39</v>
      </c>
      <c r="L867" s="2" t="s">
        <v>57</v>
      </c>
      <c r="M867" s="2">
        <v>5310606</v>
      </c>
      <c r="N867" s="2" t="s">
        <v>72</v>
      </c>
      <c r="O867" s="2" t="s">
        <v>87</v>
      </c>
      <c r="P867" s="2" t="s">
        <v>225</v>
      </c>
      <c r="Q867" s="4">
        <v>45778</v>
      </c>
      <c r="R867" s="2" t="s">
        <v>62</v>
      </c>
      <c r="S867" s="2">
        <v>8</v>
      </c>
      <c r="T867" s="2" t="s">
        <v>33</v>
      </c>
      <c r="U867" s="2" t="s">
        <v>34</v>
      </c>
      <c r="V867" s="32">
        <v>59781040</v>
      </c>
      <c r="Y867" s="30">
        <f t="shared" si="26"/>
        <v>59781040</v>
      </c>
      <c r="Z867" s="41">
        <f t="shared" si="27"/>
        <v>0</v>
      </c>
    </row>
    <row r="868" spans="1:26" ht="26.25">
      <c r="A868" s="2">
        <v>866</v>
      </c>
      <c r="B868" s="2">
        <v>3702498</v>
      </c>
      <c r="C868" s="2">
        <v>32504790590033</v>
      </c>
      <c r="D868" s="2" t="s">
        <v>145</v>
      </c>
      <c r="E868" s="2">
        <v>488642</v>
      </c>
      <c r="F868" s="2" t="s">
        <v>2008</v>
      </c>
      <c r="G868" s="3">
        <v>28970</v>
      </c>
      <c r="H868" s="2" t="s">
        <v>2049</v>
      </c>
      <c r="I868" s="2" t="s">
        <v>2050</v>
      </c>
      <c r="J868" s="2" t="s">
        <v>2051</v>
      </c>
      <c r="K868" s="2" t="s">
        <v>39</v>
      </c>
      <c r="L868" s="2" t="s">
        <v>27</v>
      </c>
      <c r="M868" s="2">
        <v>5620702</v>
      </c>
      <c r="N868" s="2" t="s">
        <v>159</v>
      </c>
      <c r="O868" s="2" t="s">
        <v>154</v>
      </c>
      <c r="P868" s="2" t="s">
        <v>629</v>
      </c>
      <c r="Q868" s="4">
        <v>22251</v>
      </c>
      <c r="R868" s="2" t="s">
        <v>62</v>
      </c>
      <c r="S868" s="2">
        <v>8</v>
      </c>
      <c r="T868" s="2" t="s">
        <v>33</v>
      </c>
      <c r="U868" s="2" t="s">
        <v>34</v>
      </c>
      <c r="V868" s="32">
        <v>59781040</v>
      </c>
      <c r="Y868" s="30">
        <f t="shared" si="26"/>
        <v>59781040</v>
      </c>
      <c r="Z868" s="41">
        <f t="shared" si="27"/>
        <v>0</v>
      </c>
    </row>
    <row r="869" spans="1:26" ht="39">
      <c r="A869" s="2">
        <v>867</v>
      </c>
      <c r="B869" s="2">
        <v>3009070</v>
      </c>
      <c r="C869" s="2">
        <v>32508910211282</v>
      </c>
      <c r="D869" s="2" t="s">
        <v>145</v>
      </c>
      <c r="E869" s="2">
        <v>9042809</v>
      </c>
      <c r="F869" s="2" t="s">
        <v>2008</v>
      </c>
      <c r="G869" s="3">
        <v>33475</v>
      </c>
      <c r="H869" s="2" t="s">
        <v>648</v>
      </c>
      <c r="I869" s="2" t="s">
        <v>168</v>
      </c>
      <c r="J869" s="2" t="s">
        <v>643</v>
      </c>
      <c r="K869" s="2" t="s">
        <v>39</v>
      </c>
      <c r="L869" s="2" t="s">
        <v>27</v>
      </c>
      <c r="M869" s="2">
        <v>5340401</v>
      </c>
      <c r="N869" s="2" t="s">
        <v>349</v>
      </c>
      <c r="O869" s="2" t="s">
        <v>154</v>
      </c>
      <c r="P869" s="2" t="s">
        <v>350</v>
      </c>
      <c r="Q869" s="4">
        <v>16681</v>
      </c>
      <c r="R869" s="2" t="s">
        <v>44</v>
      </c>
      <c r="S869" s="2">
        <v>8</v>
      </c>
      <c r="T869" s="2" t="s">
        <v>33</v>
      </c>
      <c r="U869" s="2" t="s">
        <v>34</v>
      </c>
      <c r="V869" s="32">
        <v>65759144</v>
      </c>
      <c r="Y869" s="30">
        <f t="shared" si="26"/>
        <v>65759144</v>
      </c>
      <c r="Z869" s="41">
        <f t="shared" si="27"/>
        <v>0</v>
      </c>
    </row>
    <row r="870" spans="1:26">
      <c r="A870" s="2">
        <v>868</v>
      </c>
      <c r="B870" s="2">
        <v>1966408</v>
      </c>
      <c r="C870" s="2">
        <v>32605920271012</v>
      </c>
      <c r="D870" s="2" t="s">
        <v>45</v>
      </c>
      <c r="E870" s="2">
        <v>4157403</v>
      </c>
      <c r="F870" s="2" t="s">
        <v>2008</v>
      </c>
      <c r="G870" s="3">
        <v>33750</v>
      </c>
      <c r="H870" s="2" t="s">
        <v>2005</v>
      </c>
      <c r="I870" s="2" t="s">
        <v>2052</v>
      </c>
      <c r="J870" s="2" t="s">
        <v>1335</v>
      </c>
      <c r="K870" s="2" t="s">
        <v>39</v>
      </c>
      <c r="L870" s="2" t="s">
        <v>57</v>
      </c>
      <c r="M870" s="2">
        <v>5310400</v>
      </c>
      <c r="N870" s="2" t="s">
        <v>232</v>
      </c>
      <c r="O870" s="2" t="s">
        <v>88</v>
      </c>
      <c r="P870" s="2" t="s">
        <v>139</v>
      </c>
      <c r="Q870" s="4">
        <v>11110</v>
      </c>
      <c r="R870" s="2" t="s">
        <v>62</v>
      </c>
      <c r="S870" s="2">
        <v>8</v>
      </c>
      <c r="T870" s="2" t="s">
        <v>33</v>
      </c>
      <c r="U870" s="2" t="s">
        <v>34</v>
      </c>
      <c r="V870" s="32">
        <v>59781040</v>
      </c>
      <c r="Y870" s="30">
        <f t="shared" si="26"/>
        <v>59781040</v>
      </c>
      <c r="Z870" s="41">
        <f t="shared" si="27"/>
        <v>0</v>
      </c>
    </row>
    <row r="871" spans="1:26" ht="15.75">
      <c r="A871" s="2">
        <v>869</v>
      </c>
      <c r="B871" s="2">
        <v>1654908</v>
      </c>
      <c r="C871" s="2">
        <v>32512995540012</v>
      </c>
      <c r="D871" s="2" t="s">
        <v>45</v>
      </c>
      <c r="E871" s="2">
        <v>2597675</v>
      </c>
      <c r="F871" s="2">
        <v>915923666</v>
      </c>
      <c r="G871" s="3">
        <v>36519</v>
      </c>
      <c r="H871" s="2" t="s">
        <v>504</v>
      </c>
      <c r="I871" s="2" t="s">
        <v>859</v>
      </c>
      <c r="J871" s="2" t="s">
        <v>2053</v>
      </c>
      <c r="K871" s="2" t="s">
        <v>26</v>
      </c>
      <c r="L871" s="2" t="s">
        <v>27</v>
      </c>
      <c r="M871" s="2">
        <v>5240109</v>
      </c>
      <c r="N871" s="2" t="s">
        <v>28</v>
      </c>
      <c r="O871" s="2" t="s">
        <v>236</v>
      </c>
      <c r="P871" s="2" t="s">
        <v>30</v>
      </c>
      <c r="Q871" s="4">
        <v>42064</v>
      </c>
      <c r="R871" s="2" t="s">
        <v>32</v>
      </c>
      <c r="S871" s="2">
        <v>25</v>
      </c>
      <c r="T871" s="2" t="s">
        <v>33</v>
      </c>
      <c r="U871" s="2" t="s">
        <v>34</v>
      </c>
      <c r="V871" s="32">
        <v>29427780</v>
      </c>
      <c r="W871" s="24">
        <v>14720000</v>
      </c>
      <c r="X871" s="14" t="s">
        <v>2626</v>
      </c>
      <c r="Y871" s="30">
        <f t="shared" si="26"/>
        <v>14707780</v>
      </c>
      <c r="Z871" s="41">
        <f t="shared" si="27"/>
        <v>0.50020762694297705</v>
      </c>
    </row>
    <row r="872" spans="1:26" ht="26.25">
      <c r="A872" s="2">
        <v>870</v>
      </c>
      <c r="B872" s="2">
        <v>1743088</v>
      </c>
      <c r="C872" s="2">
        <v>30302944320114</v>
      </c>
      <c r="D872" s="2" t="s">
        <v>22</v>
      </c>
      <c r="E872" s="2">
        <v>447171</v>
      </c>
      <c r="F872" s="2">
        <v>881669800</v>
      </c>
      <c r="G872" s="3">
        <v>34368</v>
      </c>
      <c r="H872" s="2" t="s">
        <v>2054</v>
      </c>
      <c r="I872" s="2" t="s">
        <v>2055</v>
      </c>
      <c r="J872" s="2" t="s">
        <v>2056</v>
      </c>
      <c r="K872" s="2" t="s">
        <v>39</v>
      </c>
      <c r="L872" s="2" t="s">
        <v>57</v>
      </c>
      <c r="M872" s="2">
        <v>5310605</v>
      </c>
      <c r="N872" s="2" t="s">
        <v>97</v>
      </c>
      <c r="O872" s="2" t="s">
        <v>179</v>
      </c>
      <c r="P872" s="2" t="s">
        <v>154</v>
      </c>
      <c r="Q872" s="4">
        <v>18537</v>
      </c>
      <c r="R872" s="2" t="s">
        <v>62</v>
      </c>
      <c r="S872" s="2">
        <v>8</v>
      </c>
      <c r="T872" s="2" t="s">
        <v>33</v>
      </c>
      <c r="U872" s="2" t="s">
        <v>34</v>
      </c>
      <c r="V872" s="29" t="s">
        <v>2748</v>
      </c>
      <c r="W872" s="20">
        <f>3259000+19643000+4000000</f>
        <v>26902000</v>
      </c>
      <c r="X872" s="2" t="s">
        <v>2699</v>
      </c>
      <c r="Y872" s="30">
        <f t="shared" si="26"/>
        <v>26900936</v>
      </c>
      <c r="Z872" s="41">
        <f t="shared" si="27"/>
        <v>0.50000988793622714</v>
      </c>
    </row>
    <row r="873" spans="1:26" ht="26.25">
      <c r="A873" s="2">
        <v>871</v>
      </c>
      <c r="B873" s="2">
        <v>3464975</v>
      </c>
      <c r="C873" s="2">
        <v>31004966390025</v>
      </c>
      <c r="D873" s="2" t="s">
        <v>145</v>
      </c>
      <c r="E873" s="2">
        <v>6176543</v>
      </c>
      <c r="F873" s="2">
        <v>943500096</v>
      </c>
      <c r="G873" s="3">
        <v>35165</v>
      </c>
      <c r="H873" s="2" t="s">
        <v>2057</v>
      </c>
      <c r="I873" s="2" t="s">
        <v>1167</v>
      </c>
      <c r="J873" s="2" t="s">
        <v>173</v>
      </c>
      <c r="K873" s="2" t="s">
        <v>39</v>
      </c>
      <c r="L873" s="2" t="s">
        <v>27</v>
      </c>
      <c r="M873" s="2">
        <v>5320102</v>
      </c>
      <c r="N873" s="2" t="s">
        <v>138</v>
      </c>
      <c r="O873" s="2" t="s">
        <v>149</v>
      </c>
      <c r="P873" s="2" t="s">
        <v>140</v>
      </c>
      <c r="Q873" s="4">
        <v>42064</v>
      </c>
      <c r="R873" s="2" t="s">
        <v>62</v>
      </c>
      <c r="S873" s="2">
        <v>8</v>
      </c>
      <c r="T873" s="2" t="s">
        <v>33</v>
      </c>
      <c r="U873" s="2" t="s">
        <v>34</v>
      </c>
      <c r="V873" s="32">
        <v>20176101</v>
      </c>
      <c r="W873" s="20">
        <v>13150000</v>
      </c>
      <c r="X873" s="2" t="s">
        <v>2663</v>
      </c>
      <c r="Y873" s="30">
        <f t="shared" si="26"/>
        <v>7026101</v>
      </c>
      <c r="Z873" s="41">
        <f t="shared" si="27"/>
        <v>0.65176120995825704</v>
      </c>
    </row>
    <row r="874" spans="1:26" ht="15.75">
      <c r="A874" s="2">
        <v>872</v>
      </c>
      <c r="B874" s="2">
        <v>2964470</v>
      </c>
      <c r="C874" s="2">
        <v>50108036170016</v>
      </c>
      <c r="D874" s="2" t="s">
        <v>22</v>
      </c>
      <c r="E874" s="2">
        <v>2168337</v>
      </c>
      <c r="F874" s="2">
        <v>938459666</v>
      </c>
      <c r="G874" s="3">
        <v>37834</v>
      </c>
      <c r="H874" s="2" t="s">
        <v>1104</v>
      </c>
      <c r="I874" s="2" t="s">
        <v>801</v>
      </c>
      <c r="J874" s="2" t="s">
        <v>2058</v>
      </c>
      <c r="K874" s="2" t="s">
        <v>39</v>
      </c>
      <c r="L874" s="2" t="s">
        <v>27</v>
      </c>
      <c r="M874" s="2">
        <v>5620400</v>
      </c>
      <c r="N874" s="2" t="s">
        <v>103</v>
      </c>
      <c r="O874" s="2" t="s">
        <v>199</v>
      </c>
      <c r="P874" s="2" t="s">
        <v>123</v>
      </c>
      <c r="Q874" s="4">
        <v>14824</v>
      </c>
      <c r="R874" s="2" t="s">
        <v>62</v>
      </c>
      <c r="S874" s="2">
        <v>8</v>
      </c>
      <c r="T874" s="2" t="s">
        <v>33</v>
      </c>
      <c r="U874" s="2" t="s">
        <v>34</v>
      </c>
      <c r="V874" s="32">
        <v>53802936</v>
      </c>
      <c r="W874" s="21">
        <v>30000000</v>
      </c>
      <c r="X874" s="10" t="s">
        <v>2632</v>
      </c>
      <c r="Y874" s="30">
        <f t="shared" si="26"/>
        <v>23802936</v>
      </c>
      <c r="Z874" s="41">
        <f t="shared" si="27"/>
        <v>0.55759038874755829</v>
      </c>
    </row>
    <row r="875" spans="1:26" ht="26.25">
      <c r="A875" s="2">
        <v>873</v>
      </c>
      <c r="B875" s="2">
        <v>2428559</v>
      </c>
      <c r="C875" s="2">
        <v>52506026750046</v>
      </c>
      <c r="D875" s="2" t="s">
        <v>22</v>
      </c>
      <c r="E875" s="2">
        <v>1326934</v>
      </c>
      <c r="F875" s="2">
        <v>998768634</v>
      </c>
      <c r="G875" s="3">
        <v>37432</v>
      </c>
      <c r="H875" s="2" t="s">
        <v>2059</v>
      </c>
      <c r="I875" s="2" t="s">
        <v>535</v>
      </c>
      <c r="J875" s="2" t="s">
        <v>1807</v>
      </c>
      <c r="K875" s="2" t="s">
        <v>26</v>
      </c>
      <c r="L875" s="2" t="s">
        <v>27</v>
      </c>
      <c r="M875" s="2">
        <v>5620400</v>
      </c>
      <c r="N875" s="2" t="s">
        <v>103</v>
      </c>
      <c r="O875" s="2">
        <v>63</v>
      </c>
      <c r="P875" s="2" t="s">
        <v>105</v>
      </c>
      <c r="Q875" s="2" t="s">
        <v>818</v>
      </c>
      <c r="R875" s="2" t="s">
        <v>53</v>
      </c>
      <c r="S875" s="2">
        <v>8</v>
      </c>
      <c r="T875" s="2" t="s">
        <v>33</v>
      </c>
      <c r="U875" s="2" t="s">
        <v>34</v>
      </c>
      <c r="V875" s="32">
        <v>46170792</v>
      </c>
      <c r="W875" s="20">
        <f>23085396+23086000</f>
        <v>46171396</v>
      </c>
      <c r="X875" s="2" t="s">
        <v>2898</v>
      </c>
      <c r="Y875" s="30">
        <f t="shared" si="26"/>
        <v>-604</v>
      </c>
      <c r="Z875" s="41">
        <f t="shared" si="27"/>
        <v>1.0000130818635296</v>
      </c>
    </row>
    <row r="876" spans="1:26" ht="26.25">
      <c r="A876" s="2">
        <v>874</v>
      </c>
      <c r="B876" s="2">
        <v>3680823</v>
      </c>
      <c r="C876" s="2">
        <v>42804930530086</v>
      </c>
      <c r="D876" s="2" t="s">
        <v>145</v>
      </c>
      <c r="E876" s="2">
        <v>536755</v>
      </c>
      <c r="F876" s="2">
        <v>993092949</v>
      </c>
      <c r="G876" s="3">
        <v>34087</v>
      </c>
      <c r="H876" s="2" t="s">
        <v>2060</v>
      </c>
      <c r="I876" s="2" t="s">
        <v>2061</v>
      </c>
      <c r="J876" s="2" t="s">
        <v>2062</v>
      </c>
      <c r="K876" s="2" t="s">
        <v>39</v>
      </c>
      <c r="L876" s="2" t="s">
        <v>27</v>
      </c>
      <c r="M876" s="2">
        <v>5310605</v>
      </c>
      <c r="N876" s="2" t="s">
        <v>97</v>
      </c>
      <c r="O876" s="2" t="s">
        <v>104</v>
      </c>
      <c r="P876" s="2" t="s">
        <v>79</v>
      </c>
      <c r="Q876" s="2" t="s">
        <v>111</v>
      </c>
      <c r="R876" s="2" t="s">
        <v>62</v>
      </c>
      <c r="S876" s="2">
        <v>8</v>
      </c>
      <c r="T876" s="2" t="s">
        <v>33</v>
      </c>
      <c r="U876" s="2" t="s">
        <v>34</v>
      </c>
      <c r="V876" s="29">
        <v>53802936</v>
      </c>
      <c r="W876" s="20">
        <v>26901468</v>
      </c>
      <c r="X876" s="2" t="s">
        <v>2672</v>
      </c>
      <c r="Y876" s="30">
        <f t="shared" si="26"/>
        <v>26901468</v>
      </c>
      <c r="Z876" s="41">
        <f t="shared" si="27"/>
        <v>0.5</v>
      </c>
    </row>
    <row r="877" spans="1:26" ht="26.25">
      <c r="A877" s="2">
        <v>875</v>
      </c>
      <c r="B877" s="2">
        <v>1280524</v>
      </c>
      <c r="C877" s="2">
        <v>51001016920047</v>
      </c>
      <c r="D877" s="2" t="s">
        <v>22</v>
      </c>
      <c r="E877" s="2">
        <v>1564665</v>
      </c>
      <c r="F877" s="2">
        <v>996419090</v>
      </c>
      <c r="G877" s="3">
        <v>36901</v>
      </c>
      <c r="H877" s="2" t="s">
        <v>916</v>
      </c>
      <c r="I877" s="2" t="s">
        <v>859</v>
      </c>
      <c r="J877" s="2" t="s">
        <v>1448</v>
      </c>
      <c r="K877" s="2" t="s">
        <v>26</v>
      </c>
      <c r="L877" s="2" t="s">
        <v>27</v>
      </c>
      <c r="M877" s="2">
        <v>5310605</v>
      </c>
      <c r="N877" s="2" t="s">
        <v>97</v>
      </c>
      <c r="O877" s="2" t="s">
        <v>122</v>
      </c>
      <c r="P877" s="2" t="s">
        <v>98</v>
      </c>
      <c r="Q877" s="2" t="s">
        <v>106</v>
      </c>
      <c r="R877" s="2" t="s">
        <v>53</v>
      </c>
      <c r="S877" s="2">
        <v>8</v>
      </c>
      <c r="T877" s="2" t="s">
        <v>33</v>
      </c>
      <c r="U877" s="2" t="s">
        <v>34</v>
      </c>
      <c r="V877" s="32">
        <v>51300880</v>
      </c>
      <c r="Y877" s="30">
        <f t="shared" si="26"/>
        <v>51300880</v>
      </c>
      <c r="Z877" s="41">
        <f t="shared" si="27"/>
        <v>0</v>
      </c>
    </row>
    <row r="878" spans="1:26" ht="26.25">
      <c r="A878" s="2">
        <v>876</v>
      </c>
      <c r="B878" s="2">
        <v>3600727</v>
      </c>
      <c r="C878" s="2">
        <v>50101046850022</v>
      </c>
      <c r="D878" s="2" t="s">
        <v>22</v>
      </c>
      <c r="E878" s="2">
        <v>2643554</v>
      </c>
      <c r="F878" s="2">
        <v>903920949</v>
      </c>
      <c r="G878" s="3">
        <v>37987</v>
      </c>
      <c r="H878" s="2" t="s">
        <v>315</v>
      </c>
      <c r="I878" s="2" t="s">
        <v>2063</v>
      </c>
      <c r="J878" s="2" t="s">
        <v>624</v>
      </c>
      <c r="K878" s="2" t="s">
        <v>26</v>
      </c>
      <c r="L878" s="2" t="s">
        <v>57</v>
      </c>
      <c r="M878" s="2">
        <v>5340604</v>
      </c>
      <c r="N878" s="2" t="s">
        <v>354</v>
      </c>
      <c r="O878" s="2" t="s">
        <v>439</v>
      </c>
      <c r="P878" s="2" t="s">
        <v>296</v>
      </c>
      <c r="Q878" s="4">
        <v>11110</v>
      </c>
      <c r="R878" s="2" t="s">
        <v>93</v>
      </c>
      <c r="S878" s="2">
        <v>8</v>
      </c>
      <c r="T878" s="2" t="s">
        <v>33</v>
      </c>
      <c r="U878" s="2" t="s">
        <v>34</v>
      </c>
      <c r="V878" s="32">
        <v>113471040</v>
      </c>
      <c r="Y878" s="30">
        <f t="shared" si="26"/>
        <v>113471040</v>
      </c>
      <c r="Z878" s="41">
        <f t="shared" si="27"/>
        <v>0</v>
      </c>
    </row>
    <row r="879" spans="1:26" ht="39">
      <c r="A879" s="2">
        <v>877</v>
      </c>
      <c r="B879" s="2">
        <v>1426459</v>
      </c>
      <c r="C879" s="2">
        <v>30809986810011</v>
      </c>
      <c r="D879" s="2" t="s">
        <v>145</v>
      </c>
      <c r="E879" s="2">
        <v>7784066</v>
      </c>
      <c r="F879" s="2" t="s">
        <v>2008</v>
      </c>
      <c r="G879" s="3">
        <v>36046</v>
      </c>
      <c r="H879" s="2" t="s">
        <v>188</v>
      </c>
      <c r="I879" s="2" t="s">
        <v>2064</v>
      </c>
      <c r="J879" s="2" t="s">
        <v>2065</v>
      </c>
      <c r="K879" s="2" t="s">
        <v>39</v>
      </c>
      <c r="L879" s="2" t="s">
        <v>27</v>
      </c>
      <c r="M879" s="2">
        <v>5340401</v>
      </c>
      <c r="N879" s="2" t="s">
        <v>349</v>
      </c>
      <c r="O879" s="2" t="s">
        <v>154</v>
      </c>
      <c r="P879" s="2" t="s">
        <v>350</v>
      </c>
      <c r="Q879" s="4">
        <v>16681</v>
      </c>
      <c r="R879" s="2" t="s">
        <v>44</v>
      </c>
      <c r="S879" s="2">
        <v>8</v>
      </c>
      <c r="T879" s="2" t="s">
        <v>33</v>
      </c>
      <c r="U879" s="2" t="s">
        <v>34</v>
      </c>
      <c r="V879" s="32">
        <v>65759144</v>
      </c>
      <c r="Y879" s="30">
        <f t="shared" si="26"/>
        <v>65759144</v>
      </c>
      <c r="Z879" s="41">
        <f t="shared" si="27"/>
        <v>0</v>
      </c>
    </row>
    <row r="880" spans="1:26" ht="26.25">
      <c r="A880" s="2">
        <v>878</v>
      </c>
      <c r="B880" s="2">
        <v>2748574</v>
      </c>
      <c r="C880" s="2">
        <v>30810930610016</v>
      </c>
      <c r="D880" s="2" t="s">
        <v>145</v>
      </c>
      <c r="E880" s="2">
        <v>5099552</v>
      </c>
      <c r="F880" s="2" t="s">
        <v>2008</v>
      </c>
      <c r="G880" s="3">
        <v>34250</v>
      </c>
      <c r="H880" s="2" t="s">
        <v>504</v>
      </c>
      <c r="I880" s="2" t="s">
        <v>2066</v>
      </c>
      <c r="J880" s="2" t="s">
        <v>2067</v>
      </c>
      <c r="K880" s="2" t="s">
        <v>39</v>
      </c>
      <c r="L880" s="2" t="s">
        <v>57</v>
      </c>
      <c r="M880" s="2">
        <v>5310701</v>
      </c>
      <c r="N880" s="2" t="s">
        <v>118</v>
      </c>
      <c r="O880" s="2" t="s">
        <v>104</v>
      </c>
      <c r="P880" s="2" t="s">
        <v>207</v>
      </c>
      <c r="Q880" s="5">
        <v>44471</v>
      </c>
      <c r="R880" s="2" t="s">
        <v>62</v>
      </c>
      <c r="S880" s="2">
        <v>8</v>
      </c>
      <c r="T880" s="2" t="s">
        <v>33</v>
      </c>
      <c r="U880" s="2" t="s">
        <v>34</v>
      </c>
      <c r="V880" s="32">
        <v>18681575</v>
      </c>
      <c r="W880" s="21">
        <v>9340800</v>
      </c>
      <c r="X880" s="10" t="s">
        <v>2654</v>
      </c>
      <c r="Y880" s="30">
        <f t="shared" si="26"/>
        <v>9340775</v>
      </c>
      <c r="Z880" s="41">
        <f t="shared" si="27"/>
        <v>0.50000066910846652</v>
      </c>
    </row>
    <row r="881" spans="1:27" ht="39">
      <c r="A881" s="2">
        <v>879</v>
      </c>
      <c r="B881" s="2">
        <v>2432084</v>
      </c>
      <c r="C881" s="2">
        <v>31005985380022</v>
      </c>
      <c r="D881" s="2" t="s">
        <v>145</v>
      </c>
      <c r="E881" s="2">
        <v>6743028</v>
      </c>
      <c r="F881" s="2" t="s">
        <v>2008</v>
      </c>
      <c r="G881" s="3">
        <v>35925</v>
      </c>
      <c r="H881" s="2" t="s">
        <v>146</v>
      </c>
      <c r="I881" s="2" t="s">
        <v>1963</v>
      </c>
      <c r="J881" s="2" t="s">
        <v>2068</v>
      </c>
      <c r="K881" s="2" t="s">
        <v>39</v>
      </c>
      <c r="L881" s="2" t="s">
        <v>27</v>
      </c>
      <c r="M881" s="2">
        <v>5340401</v>
      </c>
      <c r="N881" s="2" t="s">
        <v>349</v>
      </c>
      <c r="O881" s="2" t="s">
        <v>67</v>
      </c>
      <c r="P881" s="2" t="s">
        <v>350</v>
      </c>
      <c r="Q881" s="5">
        <v>44317</v>
      </c>
      <c r="R881" s="2" t="s">
        <v>44</v>
      </c>
      <c r="S881" s="2">
        <v>8</v>
      </c>
      <c r="T881" s="2" t="s">
        <v>33</v>
      </c>
      <c r="U881" s="2" t="s">
        <v>34</v>
      </c>
      <c r="V881" s="32" t="s">
        <v>2724</v>
      </c>
      <c r="W881" s="21">
        <v>8220000</v>
      </c>
      <c r="X881" s="10" t="s">
        <v>2661</v>
      </c>
      <c r="Y881" s="30">
        <f t="shared" si="26"/>
        <v>4109839.5</v>
      </c>
      <c r="Z881" s="41">
        <f t="shared" si="27"/>
        <v>0.666675344800717</v>
      </c>
    </row>
    <row r="882" spans="1:27" ht="15.75">
      <c r="A882" s="2">
        <v>880</v>
      </c>
      <c r="B882" s="2">
        <v>3378280</v>
      </c>
      <c r="C882" s="2">
        <v>31011902970045</v>
      </c>
      <c r="D882" s="2" t="s">
        <v>145</v>
      </c>
      <c r="E882" s="2">
        <v>9106111</v>
      </c>
      <c r="F882" s="2" t="s">
        <v>2008</v>
      </c>
      <c r="G882" s="3">
        <v>33187</v>
      </c>
      <c r="H882" s="2" t="s">
        <v>2069</v>
      </c>
      <c r="I882" s="2" t="s">
        <v>2070</v>
      </c>
      <c r="J882" s="2" t="s">
        <v>2071</v>
      </c>
      <c r="K882" s="2" t="s">
        <v>39</v>
      </c>
      <c r="L882" s="2" t="s">
        <v>57</v>
      </c>
      <c r="M882" s="2">
        <v>5310606</v>
      </c>
      <c r="N882" s="2" t="s">
        <v>72</v>
      </c>
      <c r="O882" s="2" t="s">
        <v>41</v>
      </c>
      <c r="P882" s="2" t="s">
        <v>225</v>
      </c>
      <c r="Q882" s="5">
        <v>44317</v>
      </c>
      <c r="R882" s="2" t="s">
        <v>62</v>
      </c>
      <c r="S882" s="2">
        <v>8</v>
      </c>
      <c r="T882" s="2" t="s">
        <v>33</v>
      </c>
      <c r="U882" s="2" t="s">
        <v>34</v>
      </c>
      <c r="V882" s="32">
        <v>11208945</v>
      </c>
      <c r="W882" s="21">
        <v>6473000</v>
      </c>
      <c r="X882" s="10" t="s">
        <v>2653</v>
      </c>
      <c r="Y882" s="30">
        <f t="shared" si="26"/>
        <v>4735945</v>
      </c>
      <c r="Z882" s="41">
        <f t="shared" si="27"/>
        <v>0.57748521381807116</v>
      </c>
    </row>
    <row r="883" spans="1:27">
      <c r="A883" s="2">
        <v>881</v>
      </c>
      <c r="B883" s="2">
        <v>1445520</v>
      </c>
      <c r="C883" s="2">
        <v>50903027350020</v>
      </c>
      <c r="D883" s="2" t="s">
        <v>35</v>
      </c>
      <c r="E883" s="2">
        <v>1250829</v>
      </c>
      <c r="F883" s="2" t="s">
        <v>2008</v>
      </c>
      <c r="G883" s="3">
        <v>37324</v>
      </c>
      <c r="H883" s="2" t="s">
        <v>460</v>
      </c>
      <c r="I883" s="2" t="s">
        <v>913</v>
      </c>
      <c r="J883" s="2" t="s">
        <v>2072</v>
      </c>
      <c r="K883" s="2" t="s">
        <v>39</v>
      </c>
      <c r="L883" s="2" t="s">
        <v>27</v>
      </c>
      <c r="M883" s="2">
        <v>5310606</v>
      </c>
      <c r="N883" s="2" t="s">
        <v>72</v>
      </c>
      <c r="O883" s="2" t="s">
        <v>149</v>
      </c>
      <c r="P883" s="2" t="s">
        <v>73</v>
      </c>
      <c r="Q883" s="4">
        <v>12966</v>
      </c>
      <c r="R883" s="2" t="s">
        <v>62</v>
      </c>
      <c r="S883" s="2">
        <v>8</v>
      </c>
      <c r="T883" s="2" t="s">
        <v>33</v>
      </c>
      <c r="U883" s="2" t="s">
        <v>34</v>
      </c>
      <c r="V883" s="32">
        <v>59781040</v>
      </c>
      <c r="Y883" s="30">
        <f t="shared" si="26"/>
        <v>59781040</v>
      </c>
      <c r="Z883" s="41">
        <f t="shared" si="27"/>
        <v>0</v>
      </c>
    </row>
    <row r="884" spans="1:27" ht="26.25">
      <c r="A884" s="2">
        <v>882</v>
      </c>
      <c r="B884" s="2">
        <v>1644936</v>
      </c>
      <c r="C884" s="2">
        <v>30412915380015</v>
      </c>
      <c r="D884" s="2" t="s">
        <v>145</v>
      </c>
      <c r="E884" s="2">
        <v>5471619</v>
      </c>
      <c r="F884" s="2" t="s">
        <v>2008</v>
      </c>
      <c r="G884" s="3">
        <v>33576</v>
      </c>
      <c r="H884" s="2" t="s">
        <v>1753</v>
      </c>
      <c r="I884" s="2" t="s">
        <v>2073</v>
      </c>
      <c r="J884" s="2" t="s">
        <v>2074</v>
      </c>
      <c r="K884" s="2" t="s">
        <v>39</v>
      </c>
      <c r="L884" s="2" t="s">
        <v>27</v>
      </c>
      <c r="M884" s="2">
        <v>5350701</v>
      </c>
      <c r="N884" s="2" t="s">
        <v>338</v>
      </c>
      <c r="O884" s="2" t="s">
        <v>207</v>
      </c>
      <c r="P884" s="2" t="s">
        <v>73</v>
      </c>
      <c r="Q884" s="4">
        <v>18537</v>
      </c>
      <c r="R884" s="2" t="s">
        <v>44</v>
      </c>
      <c r="S884" s="2">
        <v>8</v>
      </c>
      <c r="T884" s="2" t="s">
        <v>33</v>
      </c>
      <c r="U884" s="2" t="s">
        <v>34</v>
      </c>
      <c r="V884" s="32">
        <v>65759144</v>
      </c>
      <c r="Y884" s="30">
        <f t="shared" si="26"/>
        <v>65759144</v>
      </c>
      <c r="Z884" s="41">
        <f t="shared" si="27"/>
        <v>0</v>
      </c>
    </row>
    <row r="885" spans="1:27" ht="26.25">
      <c r="A885" s="2">
        <v>883</v>
      </c>
      <c r="B885" s="2">
        <v>3292671</v>
      </c>
      <c r="C885" s="2">
        <v>50903046710027</v>
      </c>
      <c r="D885" s="2" t="s">
        <v>22</v>
      </c>
      <c r="E885" s="2">
        <v>3073717</v>
      </c>
      <c r="F885" s="2" t="s">
        <v>2008</v>
      </c>
      <c r="G885" s="3">
        <v>38055</v>
      </c>
      <c r="H885" s="2" t="s">
        <v>2075</v>
      </c>
      <c r="I885" s="2" t="s">
        <v>1322</v>
      </c>
      <c r="J885" s="2" t="s">
        <v>2076</v>
      </c>
      <c r="K885" s="2" t="s">
        <v>39</v>
      </c>
      <c r="L885" s="2" t="s">
        <v>27</v>
      </c>
      <c r="M885" s="2">
        <v>5640202</v>
      </c>
      <c r="N885" s="2" t="s">
        <v>240</v>
      </c>
      <c r="O885" s="2" t="s">
        <v>60</v>
      </c>
      <c r="P885" s="2" t="s">
        <v>241</v>
      </c>
      <c r="Q885" s="2" t="s">
        <v>440</v>
      </c>
      <c r="R885" s="2" t="s">
        <v>62</v>
      </c>
      <c r="S885" s="2">
        <v>8</v>
      </c>
      <c r="T885" s="2" t="s">
        <v>33</v>
      </c>
      <c r="U885" s="2" t="s">
        <v>34</v>
      </c>
      <c r="V885" s="32">
        <v>59781040</v>
      </c>
      <c r="Y885" s="30">
        <f t="shared" si="26"/>
        <v>59781040</v>
      </c>
      <c r="Z885" s="41">
        <f t="shared" si="27"/>
        <v>0</v>
      </c>
    </row>
    <row r="886" spans="1:27" ht="26.25">
      <c r="A886" s="2">
        <v>884</v>
      </c>
      <c r="B886" s="2">
        <v>3032289</v>
      </c>
      <c r="C886" s="2">
        <v>42312840610016</v>
      </c>
      <c r="D886" s="2" t="s">
        <v>145</v>
      </c>
      <c r="E886" s="2">
        <v>7400615</v>
      </c>
      <c r="F886" s="2" t="s">
        <v>2008</v>
      </c>
      <c r="G886" s="3">
        <v>31039</v>
      </c>
      <c r="H886" s="2" t="s">
        <v>1454</v>
      </c>
      <c r="I886" s="2" t="s">
        <v>2077</v>
      </c>
      <c r="J886" s="2" t="s">
        <v>2078</v>
      </c>
      <c r="K886" s="2" t="s">
        <v>39</v>
      </c>
      <c r="L886" s="2" t="s">
        <v>57</v>
      </c>
      <c r="M886" s="2">
        <v>5620701</v>
      </c>
      <c r="N886" s="2" t="s">
        <v>218</v>
      </c>
      <c r="O886" s="2" t="s">
        <v>104</v>
      </c>
      <c r="P886" s="2" t="s">
        <v>194</v>
      </c>
      <c r="Q886" s="4">
        <v>11110</v>
      </c>
      <c r="R886" s="2" t="s">
        <v>62</v>
      </c>
      <c r="S886" s="2">
        <v>8</v>
      </c>
      <c r="T886" s="2" t="s">
        <v>508</v>
      </c>
      <c r="U886" s="2" t="s">
        <v>34</v>
      </c>
      <c r="V886" s="32">
        <v>59781040</v>
      </c>
      <c r="Y886" s="30">
        <f t="shared" si="26"/>
        <v>59781040</v>
      </c>
      <c r="Z886" s="41">
        <f t="shared" si="27"/>
        <v>0</v>
      </c>
    </row>
    <row r="887" spans="1:27">
      <c r="A887" s="2">
        <v>885</v>
      </c>
      <c r="B887" s="2">
        <v>1541673</v>
      </c>
      <c r="C887" s="2">
        <v>30607966500019</v>
      </c>
      <c r="D887" s="2" t="s">
        <v>145</v>
      </c>
      <c r="E887" s="2">
        <v>150047</v>
      </c>
      <c r="F887" s="2" t="s">
        <v>2008</v>
      </c>
      <c r="G887" s="3">
        <v>35252</v>
      </c>
      <c r="H887" s="2" t="s">
        <v>278</v>
      </c>
      <c r="I887" s="2" t="s">
        <v>2073</v>
      </c>
      <c r="J887" s="2" t="s">
        <v>454</v>
      </c>
      <c r="K887" s="2" t="s">
        <v>39</v>
      </c>
      <c r="L887" s="2" t="s">
        <v>57</v>
      </c>
      <c r="M887" s="2">
        <v>5620400</v>
      </c>
      <c r="N887" s="2" t="s">
        <v>103</v>
      </c>
      <c r="O887" s="2" t="s">
        <v>211</v>
      </c>
      <c r="P887" s="2" t="s">
        <v>139</v>
      </c>
      <c r="Q887" s="2" t="s">
        <v>277</v>
      </c>
      <c r="R887" s="2" t="s">
        <v>62</v>
      </c>
      <c r="S887" s="2">
        <v>8</v>
      </c>
      <c r="T887" s="2" t="s">
        <v>33</v>
      </c>
      <c r="U887" s="2" t="s">
        <v>34</v>
      </c>
      <c r="V887" s="32">
        <v>119562080</v>
      </c>
      <c r="Y887" s="30">
        <f t="shared" si="26"/>
        <v>119562080</v>
      </c>
      <c r="Z887" s="41">
        <f t="shared" si="27"/>
        <v>0</v>
      </c>
    </row>
    <row r="888" spans="1:27">
      <c r="A888" s="2">
        <v>886</v>
      </c>
      <c r="B888" s="2">
        <v>2271953</v>
      </c>
      <c r="C888" s="2">
        <v>30605923470021</v>
      </c>
      <c r="D888" s="2" t="s">
        <v>35</v>
      </c>
      <c r="E888" s="2">
        <v>192967</v>
      </c>
      <c r="F888" s="2">
        <v>937123834</v>
      </c>
      <c r="G888" s="3">
        <v>33730</v>
      </c>
      <c r="H888" s="2" t="s">
        <v>2079</v>
      </c>
      <c r="I888" s="2" t="s">
        <v>2080</v>
      </c>
      <c r="J888" s="2" t="s">
        <v>2081</v>
      </c>
      <c r="K888" s="2" t="s">
        <v>39</v>
      </c>
      <c r="L888" s="2" t="s">
        <v>27</v>
      </c>
      <c r="M888" s="2">
        <v>5310606</v>
      </c>
      <c r="N888" s="2" t="s">
        <v>72</v>
      </c>
      <c r="O888" s="2" t="s">
        <v>198</v>
      </c>
      <c r="P888" s="2" t="s">
        <v>73</v>
      </c>
      <c r="Q888" s="2" t="s">
        <v>363</v>
      </c>
      <c r="R888" s="2" t="s">
        <v>62</v>
      </c>
      <c r="S888" s="2">
        <v>8</v>
      </c>
      <c r="T888" s="2" t="s">
        <v>33</v>
      </c>
      <c r="U888" s="2" t="s">
        <v>34</v>
      </c>
      <c r="V888" s="29" t="s">
        <v>2748</v>
      </c>
      <c r="W888" s="20">
        <v>30000000</v>
      </c>
      <c r="X888" s="2" t="s">
        <v>2684</v>
      </c>
      <c r="Y888" s="30">
        <f t="shared" si="26"/>
        <v>23802936</v>
      </c>
      <c r="Z888" s="41">
        <f t="shared" si="27"/>
        <v>0.55759038874755829</v>
      </c>
      <c r="AA888" s="42" t="s">
        <v>2798</v>
      </c>
    </row>
    <row r="889" spans="1:27" ht="26.25">
      <c r="A889" s="2">
        <v>887</v>
      </c>
      <c r="B889" s="2">
        <v>3439979</v>
      </c>
      <c r="C889" s="2">
        <v>50105046710025</v>
      </c>
      <c r="D889" s="2" t="s">
        <v>22</v>
      </c>
      <c r="E889" s="2">
        <v>3019737</v>
      </c>
      <c r="F889" s="2">
        <v>996377253</v>
      </c>
      <c r="G889" s="3">
        <v>38108</v>
      </c>
      <c r="H889" s="2" t="s">
        <v>926</v>
      </c>
      <c r="I889" s="2" t="s">
        <v>746</v>
      </c>
      <c r="J889" s="2" t="s">
        <v>2082</v>
      </c>
      <c r="K889" s="2" t="s">
        <v>39</v>
      </c>
      <c r="L889" s="2" t="s">
        <v>27</v>
      </c>
      <c r="M889" s="2">
        <v>5340604</v>
      </c>
      <c r="N889" s="2" t="s">
        <v>354</v>
      </c>
      <c r="O889" s="2" t="s">
        <v>67</v>
      </c>
      <c r="P889" s="2" t="s">
        <v>42</v>
      </c>
      <c r="Q889" s="5">
        <v>44471</v>
      </c>
      <c r="R889" s="2" t="s">
        <v>44</v>
      </c>
      <c r="S889" s="2">
        <v>8</v>
      </c>
      <c r="T889" s="2" t="s">
        <v>33</v>
      </c>
      <c r="U889" s="2" t="s">
        <v>34</v>
      </c>
      <c r="V889" s="32" t="s">
        <v>2726</v>
      </c>
      <c r="W889" s="20">
        <f>10300000+5010000</f>
        <v>15310000</v>
      </c>
      <c r="X889" s="2" t="s">
        <v>2796</v>
      </c>
      <c r="Y889" s="30">
        <f t="shared" si="26"/>
        <v>5239732.5</v>
      </c>
      <c r="Z889" s="41">
        <f t="shared" si="27"/>
        <v>0.74502186342328303</v>
      </c>
    </row>
    <row r="890" spans="1:27" ht="39">
      <c r="A890" s="2">
        <v>888</v>
      </c>
      <c r="B890" s="2">
        <v>3662024</v>
      </c>
      <c r="C890" s="2">
        <v>51001036590053</v>
      </c>
      <c r="D890" s="2" t="s">
        <v>22</v>
      </c>
      <c r="E890" s="2">
        <v>1887328</v>
      </c>
      <c r="F890" s="2" t="s">
        <v>2008</v>
      </c>
      <c r="G890" s="3">
        <v>37631</v>
      </c>
      <c r="H890" s="2" t="s">
        <v>1062</v>
      </c>
      <c r="I890" s="2" t="s">
        <v>2083</v>
      </c>
      <c r="J890" s="2" t="s">
        <v>1464</v>
      </c>
      <c r="K890" s="2" t="s">
        <v>26</v>
      </c>
      <c r="L890" s="2" t="s">
        <v>27</v>
      </c>
      <c r="M890" s="2">
        <v>5341300</v>
      </c>
      <c r="N890" s="2" t="s">
        <v>92</v>
      </c>
      <c r="O890" s="2" t="s">
        <v>122</v>
      </c>
      <c r="P890" s="2" t="s">
        <v>41</v>
      </c>
      <c r="Q890" s="4">
        <v>42064</v>
      </c>
      <c r="R890" s="2" t="s">
        <v>93</v>
      </c>
      <c r="S890" s="2">
        <v>8</v>
      </c>
      <c r="T890" s="2" t="s">
        <v>33</v>
      </c>
      <c r="U890" s="2" t="s">
        <v>34</v>
      </c>
      <c r="V890" s="32">
        <v>21275820</v>
      </c>
      <c r="Y890" s="30">
        <f t="shared" si="26"/>
        <v>21275820</v>
      </c>
      <c r="Z890" s="41">
        <f t="shared" si="27"/>
        <v>0</v>
      </c>
    </row>
    <row r="891" spans="1:27">
      <c r="A891" s="2">
        <v>889</v>
      </c>
      <c r="B891" s="2">
        <v>2977273</v>
      </c>
      <c r="C891" s="2">
        <v>50202026530018</v>
      </c>
      <c r="D891" s="2" t="s">
        <v>45</v>
      </c>
      <c r="E891" s="2">
        <v>8956780</v>
      </c>
      <c r="F891" s="2" t="s">
        <v>2008</v>
      </c>
      <c r="G891" s="3">
        <v>37289</v>
      </c>
      <c r="H891" s="2" t="s">
        <v>2084</v>
      </c>
      <c r="I891" s="2" t="s">
        <v>2085</v>
      </c>
      <c r="J891" s="2" t="s">
        <v>1406</v>
      </c>
      <c r="K891" s="2" t="s">
        <v>26</v>
      </c>
      <c r="L891" s="2" t="s">
        <v>57</v>
      </c>
      <c r="M891" s="2">
        <v>5314000</v>
      </c>
      <c r="N891" s="2" t="s">
        <v>522</v>
      </c>
      <c r="O891" s="2" t="s">
        <v>60</v>
      </c>
      <c r="P891" s="2" t="s">
        <v>241</v>
      </c>
      <c r="Q891" s="2" t="s">
        <v>440</v>
      </c>
      <c r="R891" s="2" t="s">
        <v>53</v>
      </c>
      <c r="S891" s="2">
        <v>8</v>
      </c>
      <c r="T891" s="2" t="s">
        <v>33</v>
      </c>
      <c r="U891" s="2" t="s">
        <v>34</v>
      </c>
      <c r="V891" s="32">
        <v>51300880</v>
      </c>
      <c r="Y891" s="30">
        <f t="shared" si="26"/>
        <v>51300880</v>
      </c>
      <c r="Z891" s="41">
        <f t="shared" si="27"/>
        <v>0</v>
      </c>
    </row>
    <row r="892" spans="1:27">
      <c r="A892" s="2">
        <v>890</v>
      </c>
      <c r="B892" s="2">
        <v>3626298</v>
      </c>
      <c r="C892" s="2">
        <v>51007035280027</v>
      </c>
      <c r="D892" s="2" t="s">
        <v>22</v>
      </c>
      <c r="E892" s="2">
        <v>2241153</v>
      </c>
      <c r="F892" s="2" t="s">
        <v>2008</v>
      </c>
      <c r="G892" s="3">
        <v>37812</v>
      </c>
      <c r="H892" s="2" t="s">
        <v>1376</v>
      </c>
      <c r="I892" s="2" t="s">
        <v>2086</v>
      </c>
      <c r="J892" s="2" t="s">
        <v>2087</v>
      </c>
      <c r="K892" s="2" t="s">
        <v>26</v>
      </c>
      <c r="L892" s="2" t="s">
        <v>27</v>
      </c>
      <c r="M892" s="2">
        <v>5230104</v>
      </c>
      <c r="N892" s="2" t="s">
        <v>78</v>
      </c>
      <c r="O892" s="2" t="s">
        <v>207</v>
      </c>
      <c r="P892" s="2" t="s">
        <v>1051</v>
      </c>
      <c r="Q892" s="2" t="s">
        <v>281</v>
      </c>
      <c r="R892" s="2" t="s">
        <v>134</v>
      </c>
      <c r="S892" s="2">
        <v>10</v>
      </c>
      <c r="T892" s="2" t="s">
        <v>33</v>
      </c>
      <c r="U892" s="2" t="s">
        <v>34</v>
      </c>
      <c r="V892" s="32">
        <v>91299300</v>
      </c>
      <c r="Y892" s="30">
        <f t="shared" si="26"/>
        <v>91299300</v>
      </c>
      <c r="Z892" s="41">
        <f t="shared" si="27"/>
        <v>0</v>
      </c>
    </row>
    <row r="893" spans="1:27" ht="26.25">
      <c r="A893" s="2">
        <v>891</v>
      </c>
      <c r="B893" s="2">
        <v>3332054</v>
      </c>
      <c r="C893" s="2">
        <v>51104046700011</v>
      </c>
      <c r="D893" s="2" t="s">
        <v>74</v>
      </c>
      <c r="E893" s="2">
        <v>250195</v>
      </c>
      <c r="F893" s="2" t="s">
        <v>2008</v>
      </c>
      <c r="G893" s="3">
        <v>38088</v>
      </c>
      <c r="H893" s="2" t="s">
        <v>2088</v>
      </c>
      <c r="I893" s="2" t="s">
        <v>376</v>
      </c>
      <c r="J893" s="2" t="s">
        <v>2089</v>
      </c>
      <c r="K893" s="2" t="s">
        <v>26</v>
      </c>
      <c r="L893" s="2" t="s">
        <v>27</v>
      </c>
      <c r="M893" s="2">
        <v>5620701</v>
      </c>
      <c r="N893" s="2" t="s">
        <v>218</v>
      </c>
      <c r="O893" s="2" t="s">
        <v>287</v>
      </c>
      <c r="P893" s="2" t="s">
        <v>224</v>
      </c>
      <c r="Q893" s="2" t="s">
        <v>500</v>
      </c>
      <c r="R893" s="2" t="s">
        <v>53</v>
      </c>
      <c r="S893" s="2">
        <v>8</v>
      </c>
      <c r="T893" s="2" t="s">
        <v>33</v>
      </c>
      <c r="U893" s="2" t="s">
        <v>34</v>
      </c>
      <c r="V893" s="32">
        <v>51300880</v>
      </c>
      <c r="Y893" s="30">
        <f t="shared" si="26"/>
        <v>51300880</v>
      </c>
      <c r="Z893" s="41">
        <f t="shared" si="27"/>
        <v>0</v>
      </c>
    </row>
    <row r="894" spans="1:27">
      <c r="A894" s="2">
        <v>892</v>
      </c>
      <c r="B894" s="2">
        <v>3723920</v>
      </c>
      <c r="C894" s="2">
        <v>50111036520035</v>
      </c>
      <c r="D894" s="2" t="s">
        <v>22</v>
      </c>
      <c r="E894" s="2">
        <v>2451206</v>
      </c>
      <c r="F894" s="2" t="s">
        <v>2008</v>
      </c>
      <c r="G894" s="3">
        <v>37926</v>
      </c>
      <c r="H894" s="2" t="s">
        <v>1949</v>
      </c>
      <c r="I894" s="2" t="s">
        <v>995</v>
      </c>
      <c r="J894" s="2" t="s">
        <v>896</v>
      </c>
      <c r="K894" s="2" t="s">
        <v>26</v>
      </c>
      <c r="L894" s="2" t="s">
        <v>27</v>
      </c>
      <c r="M894" s="2">
        <v>5230406</v>
      </c>
      <c r="N894" s="2" t="s">
        <v>635</v>
      </c>
      <c r="O894" s="2" t="s">
        <v>350</v>
      </c>
      <c r="P894" s="2" t="s">
        <v>68</v>
      </c>
      <c r="Q894" s="4">
        <v>12966</v>
      </c>
      <c r="R894" s="2" t="s">
        <v>134</v>
      </c>
      <c r="S894" s="2">
        <v>10</v>
      </c>
      <c r="T894" s="2" t="s">
        <v>33</v>
      </c>
      <c r="U894" s="2" t="s">
        <v>34</v>
      </c>
      <c r="V894" s="32">
        <v>91299300</v>
      </c>
      <c r="Y894" s="30">
        <f t="shared" si="26"/>
        <v>91299300</v>
      </c>
      <c r="Z894" s="41">
        <f t="shared" si="27"/>
        <v>0</v>
      </c>
    </row>
    <row r="895" spans="1:27" ht="26.25">
      <c r="A895" s="2">
        <v>893</v>
      </c>
      <c r="B895" s="2">
        <v>1285592</v>
      </c>
      <c r="C895" s="2">
        <v>31108950260045</v>
      </c>
      <c r="D895" s="2" t="s">
        <v>145</v>
      </c>
      <c r="E895" s="2">
        <v>1916099</v>
      </c>
      <c r="F895" s="2">
        <v>909029056</v>
      </c>
      <c r="G895" s="3">
        <v>34922</v>
      </c>
      <c r="H895" s="2" t="s">
        <v>509</v>
      </c>
      <c r="I895" s="2" t="s">
        <v>505</v>
      </c>
      <c r="J895" s="2" t="s">
        <v>2090</v>
      </c>
      <c r="K895" s="2" t="s">
        <v>39</v>
      </c>
      <c r="L895" s="2" t="s">
        <v>27</v>
      </c>
      <c r="M895" s="2">
        <v>5330202</v>
      </c>
      <c r="N895" s="2" t="s">
        <v>164</v>
      </c>
      <c r="O895" s="2" t="s">
        <v>87</v>
      </c>
      <c r="P895" s="2" t="s">
        <v>123</v>
      </c>
      <c r="Q895" s="2" t="s">
        <v>549</v>
      </c>
      <c r="R895" s="2" t="s">
        <v>44</v>
      </c>
      <c r="S895" s="2">
        <v>10</v>
      </c>
      <c r="T895" s="2" t="s">
        <v>33</v>
      </c>
      <c r="U895" s="2" t="s">
        <v>34</v>
      </c>
      <c r="V895" s="32">
        <v>82198930</v>
      </c>
      <c r="Y895" s="30">
        <f t="shared" si="26"/>
        <v>82198930</v>
      </c>
      <c r="Z895" s="41">
        <f t="shared" si="27"/>
        <v>0</v>
      </c>
    </row>
    <row r="896" spans="1:27" ht="39">
      <c r="A896" s="2">
        <v>894</v>
      </c>
      <c r="B896" s="2">
        <v>1111879</v>
      </c>
      <c r="C896" s="2">
        <v>31512966030040</v>
      </c>
      <c r="D896" s="2" t="s">
        <v>145</v>
      </c>
      <c r="E896" s="2">
        <v>7052586</v>
      </c>
      <c r="F896" s="2">
        <v>995636296</v>
      </c>
      <c r="G896" s="3">
        <v>35414</v>
      </c>
      <c r="H896" s="2" t="s">
        <v>2091</v>
      </c>
      <c r="I896" s="2" t="s">
        <v>1091</v>
      </c>
      <c r="J896" s="2" t="s">
        <v>454</v>
      </c>
      <c r="K896" s="2" t="s">
        <v>39</v>
      </c>
      <c r="L896" s="2" t="s">
        <v>27</v>
      </c>
      <c r="M896" s="2">
        <v>5340401</v>
      </c>
      <c r="N896" s="2" t="s">
        <v>349</v>
      </c>
      <c r="O896" s="2">
        <v>63</v>
      </c>
      <c r="P896" s="2" t="s">
        <v>350</v>
      </c>
      <c r="Q896" s="2" t="s">
        <v>591</v>
      </c>
      <c r="R896" s="2" t="s">
        <v>44</v>
      </c>
      <c r="S896" s="2">
        <v>8</v>
      </c>
      <c r="T896" s="2" t="s">
        <v>33</v>
      </c>
      <c r="U896" s="2" t="s">
        <v>34</v>
      </c>
      <c r="V896" s="32" t="s">
        <v>2722</v>
      </c>
      <c r="W896" s="20">
        <v>32879572</v>
      </c>
      <c r="X896" s="2" t="s">
        <v>2631</v>
      </c>
      <c r="Y896" s="30">
        <f t="shared" si="26"/>
        <v>26303657.600000001</v>
      </c>
      <c r="Z896" s="41">
        <f t="shared" si="27"/>
        <v>0.55555555555555558</v>
      </c>
    </row>
    <row r="897" spans="1:27">
      <c r="A897" s="2">
        <v>895</v>
      </c>
      <c r="B897" s="2">
        <v>2730442</v>
      </c>
      <c r="C897" s="2">
        <v>50605026590037</v>
      </c>
      <c r="D897" s="2" t="s">
        <v>45</v>
      </c>
      <c r="E897" s="2">
        <v>6876045</v>
      </c>
      <c r="F897" s="2">
        <v>996000080</v>
      </c>
      <c r="G897" s="3">
        <v>37382</v>
      </c>
      <c r="H897" s="2" t="s">
        <v>135</v>
      </c>
      <c r="I897" s="2" t="s">
        <v>2092</v>
      </c>
      <c r="J897" s="2" t="s">
        <v>2093</v>
      </c>
      <c r="K897" s="2" t="s">
        <v>26</v>
      </c>
      <c r="L897" s="2" t="s">
        <v>27</v>
      </c>
      <c r="M897" s="2">
        <v>5230105</v>
      </c>
      <c r="N897" s="2" t="s">
        <v>407</v>
      </c>
      <c r="O897" s="2" t="s">
        <v>433</v>
      </c>
      <c r="P897" s="2" t="s">
        <v>408</v>
      </c>
      <c r="Q897" s="2" t="s">
        <v>420</v>
      </c>
      <c r="R897" s="2" t="s">
        <v>134</v>
      </c>
      <c r="S897" s="2">
        <v>10</v>
      </c>
      <c r="T897" s="2" t="s">
        <v>33</v>
      </c>
      <c r="U897" s="2" t="s">
        <v>34</v>
      </c>
      <c r="V897" s="32">
        <v>182598600</v>
      </c>
      <c r="Y897" s="30">
        <f t="shared" si="26"/>
        <v>182598600</v>
      </c>
      <c r="Z897" s="41">
        <f t="shared" si="27"/>
        <v>0</v>
      </c>
    </row>
    <row r="898" spans="1:27" ht="26.25">
      <c r="A898" s="2">
        <v>896</v>
      </c>
      <c r="B898" s="2">
        <v>1016596</v>
      </c>
      <c r="C898" s="2">
        <v>50607016520051</v>
      </c>
      <c r="D898" s="2" t="s">
        <v>45</v>
      </c>
      <c r="E898" s="2">
        <v>8740272</v>
      </c>
      <c r="F898" s="2" t="s">
        <v>2008</v>
      </c>
      <c r="G898" s="3">
        <v>37078</v>
      </c>
      <c r="H898" s="2" t="s">
        <v>2094</v>
      </c>
      <c r="I898" s="2" t="s">
        <v>801</v>
      </c>
      <c r="J898" s="2" t="s">
        <v>2095</v>
      </c>
      <c r="K898" s="2" t="s">
        <v>39</v>
      </c>
      <c r="L898" s="2" t="s">
        <v>57</v>
      </c>
      <c r="M898" s="2">
        <v>5310601</v>
      </c>
      <c r="N898" s="2" t="s">
        <v>153</v>
      </c>
      <c r="O898" s="2" t="s">
        <v>139</v>
      </c>
      <c r="P898" s="2" t="s">
        <v>155</v>
      </c>
      <c r="Q898" s="5">
        <v>44317</v>
      </c>
      <c r="R898" s="2" t="s">
        <v>62</v>
      </c>
      <c r="S898" s="2">
        <v>8</v>
      </c>
      <c r="T898" s="2" t="s">
        <v>33</v>
      </c>
      <c r="U898" s="2" t="s">
        <v>34</v>
      </c>
      <c r="V898" s="29" t="s">
        <v>2725</v>
      </c>
      <c r="W898" s="20">
        <v>7000000</v>
      </c>
      <c r="X898" s="2" t="s">
        <v>2703</v>
      </c>
      <c r="Y898" s="30">
        <f t="shared" si="26"/>
        <v>3088050.5</v>
      </c>
      <c r="Z898" s="41">
        <f t="shared" si="27"/>
        <v>0.69389026155251698</v>
      </c>
    </row>
    <row r="899" spans="1:27" ht="26.25">
      <c r="A899" s="2">
        <v>897</v>
      </c>
      <c r="B899" s="2">
        <v>2605765</v>
      </c>
      <c r="C899" s="2">
        <v>31405986810025</v>
      </c>
      <c r="D899" s="2" t="s">
        <v>145</v>
      </c>
      <c r="E899" s="2">
        <v>6260746</v>
      </c>
      <c r="F899" s="2" t="s">
        <v>2008</v>
      </c>
      <c r="G899" s="3">
        <v>35929</v>
      </c>
      <c r="H899" s="2" t="s">
        <v>2096</v>
      </c>
      <c r="I899" s="2" t="s">
        <v>714</v>
      </c>
      <c r="J899" s="2" t="s">
        <v>2097</v>
      </c>
      <c r="K899" s="2" t="s">
        <v>39</v>
      </c>
      <c r="L899" s="2" t="s">
        <v>27</v>
      </c>
      <c r="M899" s="2">
        <v>5340602</v>
      </c>
      <c r="N899" s="2" t="s">
        <v>628</v>
      </c>
      <c r="O899" s="2" t="s">
        <v>67</v>
      </c>
      <c r="P899" s="2" t="s">
        <v>629</v>
      </c>
      <c r="Q899" s="4">
        <v>43922</v>
      </c>
      <c r="R899" s="2" t="s">
        <v>44</v>
      </c>
      <c r="S899" s="2">
        <v>8</v>
      </c>
      <c r="T899" s="2" t="s">
        <v>33</v>
      </c>
      <c r="U899" s="2" t="s">
        <v>34</v>
      </c>
      <c r="V899" s="32">
        <v>65759144</v>
      </c>
      <c r="Y899" s="30">
        <f t="shared" si="26"/>
        <v>65759144</v>
      </c>
      <c r="Z899" s="41">
        <f t="shared" si="27"/>
        <v>0</v>
      </c>
    </row>
    <row r="900" spans="1:27" ht="26.25">
      <c r="A900" s="2">
        <v>898</v>
      </c>
      <c r="B900" s="2">
        <v>3315343</v>
      </c>
      <c r="C900" s="2">
        <v>50409036850015</v>
      </c>
      <c r="D900" s="2" t="s">
        <v>22</v>
      </c>
      <c r="E900" s="2">
        <v>2185365</v>
      </c>
      <c r="F900" s="2">
        <v>909751310</v>
      </c>
      <c r="G900" s="3">
        <v>37868</v>
      </c>
      <c r="H900" s="2" t="s">
        <v>2069</v>
      </c>
      <c r="I900" s="2" t="s">
        <v>1748</v>
      </c>
      <c r="J900" s="2" t="s">
        <v>2098</v>
      </c>
      <c r="K900" s="2" t="s">
        <v>26</v>
      </c>
      <c r="L900" s="2" t="s">
        <v>27</v>
      </c>
      <c r="M900" s="2">
        <v>5310602</v>
      </c>
      <c r="N900" s="2" t="s">
        <v>518</v>
      </c>
      <c r="O900" s="2">
        <v>63</v>
      </c>
      <c r="P900" s="2" t="s">
        <v>88</v>
      </c>
      <c r="Q900" s="5">
        <v>44317</v>
      </c>
      <c r="R900" s="2" t="s">
        <v>53</v>
      </c>
      <c r="S900" s="2">
        <v>8</v>
      </c>
      <c r="T900" s="2" t="s">
        <v>33</v>
      </c>
      <c r="U900" s="2" t="s">
        <v>34</v>
      </c>
      <c r="V900" s="32">
        <v>9618915</v>
      </c>
      <c r="W900" s="21">
        <f>6412610+3407000</f>
        <v>9819610</v>
      </c>
      <c r="X900" s="10" t="s">
        <v>2844</v>
      </c>
      <c r="Y900" s="30">
        <f t="shared" ref="Y900:Y963" si="28">V900-W900</f>
        <v>-200695</v>
      </c>
      <c r="Z900" s="41">
        <f t="shared" ref="Z900:Z963" si="29">W900/V900</f>
        <v>1.0208646193463609</v>
      </c>
    </row>
    <row r="901" spans="1:27">
      <c r="A901" s="2">
        <v>899</v>
      </c>
      <c r="B901" s="2">
        <v>1747465</v>
      </c>
      <c r="C901" s="2">
        <v>31607996600045</v>
      </c>
      <c r="D901" s="2" t="s">
        <v>45</v>
      </c>
      <c r="E901" s="2">
        <v>525380</v>
      </c>
      <c r="F901" s="2" t="s">
        <v>2008</v>
      </c>
      <c r="G901" s="3">
        <v>36357</v>
      </c>
      <c r="H901" s="2" t="s">
        <v>477</v>
      </c>
      <c r="I901" s="2" t="s">
        <v>2099</v>
      </c>
      <c r="J901" s="2" t="s">
        <v>2100</v>
      </c>
      <c r="K901" s="2" t="s">
        <v>39</v>
      </c>
      <c r="L901" s="2" t="s">
        <v>27</v>
      </c>
      <c r="M901" s="2">
        <v>5620101</v>
      </c>
      <c r="N901" s="2" t="s">
        <v>49</v>
      </c>
      <c r="O901" s="2" t="s">
        <v>60</v>
      </c>
      <c r="P901" s="2" t="s">
        <v>264</v>
      </c>
      <c r="Q901" s="2" t="s">
        <v>439</v>
      </c>
      <c r="R901" s="2" t="s">
        <v>62</v>
      </c>
      <c r="S901" s="2">
        <v>8</v>
      </c>
      <c r="T901" s="2" t="s">
        <v>33</v>
      </c>
      <c r="U901" s="2" t="s">
        <v>34</v>
      </c>
      <c r="V901" s="32">
        <v>59781040</v>
      </c>
      <c r="Y901" s="30">
        <f t="shared" si="28"/>
        <v>59781040</v>
      </c>
      <c r="Z901" s="41">
        <f t="shared" si="29"/>
        <v>0</v>
      </c>
    </row>
    <row r="902" spans="1:27" ht="26.25">
      <c r="A902" s="2">
        <v>900</v>
      </c>
      <c r="B902" s="2">
        <v>2240640</v>
      </c>
      <c r="C902" s="2">
        <v>50303026760039</v>
      </c>
      <c r="D902" s="2" t="s">
        <v>45</v>
      </c>
      <c r="E902" s="2">
        <v>9099491</v>
      </c>
      <c r="F902" s="2" t="s">
        <v>2008</v>
      </c>
      <c r="G902" s="3">
        <v>37318</v>
      </c>
      <c r="H902" s="2" t="s">
        <v>2101</v>
      </c>
      <c r="I902" s="2" t="s">
        <v>2102</v>
      </c>
      <c r="J902" s="2" t="s">
        <v>618</v>
      </c>
      <c r="K902" s="2" t="s">
        <v>39</v>
      </c>
      <c r="L902" s="2" t="s">
        <v>27</v>
      </c>
      <c r="M902" s="2">
        <v>5310701</v>
      </c>
      <c r="N902" s="2" t="s">
        <v>118</v>
      </c>
      <c r="O902" s="2" t="s">
        <v>281</v>
      </c>
      <c r="P902" s="2" t="s">
        <v>123</v>
      </c>
      <c r="Q902" s="2" t="s">
        <v>421</v>
      </c>
      <c r="R902" s="2" t="s">
        <v>62</v>
      </c>
      <c r="S902" s="2">
        <v>8</v>
      </c>
      <c r="T902" s="2" t="s">
        <v>33</v>
      </c>
      <c r="U902" s="2" t="s">
        <v>34</v>
      </c>
      <c r="V902" s="32">
        <v>119562080</v>
      </c>
      <c r="Y902" s="30">
        <f t="shared" si="28"/>
        <v>119562080</v>
      </c>
      <c r="Z902" s="41">
        <f t="shared" si="29"/>
        <v>0</v>
      </c>
    </row>
    <row r="903" spans="1:27">
      <c r="A903" s="2">
        <v>901</v>
      </c>
      <c r="B903" s="2">
        <v>2990087</v>
      </c>
      <c r="C903" s="2">
        <v>50504036820041</v>
      </c>
      <c r="D903" s="2" t="s">
        <v>22</v>
      </c>
      <c r="E903" s="2">
        <v>2857090</v>
      </c>
      <c r="F903" s="2" t="s">
        <v>2008</v>
      </c>
      <c r="G903" s="3">
        <v>37716</v>
      </c>
      <c r="H903" s="2" t="s">
        <v>2103</v>
      </c>
      <c r="I903" s="2" t="s">
        <v>2104</v>
      </c>
      <c r="J903" s="2" t="s">
        <v>2105</v>
      </c>
      <c r="K903" s="2" t="s">
        <v>39</v>
      </c>
      <c r="L903" s="2" t="s">
        <v>27</v>
      </c>
      <c r="M903" s="2">
        <v>5230104</v>
      </c>
      <c r="N903" s="2" t="s">
        <v>78</v>
      </c>
      <c r="O903" s="2" t="s">
        <v>252</v>
      </c>
      <c r="P903" s="2" t="s">
        <v>80</v>
      </c>
      <c r="Q903" s="5">
        <v>44317</v>
      </c>
      <c r="R903" s="2" t="s">
        <v>82</v>
      </c>
      <c r="S903" s="2">
        <v>10</v>
      </c>
      <c r="T903" s="2" t="s">
        <v>33</v>
      </c>
      <c r="U903" s="2" t="s">
        <v>34</v>
      </c>
      <c r="V903" s="32">
        <v>15692523</v>
      </c>
      <c r="Y903" s="30">
        <f t="shared" si="28"/>
        <v>15692523</v>
      </c>
      <c r="Z903" s="41">
        <f t="shared" si="29"/>
        <v>0</v>
      </c>
    </row>
    <row r="904" spans="1:27" ht="26.25">
      <c r="A904" s="2">
        <v>902</v>
      </c>
      <c r="B904" s="2">
        <v>2334145</v>
      </c>
      <c r="C904" s="2">
        <v>50506027050077</v>
      </c>
      <c r="D904" s="2" t="s">
        <v>22</v>
      </c>
      <c r="E904" s="2">
        <v>1823470</v>
      </c>
      <c r="F904" s="2" t="s">
        <v>2008</v>
      </c>
      <c r="G904" s="3">
        <v>37412</v>
      </c>
      <c r="H904" s="2" t="s">
        <v>2106</v>
      </c>
      <c r="I904" s="2" t="s">
        <v>2107</v>
      </c>
      <c r="J904" s="2" t="s">
        <v>2108</v>
      </c>
      <c r="K904" s="2" t="s">
        <v>39</v>
      </c>
      <c r="L904" s="2" t="s">
        <v>27</v>
      </c>
      <c r="M904" s="2">
        <v>5310701</v>
      </c>
      <c r="N904" s="2" t="s">
        <v>118</v>
      </c>
      <c r="O904" s="2" t="s">
        <v>455</v>
      </c>
      <c r="P904" s="2" t="s">
        <v>123</v>
      </c>
      <c r="Q904" s="2" t="s">
        <v>223</v>
      </c>
      <c r="R904" s="2" t="s">
        <v>62</v>
      </c>
      <c r="S904" s="2">
        <v>8</v>
      </c>
      <c r="T904" s="2" t="s">
        <v>33</v>
      </c>
      <c r="U904" s="2" t="s">
        <v>34</v>
      </c>
      <c r="V904" s="32">
        <v>119562080</v>
      </c>
      <c r="Y904" s="30">
        <f t="shared" si="28"/>
        <v>119562080</v>
      </c>
      <c r="Z904" s="41">
        <f t="shared" si="29"/>
        <v>0</v>
      </c>
    </row>
    <row r="905" spans="1:27" ht="39">
      <c r="A905" s="2">
        <v>903</v>
      </c>
      <c r="B905" s="2">
        <v>2184517</v>
      </c>
      <c r="C905" s="2">
        <v>50602018660020</v>
      </c>
      <c r="D905" s="2" t="s">
        <v>45</v>
      </c>
      <c r="E905" s="2">
        <v>5906402</v>
      </c>
      <c r="F905" s="2" t="s">
        <v>2008</v>
      </c>
      <c r="G905" s="3">
        <v>36928</v>
      </c>
      <c r="H905" s="2" t="s">
        <v>2109</v>
      </c>
      <c r="I905" s="2" t="s">
        <v>2110</v>
      </c>
      <c r="J905" s="2" t="s">
        <v>2111</v>
      </c>
      <c r="K905" s="2" t="s">
        <v>39</v>
      </c>
      <c r="L905" s="2" t="s">
        <v>57</v>
      </c>
      <c r="M905" s="2">
        <v>5311003</v>
      </c>
      <c r="N905" s="2" t="s">
        <v>144</v>
      </c>
      <c r="O905" s="2" t="s">
        <v>104</v>
      </c>
      <c r="P905" s="2" t="s">
        <v>155</v>
      </c>
      <c r="Q905" s="4">
        <v>43922</v>
      </c>
      <c r="R905" s="2" t="s">
        <v>62</v>
      </c>
      <c r="S905" s="2">
        <v>8</v>
      </c>
      <c r="T905" s="2" t="s">
        <v>33</v>
      </c>
      <c r="U905" s="2" t="s">
        <v>34</v>
      </c>
      <c r="V905" s="32">
        <v>59781040</v>
      </c>
      <c r="Y905" s="30">
        <f t="shared" si="28"/>
        <v>59781040</v>
      </c>
      <c r="Z905" s="41">
        <f t="shared" si="29"/>
        <v>0</v>
      </c>
    </row>
    <row r="906" spans="1:27" ht="26.25">
      <c r="A906" s="2">
        <v>904</v>
      </c>
      <c r="B906" s="2">
        <v>3283989</v>
      </c>
      <c r="C906" s="2">
        <v>50407036520039</v>
      </c>
      <c r="D906" s="2" t="s">
        <v>22</v>
      </c>
      <c r="E906" s="2">
        <v>2050502</v>
      </c>
      <c r="F906" s="2" t="s">
        <v>2008</v>
      </c>
      <c r="G906" s="3">
        <v>37806</v>
      </c>
      <c r="H906" s="2" t="s">
        <v>2112</v>
      </c>
      <c r="I906" s="2" t="s">
        <v>752</v>
      </c>
      <c r="J906" s="2" t="s">
        <v>1159</v>
      </c>
      <c r="K906" s="2" t="s">
        <v>26</v>
      </c>
      <c r="L906" s="2" t="s">
        <v>27</v>
      </c>
      <c r="M906" s="2">
        <v>5310608</v>
      </c>
      <c r="N906" s="2" t="s">
        <v>921</v>
      </c>
      <c r="O906" s="2" t="s">
        <v>225</v>
      </c>
      <c r="P906" s="2" t="s">
        <v>42</v>
      </c>
      <c r="Q906" s="4">
        <v>22251</v>
      </c>
      <c r="R906" s="2" t="s">
        <v>53</v>
      </c>
      <c r="S906" s="2">
        <v>8</v>
      </c>
      <c r="T906" s="2" t="s">
        <v>33</v>
      </c>
      <c r="U906" s="2" t="s">
        <v>34</v>
      </c>
      <c r="V906" s="32">
        <v>51300880</v>
      </c>
      <c r="Y906" s="30">
        <f t="shared" si="28"/>
        <v>51300880</v>
      </c>
      <c r="Z906" s="41">
        <f t="shared" si="29"/>
        <v>0</v>
      </c>
    </row>
    <row r="907" spans="1:27" ht="26.25">
      <c r="A907" s="2">
        <v>905</v>
      </c>
      <c r="B907" s="2">
        <v>3575466</v>
      </c>
      <c r="C907" s="2">
        <v>50409036800010</v>
      </c>
      <c r="D907" s="2" t="s">
        <v>22</v>
      </c>
      <c r="E907" s="2">
        <v>2196414</v>
      </c>
      <c r="F907" s="2" t="s">
        <v>2008</v>
      </c>
      <c r="G907" s="3">
        <v>37868</v>
      </c>
      <c r="H907" s="2" t="s">
        <v>1531</v>
      </c>
      <c r="I907" s="2" t="s">
        <v>513</v>
      </c>
      <c r="J907" s="2" t="s">
        <v>454</v>
      </c>
      <c r="K907" s="2" t="s">
        <v>39</v>
      </c>
      <c r="L907" s="2" t="s">
        <v>27</v>
      </c>
      <c r="M907" s="2">
        <v>5320102</v>
      </c>
      <c r="N907" s="2" t="s">
        <v>138</v>
      </c>
      <c r="O907" s="2" t="s">
        <v>149</v>
      </c>
      <c r="P907" s="2" t="s">
        <v>140</v>
      </c>
      <c r="Q907" s="4">
        <v>42064</v>
      </c>
      <c r="R907" s="2" t="s">
        <v>62</v>
      </c>
      <c r="S907" s="2">
        <v>8</v>
      </c>
      <c r="T907" s="2" t="s">
        <v>33</v>
      </c>
      <c r="U907" s="2" t="s">
        <v>34</v>
      </c>
      <c r="V907" s="29" t="s">
        <v>2801</v>
      </c>
      <c r="W907" s="21">
        <f>12960199+1500000+2500000</f>
        <v>16960199</v>
      </c>
      <c r="X907" s="12" t="s">
        <v>2816</v>
      </c>
      <c r="Y907" s="30">
        <f t="shared" si="28"/>
        <v>3215902</v>
      </c>
      <c r="Z907" s="41">
        <f t="shared" si="29"/>
        <v>0.84060835143519552</v>
      </c>
      <c r="AA907" s="42" t="s">
        <v>2798</v>
      </c>
    </row>
    <row r="908" spans="1:27">
      <c r="A908" s="2">
        <v>906</v>
      </c>
      <c r="B908" s="2">
        <v>1667338</v>
      </c>
      <c r="C908" s="2">
        <v>50410006590026</v>
      </c>
      <c r="D908" s="2" t="s">
        <v>45</v>
      </c>
      <c r="E908" s="2">
        <v>5226902</v>
      </c>
      <c r="F908" s="2" t="s">
        <v>2008</v>
      </c>
      <c r="G908" s="3">
        <v>36803</v>
      </c>
      <c r="H908" s="2" t="s">
        <v>2075</v>
      </c>
      <c r="I908" s="2" t="s">
        <v>2113</v>
      </c>
      <c r="J908" s="2" t="s">
        <v>2114</v>
      </c>
      <c r="K908" s="2" t="s">
        <v>26</v>
      </c>
      <c r="L908" s="2" t="s">
        <v>27</v>
      </c>
      <c r="M908" s="2">
        <v>5314000</v>
      </c>
      <c r="N908" s="2" t="s">
        <v>522</v>
      </c>
      <c r="O908" s="2" t="s">
        <v>296</v>
      </c>
      <c r="P908" s="2" t="s">
        <v>771</v>
      </c>
      <c r="Q908" s="2" t="s">
        <v>122</v>
      </c>
      <c r="R908" s="2" t="s">
        <v>53</v>
      </c>
      <c r="S908" s="2">
        <v>8</v>
      </c>
      <c r="T908" s="2" t="s">
        <v>33</v>
      </c>
      <c r="U908" s="2" t="s">
        <v>34</v>
      </c>
      <c r="V908" s="32">
        <v>51300880</v>
      </c>
      <c r="Y908" s="30">
        <f t="shared" si="28"/>
        <v>51300880</v>
      </c>
      <c r="Z908" s="41">
        <f t="shared" si="29"/>
        <v>0</v>
      </c>
    </row>
    <row r="909" spans="1:27" ht="26.25">
      <c r="A909" s="2">
        <v>907</v>
      </c>
      <c r="B909" s="2">
        <v>2452866</v>
      </c>
      <c r="C909" s="2">
        <v>50509026590052</v>
      </c>
      <c r="D909" s="2" t="s">
        <v>22</v>
      </c>
      <c r="E909" s="2">
        <v>2726560</v>
      </c>
      <c r="F909" s="2" t="s">
        <v>2008</v>
      </c>
      <c r="G909" s="3">
        <v>37504</v>
      </c>
      <c r="H909" s="2" t="s">
        <v>2005</v>
      </c>
      <c r="I909" s="2" t="s">
        <v>423</v>
      </c>
      <c r="J909" s="2" t="s">
        <v>1225</v>
      </c>
      <c r="K909" s="2" t="s">
        <v>26</v>
      </c>
      <c r="L909" s="2" t="s">
        <v>27</v>
      </c>
      <c r="M909" s="2">
        <v>5230902</v>
      </c>
      <c r="N909" s="2" t="s">
        <v>251</v>
      </c>
      <c r="O909" s="2" t="s">
        <v>2115</v>
      </c>
      <c r="P909" s="2" t="s">
        <v>798</v>
      </c>
      <c r="Q909" s="5">
        <v>44317</v>
      </c>
      <c r="R909" s="2" t="s">
        <v>134</v>
      </c>
      <c r="S909" s="2">
        <v>10</v>
      </c>
      <c r="T909" s="2" t="s">
        <v>33</v>
      </c>
      <c r="U909" s="2" t="s">
        <v>34</v>
      </c>
      <c r="V909" s="32">
        <v>13694895</v>
      </c>
      <c r="Y909" s="30">
        <f t="shared" si="28"/>
        <v>13694895</v>
      </c>
      <c r="Z909" s="41">
        <f t="shared" si="29"/>
        <v>0</v>
      </c>
    </row>
    <row r="910" spans="1:27">
      <c r="A910" s="2">
        <v>908</v>
      </c>
      <c r="B910" s="2">
        <v>3414259</v>
      </c>
      <c r="C910" s="2">
        <v>50608046030019</v>
      </c>
      <c r="D910" s="2" t="s">
        <v>22</v>
      </c>
      <c r="E910" s="2">
        <v>2947991</v>
      </c>
      <c r="F910" s="2" t="s">
        <v>2008</v>
      </c>
      <c r="G910" s="3">
        <v>38205</v>
      </c>
      <c r="H910" s="2" t="s">
        <v>1094</v>
      </c>
      <c r="I910" s="2" t="s">
        <v>2116</v>
      </c>
      <c r="J910" s="2" t="s">
        <v>656</v>
      </c>
      <c r="K910" s="2" t="s">
        <v>26</v>
      </c>
      <c r="L910" s="2" t="s">
        <v>27</v>
      </c>
      <c r="M910" s="2">
        <v>5231900</v>
      </c>
      <c r="N910" s="2" t="s">
        <v>1747</v>
      </c>
      <c r="O910" s="2" t="s">
        <v>67</v>
      </c>
      <c r="P910" s="2" t="s">
        <v>68</v>
      </c>
      <c r="Q910" s="4">
        <v>14824</v>
      </c>
      <c r="R910" s="2" t="s">
        <v>134</v>
      </c>
      <c r="S910" s="2">
        <v>10</v>
      </c>
      <c r="T910" s="2" t="s">
        <v>33</v>
      </c>
      <c r="U910" s="2" t="s">
        <v>34</v>
      </c>
      <c r="V910" s="32">
        <v>91299300</v>
      </c>
      <c r="Y910" s="30">
        <f t="shared" si="28"/>
        <v>91299300</v>
      </c>
      <c r="Z910" s="41">
        <f t="shared" si="29"/>
        <v>0</v>
      </c>
    </row>
    <row r="911" spans="1:27">
      <c r="A911" s="2">
        <v>909</v>
      </c>
      <c r="B911" s="2">
        <v>2998334</v>
      </c>
      <c r="C911" s="2">
        <v>32803890660065</v>
      </c>
      <c r="D911" s="2" t="s">
        <v>145</v>
      </c>
      <c r="E911" s="2">
        <v>410495</v>
      </c>
      <c r="F911" s="2" t="s">
        <v>2008</v>
      </c>
      <c r="G911" s="3">
        <v>32595</v>
      </c>
      <c r="H911" s="2" t="s">
        <v>862</v>
      </c>
      <c r="I911" s="2" t="s">
        <v>2117</v>
      </c>
      <c r="J911" s="2" t="s">
        <v>2118</v>
      </c>
      <c r="K911" s="2" t="s">
        <v>39</v>
      </c>
      <c r="L911" s="2" t="s">
        <v>27</v>
      </c>
      <c r="M911" s="2">
        <v>5620400</v>
      </c>
      <c r="N911" s="2" t="s">
        <v>103</v>
      </c>
      <c r="O911" s="2" t="s">
        <v>155</v>
      </c>
      <c r="P911" s="2" t="s">
        <v>123</v>
      </c>
      <c r="Q911" s="2" t="s">
        <v>775</v>
      </c>
      <c r="R911" s="2" t="s">
        <v>62</v>
      </c>
      <c r="S911" s="2">
        <v>8</v>
      </c>
      <c r="T911" s="2" t="s">
        <v>33</v>
      </c>
      <c r="U911" s="2" t="s">
        <v>34</v>
      </c>
      <c r="V911" s="32">
        <v>59781040</v>
      </c>
      <c r="Y911" s="30">
        <f t="shared" si="28"/>
        <v>59781040</v>
      </c>
      <c r="Z911" s="41">
        <f t="shared" si="29"/>
        <v>0</v>
      </c>
    </row>
    <row r="912" spans="1:27" ht="15.75">
      <c r="A912" s="2">
        <v>910</v>
      </c>
      <c r="B912" s="2">
        <v>1646139</v>
      </c>
      <c r="C912" s="2">
        <v>31207976530016</v>
      </c>
      <c r="D912" s="2" t="s">
        <v>145</v>
      </c>
      <c r="E912" s="2">
        <v>2367310</v>
      </c>
      <c r="F912" s="2">
        <v>997606070</v>
      </c>
      <c r="G912" s="3">
        <v>35623</v>
      </c>
      <c r="H912" s="2" t="s">
        <v>2119</v>
      </c>
      <c r="I912" s="2" t="s">
        <v>423</v>
      </c>
      <c r="J912" s="2" t="s">
        <v>102</v>
      </c>
      <c r="K912" s="2" t="s">
        <v>39</v>
      </c>
      <c r="L912" s="2" t="s">
        <v>27</v>
      </c>
      <c r="M912" s="2">
        <v>5340603</v>
      </c>
      <c r="N912" s="2" t="s">
        <v>174</v>
      </c>
      <c r="O912" s="2" t="s">
        <v>296</v>
      </c>
      <c r="P912" s="2" t="s">
        <v>175</v>
      </c>
      <c r="Q912" s="2" t="s">
        <v>591</v>
      </c>
      <c r="R912" s="2" t="s">
        <v>44</v>
      </c>
      <c r="S912" s="2">
        <v>8</v>
      </c>
      <c r="T912" s="2" t="s">
        <v>33</v>
      </c>
      <c r="U912" s="2" t="s">
        <v>34</v>
      </c>
      <c r="V912" s="32">
        <v>65759144</v>
      </c>
      <c r="W912" s="21">
        <f>32880000+10140000+6300000</f>
        <v>49320000</v>
      </c>
      <c r="X912" s="11" t="s">
        <v>2961</v>
      </c>
      <c r="Y912" s="30">
        <f t="shared" si="28"/>
        <v>16439144</v>
      </c>
      <c r="Z912" s="41">
        <f t="shared" si="29"/>
        <v>0.75000976290080656</v>
      </c>
    </row>
    <row r="913" spans="1:27" ht="39">
      <c r="A913" s="2">
        <v>911</v>
      </c>
      <c r="B913" s="2">
        <v>2081069</v>
      </c>
      <c r="C913" s="2">
        <v>31803953930059</v>
      </c>
      <c r="D913" s="2" t="s">
        <v>145</v>
      </c>
      <c r="E913" s="2">
        <v>6397012</v>
      </c>
      <c r="F913" s="2" t="s">
        <v>2008</v>
      </c>
      <c r="G913" s="3">
        <v>34776</v>
      </c>
      <c r="H913" s="2" t="s">
        <v>2120</v>
      </c>
      <c r="I913" s="2" t="s">
        <v>2121</v>
      </c>
      <c r="J913" s="2" t="s">
        <v>102</v>
      </c>
      <c r="K913" s="2" t="s">
        <v>39</v>
      </c>
      <c r="L913" s="2" t="s">
        <v>27</v>
      </c>
      <c r="M913" s="2">
        <v>5320200</v>
      </c>
      <c r="N913" s="2" t="s">
        <v>66</v>
      </c>
      <c r="O913" s="2" t="s">
        <v>41</v>
      </c>
      <c r="P913" s="2" t="s">
        <v>68</v>
      </c>
      <c r="Q913" s="2" t="s">
        <v>775</v>
      </c>
      <c r="R913" s="2" t="s">
        <v>62</v>
      </c>
      <c r="S913" s="2">
        <v>8</v>
      </c>
      <c r="T913" s="2" t="s">
        <v>33</v>
      </c>
      <c r="U913" s="2" t="s">
        <v>34</v>
      </c>
      <c r="V913" s="32">
        <v>59781040</v>
      </c>
      <c r="Y913" s="30">
        <f t="shared" si="28"/>
        <v>59781040</v>
      </c>
      <c r="Z913" s="41">
        <f t="shared" si="29"/>
        <v>0</v>
      </c>
    </row>
    <row r="914" spans="1:27">
      <c r="A914" s="2">
        <v>912</v>
      </c>
      <c r="B914" s="2">
        <v>1898942</v>
      </c>
      <c r="C914" s="2">
        <v>31807976780019</v>
      </c>
      <c r="D914" s="2" t="s">
        <v>74</v>
      </c>
      <c r="E914" s="2">
        <v>389084</v>
      </c>
      <c r="F914" s="2" t="s">
        <v>2008</v>
      </c>
      <c r="G914" s="3">
        <v>35629</v>
      </c>
      <c r="H914" s="2" t="s">
        <v>2122</v>
      </c>
      <c r="I914" s="2" t="s">
        <v>2123</v>
      </c>
      <c r="J914" s="2" t="s">
        <v>2124</v>
      </c>
      <c r="K914" s="2" t="s">
        <v>39</v>
      </c>
      <c r="L914" s="2" t="s">
        <v>57</v>
      </c>
      <c r="M914" s="2">
        <v>5620400</v>
      </c>
      <c r="N914" s="2" t="s">
        <v>103</v>
      </c>
      <c r="O914" s="2" t="s">
        <v>296</v>
      </c>
      <c r="P914" s="2" t="s">
        <v>139</v>
      </c>
      <c r="Q914" s="4">
        <v>18537</v>
      </c>
      <c r="R914" s="2" t="s">
        <v>62</v>
      </c>
      <c r="S914" s="2">
        <v>8</v>
      </c>
      <c r="T914" s="2" t="s">
        <v>33</v>
      </c>
      <c r="U914" s="2" t="s">
        <v>34</v>
      </c>
      <c r="V914" s="32">
        <v>59781040</v>
      </c>
      <c r="Y914" s="30">
        <f t="shared" si="28"/>
        <v>59781040</v>
      </c>
      <c r="Z914" s="41">
        <f t="shared" si="29"/>
        <v>0</v>
      </c>
    </row>
    <row r="915" spans="1:27">
      <c r="A915" s="2">
        <v>913</v>
      </c>
      <c r="B915" s="2">
        <v>1287142</v>
      </c>
      <c r="C915" s="2">
        <v>62007006530027</v>
      </c>
      <c r="D915" s="2" t="s">
        <v>45</v>
      </c>
      <c r="E915" s="2">
        <v>4690297</v>
      </c>
      <c r="F915" s="2" t="s">
        <v>2008</v>
      </c>
      <c r="G915" s="3">
        <v>36727</v>
      </c>
      <c r="H915" s="2" t="s">
        <v>472</v>
      </c>
      <c r="I915" s="2" t="s">
        <v>2125</v>
      </c>
      <c r="J915" s="2" t="s">
        <v>2126</v>
      </c>
      <c r="K915" s="2" t="s">
        <v>39</v>
      </c>
      <c r="L915" s="2" t="s">
        <v>57</v>
      </c>
      <c r="M915" s="2">
        <v>5310400</v>
      </c>
      <c r="N915" s="2" t="s">
        <v>232</v>
      </c>
      <c r="O915" s="2" t="s">
        <v>104</v>
      </c>
      <c r="P915" s="2" t="s">
        <v>139</v>
      </c>
      <c r="Q915" s="4">
        <v>42064</v>
      </c>
      <c r="R915" s="2" t="s">
        <v>62</v>
      </c>
      <c r="S915" s="2">
        <v>8</v>
      </c>
      <c r="T915" s="2" t="s">
        <v>33</v>
      </c>
      <c r="U915" s="2" t="s">
        <v>34</v>
      </c>
      <c r="V915" s="32">
        <v>22417890</v>
      </c>
      <c r="Y915" s="30">
        <f t="shared" si="28"/>
        <v>22417890</v>
      </c>
      <c r="Z915" s="41">
        <f t="shared" si="29"/>
        <v>0</v>
      </c>
    </row>
    <row r="916" spans="1:27" ht="26.25">
      <c r="A916" s="2">
        <v>914</v>
      </c>
      <c r="B916" s="2">
        <v>1384807</v>
      </c>
      <c r="C916" s="2">
        <v>52009006240075</v>
      </c>
      <c r="D916" s="2" t="s">
        <v>45</v>
      </c>
      <c r="E916" s="2">
        <v>9367313</v>
      </c>
      <c r="F916" s="2" t="s">
        <v>2008</v>
      </c>
      <c r="G916" s="3">
        <v>36789</v>
      </c>
      <c r="H916" s="2" t="s">
        <v>751</v>
      </c>
      <c r="I916" s="2" t="s">
        <v>811</v>
      </c>
      <c r="J916" s="2" t="s">
        <v>2127</v>
      </c>
      <c r="K916" s="2" t="s">
        <v>39</v>
      </c>
      <c r="L916" s="2" t="s">
        <v>27</v>
      </c>
      <c r="M916" s="2">
        <v>5620701</v>
      </c>
      <c r="N916" s="2" t="s">
        <v>218</v>
      </c>
      <c r="O916" s="2" t="s">
        <v>87</v>
      </c>
      <c r="P916" s="2" t="s">
        <v>219</v>
      </c>
      <c r="Q916" s="2" t="s">
        <v>750</v>
      </c>
      <c r="R916" s="2" t="s">
        <v>62</v>
      </c>
      <c r="S916" s="2">
        <v>8</v>
      </c>
      <c r="T916" s="2" t="s">
        <v>33</v>
      </c>
      <c r="U916" s="2" t="s">
        <v>34</v>
      </c>
      <c r="V916" s="32">
        <v>59781040</v>
      </c>
      <c r="Y916" s="30">
        <f t="shared" si="28"/>
        <v>59781040</v>
      </c>
      <c r="Z916" s="41">
        <f t="shared" si="29"/>
        <v>0</v>
      </c>
    </row>
    <row r="917" spans="1:27">
      <c r="A917" s="2">
        <v>915</v>
      </c>
      <c r="B917" s="2">
        <v>3191988</v>
      </c>
      <c r="C917" s="2">
        <v>62802036500068</v>
      </c>
      <c r="D917" s="2" t="s">
        <v>22</v>
      </c>
      <c r="E917" s="2">
        <v>2644336</v>
      </c>
      <c r="F917" s="2" t="s">
        <v>2008</v>
      </c>
      <c r="G917" s="3">
        <v>37680</v>
      </c>
      <c r="H917" s="2" t="s">
        <v>2128</v>
      </c>
      <c r="I917" s="2" t="s">
        <v>2129</v>
      </c>
      <c r="J917" s="2" t="s">
        <v>2130</v>
      </c>
      <c r="K917" s="2" t="s">
        <v>39</v>
      </c>
      <c r="L917" s="2" t="s">
        <v>57</v>
      </c>
      <c r="M917" s="2">
        <v>5310400</v>
      </c>
      <c r="N917" s="2" t="s">
        <v>232</v>
      </c>
      <c r="O917" s="2" t="s">
        <v>104</v>
      </c>
      <c r="P917" s="2" t="s">
        <v>139</v>
      </c>
      <c r="Q917" s="4">
        <v>42064</v>
      </c>
      <c r="R917" s="2" t="s">
        <v>62</v>
      </c>
      <c r="S917" s="2">
        <v>8</v>
      </c>
      <c r="T917" s="2" t="s">
        <v>33</v>
      </c>
      <c r="U917" s="2" t="s">
        <v>34</v>
      </c>
      <c r="V917" s="32">
        <v>22417890</v>
      </c>
      <c r="W917" s="20">
        <f>11000000+200000</f>
        <v>11200000</v>
      </c>
      <c r="X917" t="s">
        <v>2771</v>
      </c>
      <c r="Y917" s="30">
        <f t="shared" si="28"/>
        <v>11217890</v>
      </c>
      <c r="Z917" s="41">
        <f t="shared" si="29"/>
        <v>0.49960098831781224</v>
      </c>
    </row>
    <row r="918" spans="1:27">
      <c r="A918" s="2">
        <v>916</v>
      </c>
      <c r="B918" s="2">
        <v>2620720</v>
      </c>
      <c r="C918" s="2">
        <v>62612026820063</v>
      </c>
      <c r="D918" s="2" t="s">
        <v>22</v>
      </c>
      <c r="E918" s="2">
        <v>1634078</v>
      </c>
      <c r="F918" s="2">
        <v>888778083</v>
      </c>
      <c r="G918" s="3">
        <v>37616</v>
      </c>
      <c r="H918" s="2" t="s">
        <v>1309</v>
      </c>
      <c r="I918" s="2" t="s">
        <v>2131</v>
      </c>
      <c r="J918" s="2" t="s">
        <v>2132</v>
      </c>
      <c r="K918" s="2" t="s">
        <v>26</v>
      </c>
      <c r="L918" s="2" t="s">
        <v>27</v>
      </c>
      <c r="M918" s="2">
        <v>5240109</v>
      </c>
      <c r="N918" s="2" t="s">
        <v>28</v>
      </c>
      <c r="O918" s="2" t="s">
        <v>2133</v>
      </c>
      <c r="P918" s="2" t="s">
        <v>30</v>
      </c>
      <c r="Q918" s="2" t="s">
        <v>420</v>
      </c>
      <c r="R918" s="2" t="s">
        <v>32</v>
      </c>
      <c r="S918" s="2">
        <v>25</v>
      </c>
      <c r="T918" s="2" t="s">
        <v>33</v>
      </c>
      <c r="U918" s="2" t="s">
        <v>34</v>
      </c>
      <c r="V918" s="32">
        <v>245231500</v>
      </c>
      <c r="Y918" s="30">
        <f t="shared" si="28"/>
        <v>245231500</v>
      </c>
      <c r="Z918" s="41">
        <f t="shared" si="29"/>
        <v>0</v>
      </c>
    </row>
    <row r="919" spans="1:27" ht="15.75">
      <c r="A919" s="2">
        <v>917</v>
      </c>
      <c r="B919" s="2">
        <v>2157495</v>
      </c>
      <c r="C919" s="2">
        <v>52103025440040</v>
      </c>
      <c r="D919" s="2" t="s">
        <v>45</v>
      </c>
      <c r="E919" s="2">
        <v>9426573</v>
      </c>
      <c r="F919" s="2">
        <v>991182103</v>
      </c>
      <c r="G919" s="3">
        <v>37336</v>
      </c>
      <c r="H919" s="2" t="s">
        <v>590</v>
      </c>
      <c r="I919" s="2" t="s">
        <v>1082</v>
      </c>
      <c r="J919" s="2" t="s">
        <v>571</v>
      </c>
      <c r="K919" s="2" t="s">
        <v>39</v>
      </c>
      <c r="L919" s="2" t="s">
        <v>27</v>
      </c>
      <c r="M919" s="2">
        <v>5310606</v>
      </c>
      <c r="N919" s="2" t="s">
        <v>72</v>
      </c>
      <c r="O919" s="2" t="s">
        <v>42</v>
      </c>
      <c r="P919" s="2" t="s">
        <v>73</v>
      </c>
      <c r="Q919" s="5">
        <v>44317</v>
      </c>
      <c r="R919" s="2" t="s">
        <v>62</v>
      </c>
      <c r="S919" s="2">
        <v>8</v>
      </c>
      <c r="T919" s="2" t="s">
        <v>33</v>
      </c>
      <c r="U919" s="2" t="s">
        <v>34</v>
      </c>
      <c r="V919" s="29" t="s">
        <v>2813</v>
      </c>
      <c r="W919" s="21">
        <v>5605000</v>
      </c>
      <c r="X919" s="10" t="s">
        <v>2627</v>
      </c>
      <c r="Y919" s="30">
        <f t="shared" si="28"/>
        <v>4483050.5</v>
      </c>
      <c r="Z919" s="41">
        <f t="shared" si="29"/>
        <v>0.55560784514312256</v>
      </c>
      <c r="AA919" s="42" t="s">
        <v>2798</v>
      </c>
    </row>
    <row r="920" spans="1:27" ht="26.25">
      <c r="A920" s="2">
        <v>918</v>
      </c>
      <c r="B920" s="2">
        <v>3299921</v>
      </c>
      <c r="C920" s="2">
        <v>52111026570022</v>
      </c>
      <c r="D920" s="2" t="s">
        <v>22</v>
      </c>
      <c r="E920" s="2">
        <v>1673814</v>
      </c>
      <c r="F920" s="2" t="s">
        <v>2008</v>
      </c>
      <c r="G920" s="3">
        <v>37581</v>
      </c>
      <c r="H920" s="2" t="s">
        <v>2134</v>
      </c>
      <c r="I920" s="2" t="s">
        <v>2135</v>
      </c>
      <c r="J920" s="2" t="s">
        <v>849</v>
      </c>
      <c r="K920" s="2" t="s">
        <v>39</v>
      </c>
      <c r="L920" s="2" t="s">
        <v>57</v>
      </c>
      <c r="M920" s="2">
        <v>5620701</v>
      </c>
      <c r="N920" s="2" t="s">
        <v>218</v>
      </c>
      <c r="O920" s="2" t="s">
        <v>87</v>
      </c>
      <c r="P920" s="2" t="s">
        <v>194</v>
      </c>
      <c r="Q920" s="4">
        <v>22251</v>
      </c>
      <c r="R920" s="2" t="s">
        <v>62</v>
      </c>
      <c r="S920" s="2">
        <v>8</v>
      </c>
      <c r="T920" s="2" t="s">
        <v>33</v>
      </c>
      <c r="U920" s="2" t="s">
        <v>34</v>
      </c>
      <c r="V920" s="32">
        <v>59781040</v>
      </c>
      <c r="Y920" s="30">
        <f t="shared" si="28"/>
        <v>59781040</v>
      </c>
      <c r="Z920" s="41">
        <f t="shared" si="29"/>
        <v>0</v>
      </c>
    </row>
    <row r="921" spans="1:27" ht="26.25">
      <c r="A921" s="2">
        <v>919</v>
      </c>
      <c r="B921" s="2">
        <v>3391941</v>
      </c>
      <c r="C921" s="2">
        <v>52308047310021</v>
      </c>
      <c r="D921" s="2" t="s">
        <v>74</v>
      </c>
      <c r="E921" s="2">
        <v>151660</v>
      </c>
      <c r="F921" s="2" t="s">
        <v>2008</v>
      </c>
      <c r="G921" s="3">
        <v>38222</v>
      </c>
      <c r="H921" s="2" t="s">
        <v>315</v>
      </c>
      <c r="I921" s="2" t="s">
        <v>2136</v>
      </c>
      <c r="J921" s="2" t="s">
        <v>656</v>
      </c>
      <c r="K921" s="2" t="s">
        <v>39</v>
      </c>
      <c r="L921" s="2" t="s">
        <v>27</v>
      </c>
      <c r="M921" s="2">
        <v>5310701</v>
      </c>
      <c r="N921" s="2" t="s">
        <v>118</v>
      </c>
      <c r="O921" s="2" t="s">
        <v>211</v>
      </c>
      <c r="P921" s="2" t="s">
        <v>123</v>
      </c>
      <c r="Q921" s="2" t="s">
        <v>750</v>
      </c>
      <c r="R921" s="2" t="s">
        <v>62</v>
      </c>
      <c r="S921" s="2">
        <v>8</v>
      </c>
      <c r="T921" s="2" t="s">
        <v>33</v>
      </c>
      <c r="U921" s="2" t="s">
        <v>34</v>
      </c>
      <c r="V921" s="32">
        <v>119562080</v>
      </c>
      <c r="Y921" s="30">
        <f t="shared" si="28"/>
        <v>119562080</v>
      </c>
      <c r="Z921" s="41">
        <f t="shared" si="29"/>
        <v>0</v>
      </c>
    </row>
    <row r="922" spans="1:27" ht="26.25">
      <c r="A922" s="2">
        <v>920</v>
      </c>
      <c r="B922" s="2">
        <v>3425942</v>
      </c>
      <c r="C922" s="2">
        <v>51707036840018</v>
      </c>
      <c r="D922" s="2" t="s">
        <v>22</v>
      </c>
      <c r="E922" s="2">
        <v>2072213</v>
      </c>
      <c r="F922" s="2" t="s">
        <v>2008</v>
      </c>
      <c r="G922" s="3">
        <v>37819</v>
      </c>
      <c r="H922" s="2" t="s">
        <v>2137</v>
      </c>
      <c r="I922" s="2" t="s">
        <v>535</v>
      </c>
      <c r="J922" s="2" t="s">
        <v>2138</v>
      </c>
      <c r="K922" s="2" t="s">
        <v>26</v>
      </c>
      <c r="L922" s="2" t="s">
        <v>27</v>
      </c>
      <c r="M922" s="2">
        <v>5320102</v>
      </c>
      <c r="N922" s="2" t="s">
        <v>138</v>
      </c>
      <c r="O922" s="2" t="s">
        <v>104</v>
      </c>
      <c r="P922" s="2" t="s">
        <v>154</v>
      </c>
      <c r="Q922" s="5">
        <v>44317</v>
      </c>
      <c r="R922" s="2" t="s">
        <v>53</v>
      </c>
      <c r="S922" s="2">
        <v>8</v>
      </c>
      <c r="T922" s="2" t="s">
        <v>33</v>
      </c>
      <c r="U922" s="2" t="s">
        <v>34</v>
      </c>
      <c r="V922" s="32">
        <v>9618915</v>
      </c>
      <c r="W922" s="21">
        <v>6500000</v>
      </c>
      <c r="X922" s="12" t="s">
        <v>2665</v>
      </c>
      <c r="Y922" s="30">
        <f t="shared" si="28"/>
        <v>3118915</v>
      </c>
      <c r="Z922" s="41">
        <f t="shared" si="29"/>
        <v>0.67575189093572408</v>
      </c>
    </row>
    <row r="923" spans="1:27" ht="26.25">
      <c r="A923" s="2">
        <v>921</v>
      </c>
      <c r="B923" s="2">
        <v>1077263</v>
      </c>
      <c r="C923" s="2">
        <v>52306007230020</v>
      </c>
      <c r="D923" s="2" t="s">
        <v>35</v>
      </c>
      <c r="E923" s="2">
        <v>1151364</v>
      </c>
      <c r="F923" s="2" t="s">
        <v>2008</v>
      </c>
      <c r="G923" s="3">
        <v>36700</v>
      </c>
      <c r="H923" s="2" t="s">
        <v>2139</v>
      </c>
      <c r="I923" s="2" t="s">
        <v>1037</v>
      </c>
      <c r="J923" s="2" t="s">
        <v>2140</v>
      </c>
      <c r="K923" s="2" t="s">
        <v>39</v>
      </c>
      <c r="L923" s="2" t="s">
        <v>57</v>
      </c>
      <c r="M923" s="2">
        <v>5310701</v>
      </c>
      <c r="N923" s="2" t="s">
        <v>118</v>
      </c>
      <c r="O923" s="2" t="s">
        <v>50</v>
      </c>
      <c r="P923" s="2" t="s">
        <v>207</v>
      </c>
      <c r="Q923" s="2" t="s">
        <v>170</v>
      </c>
      <c r="R923" s="2" t="s">
        <v>62</v>
      </c>
      <c r="S923" s="2">
        <v>8</v>
      </c>
      <c r="T923" s="2" t="s">
        <v>33</v>
      </c>
      <c r="U923" s="2" t="s">
        <v>34</v>
      </c>
      <c r="V923" s="32">
        <v>119562080</v>
      </c>
      <c r="Y923" s="30">
        <f t="shared" si="28"/>
        <v>119562080</v>
      </c>
      <c r="Z923" s="41">
        <f t="shared" si="29"/>
        <v>0</v>
      </c>
    </row>
    <row r="924" spans="1:27">
      <c r="A924" s="2">
        <v>922</v>
      </c>
      <c r="B924" s="2">
        <v>3585175</v>
      </c>
      <c r="C924" s="2">
        <v>52211037020016</v>
      </c>
      <c r="D924" s="2" t="s">
        <v>22</v>
      </c>
      <c r="E924" s="2">
        <v>2905932</v>
      </c>
      <c r="F924" s="2" t="s">
        <v>2008</v>
      </c>
      <c r="G924" s="3">
        <v>37947</v>
      </c>
      <c r="H924" s="2" t="s">
        <v>430</v>
      </c>
      <c r="I924" s="2" t="s">
        <v>2141</v>
      </c>
      <c r="J924" s="2" t="s">
        <v>727</v>
      </c>
      <c r="K924" s="2" t="s">
        <v>26</v>
      </c>
      <c r="L924" s="2" t="s">
        <v>27</v>
      </c>
      <c r="M924" s="2">
        <v>5240109</v>
      </c>
      <c r="N924" s="2" t="s">
        <v>28</v>
      </c>
      <c r="O924" s="2" t="s">
        <v>2142</v>
      </c>
      <c r="P924" s="2" t="s">
        <v>30</v>
      </c>
      <c r="Q924" s="4">
        <v>12966</v>
      </c>
      <c r="R924" s="2" t="s">
        <v>32</v>
      </c>
      <c r="S924" s="2">
        <v>25</v>
      </c>
      <c r="T924" s="2" t="s">
        <v>33</v>
      </c>
      <c r="U924" s="2" t="s">
        <v>34</v>
      </c>
      <c r="V924" s="32">
        <v>245231500</v>
      </c>
      <c r="Y924" s="30">
        <f t="shared" si="28"/>
        <v>245231500</v>
      </c>
      <c r="Z924" s="41">
        <f t="shared" si="29"/>
        <v>0</v>
      </c>
    </row>
    <row r="925" spans="1:27">
      <c r="A925" s="2">
        <v>923</v>
      </c>
      <c r="B925" s="2">
        <v>2338521</v>
      </c>
      <c r="C925" s="2">
        <v>52205025260018</v>
      </c>
      <c r="D925" s="2" t="s">
        <v>22</v>
      </c>
      <c r="E925" s="2">
        <v>70280</v>
      </c>
      <c r="F925" s="2" t="s">
        <v>2008</v>
      </c>
      <c r="G925" s="3">
        <v>37398</v>
      </c>
      <c r="H925" s="2" t="s">
        <v>381</v>
      </c>
      <c r="I925" s="2" t="s">
        <v>318</v>
      </c>
      <c r="J925" s="2" t="s">
        <v>2143</v>
      </c>
      <c r="K925" s="2" t="s">
        <v>39</v>
      </c>
      <c r="L925" s="2" t="s">
        <v>27</v>
      </c>
      <c r="M925" s="2">
        <v>5310606</v>
      </c>
      <c r="N925" s="2" t="s">
        <v>72</v>
      </c>
      <c r="O925" s="2" t="s">
        <v>225</v>
      </c>
      <c r="P925" s="2" t="s">
        <v>73</v>
      </c>
      <c r="Q925" s="2" t="s">
        <v>43</v>
      </c>
      <c r="R925" s="2" t="s">
        <v>62</v>
      </c>
      <c r="S925" s="2">
        <v>8</v>
      </c>
      <c r="T925" s="2" t="s">
        <v>33</v>
      </c>
      <c r="U925" s="2" t="s">
        <v>34</v>
      </c>
      <c r="V925" s="32">
        <v>59781040</v>
      </c>
      <c r="Y925" s="30">
        <f t="shared" si="28"/>
        <v>59781040</v>
      </c>
      <c r="Z925" s="41">
        <f t="shared" si="29"/>
        <v>0</v>
      </c>
    </row>
    <row r="926" spans="1:27" ht="26.25">
      <c r="A926" s="2">
        <v>924</v>
      </c>
      <c r="B926" s="2">
        <v>3425377</v>
      </c>
      <c r="C926" s="2">
        <v>50312036540010</v>
      </c>
      <c r="D926" s="2" t="s">
        <v>22</v>
      </c>
      <c r="E926" s="2">
        <v>2568196</v>
      </c>
      <c r="F926" s="2" t="s">
        <v>2008</v>
      </c>
      <c r="G926" s="3">
        <v>37958</v>
      </c>
      <c r="H926" s="2" t="s">
        <v>2144</v>
      </c>
      <c r="I926" s="2" t="s">
        <v>2145</v>
      </c>
      <c r="J926" s="2" t="s">
        <v>2146</v>
      </c>
      <c r="K926" s="2" t="s">
        <v>26</v>
      </c>
      <c r="L926" s="2" t="s">
        <v>57</v>
      </c>
      <c r="M926" s="2">
        <v>5340202</v>
      </c>
      <c r="N926" s="2" t="s">
        <v>499</v>
      </c>
      <c r="O926" s="2" t="s">
        <v>41</v>
      </c>
      <c r="P926" s="2" t="s">
        <v>224</v>
      </c>
      <c r="Q926" s="2" t="s">
        <v>31</v>
      </c>
      <c r="R926" s="2" t="s">
        <v>93</v>
      </c>
      <c r="S926" s="2">
        <v>8</v>
      </c>
      <c r="T926" s="2" t="s">
        <v>33</v>
      </c>
      <c r="U926" s="2" t="s">
        <v>34</v>
      </c>
      <c r="V926" s="32">
        <v>56735520</v>
      </c>
      <c r="Y926" s="30">
        <f t="shared" si="28"/>
        <v>56735520</v>
      </c>
      <c r="Z926" s="41">
        <f t="shared" si="29"/>
        <v>0</v>
      </c>
    </row>
    <row r="927" spans="1:27" ht="26.25">
      <c r="A927" s="2">
        <v>925</v>
      </c>
      <c r="B927" s="2">
        <v>3702822</v>
      </c>
      <c r="C927" s="2">
        <v>52307047890036</v>
      </c>
      <c r="D927" s="2" t="s">
        <v>74</v>
      </c>
      <c r="E927" s="2">
        <v>192014</v>
      </c>
      <c r="F927" s="2" t="s">
        <v>2008</v>
      </c>
      <c r="G927" s="3">
        <v>38191</v>
      </c>
      <c r="H927" s="2" t="s">
        <v>2147</v>
      </c>
      <c r="I927" s="2" t="s">
        <v>2148</v>
      </c>
      <c r="J927" s="2" t="s">
        <v>337</v>
      </c>
      <c r="K927" s="2" t="s">
        <v>26</v>
      </c>
      <c r="L927" s="2" t="s">
        <v>27</v>
      </c>
      <c r="M927" s="2">
        <v>5310602</v>
      </c>
      <c r="N927" s="2" t="s">
        <v>518</v>
      </c>
      <c r="O927" s="2">
        <v>63</v>
      </c>
      <c r="P927" s="2" t="s">
        <v>88</v>
      </c>
      <c r="Q927" s="5">
        <v>44317</v>
      </c>
      <c r="R927" s="2" t="s">
        <v>53</v>
      </c>
      <c r="S927" s="2">
        <v>8</v>
      </c>
      <c r="T927" s="2" t="s">
        <v>33</v>
      </c>
      <c r="U927" s="2" t="s">
        <v>34</v>
      </c>
      <c r="V927" s="32">
        <v>9618915</v>
      </c>
      <c r="W927" s="21">
        <v>12825220</v>
      </c>
      <c r="X927" s="10" t="s">
        <v>2657</v>
      </c>
      <c r="Y927" s="30">
        <f t="shared" si="28"/>
        <v>-3206305</v>
      </c>
      <c r="Z927" s="41">
        <f t="shared" si="29"/>
        <v>1.3333333333333333</v>
      </c>
    </row>
    <row r="928" spans="1:27" ht="26.25">
      <c r="A928" s="2">
        <v>926</v>
      </c>
      <c r="B928" s="2">
        <v>3237979</v>
      </c>
      <c r="C928" s="2">
        <v>51003036530026</v>
      </c>
      <c r="D928" s="2" t="s">
        <v>22</v>
      </c>
      <c r="E928" s="2">
        <v>1750524</v>
      </c>
      <c r="F928" s="2">
        <v>935946455</v>
      </c>
      <c r="G928" s="3">
        <v>37690</v>
      </c>
      <c r="H928" s="2" t="s">
        <v>2149</v>
      </c>
      <c r="I928" s="2" t="s">
        <v>2150</v>
      </c>
      <c r="J928" s="2" t="s">
        <v>2151</v>
      </c>
      <c r="K928" s="2" t="s">
        <v>26</v>
      </c>
      <c r="L928" s="2" t="s">
        <v>27</v>
      </c>
      <c r="M928" s="2">
        <v>5230903</v>
      </c>
      <c r="N928" s="2" t="s">
        <v>314</v>
      </c>
      <c r="O928" s="2" t="s">
        <v>187</v>
      </c>
      <c r="P928" s="2" t="s">
        <v>264</v>
      </c>
      <c r="Q928" s="5">
        <v>44338</v>
      </c>
      <c r="R928" s="2" t="s">
        <v>134</v>
      </c>
      <c r="S928" s="2">
        <v>10</v>
      </c>
      <c r="T928" s="2" t="s">
        <v>33</v>
      </c>
      <c r="U928" s="2" t="s">
        <v>34</v>
      </c>
      <c r="V928" s="32">
        <v>91299300</v>
      </c>
      <c r="Y928" s="30">
        <f t="shared" si="28"/>
        <v>91299300</v>
      </c>
      <c r="Z928" s="41">
        <f t="shared" si="29"/>
        <v>0</v>
      </c>
    </row>
    <row r="929" spans="1:27" ht="26.25">
      <c r="A929" s="2">
        <v>927</v>
      </c>
      <c r="B929" s="2">
        <v>2087139</v>
      </c>
      <c r="C929" s="2">
        <v>52103006530043</v>
      </c>
      <c r="D929" s="2" t="s">
        <v>45</v>
      </c>
      <c r="E929" s="2">
        <v>3812029</v>
      </c>
      <c r="F929" s="2" t="s">
        <v>2008</v>
      </c>
      <c r="G929" s="3">
        <v>36606</v>
      </c>
      <c r="H929" s="2" t="s">
        <v>466</v>
      </c>
      <c r="I929" s="2" t="s">
        <v>2152</v>
      </c>
      <c r="J929" s="2" t="s">
        <v>1165</v>
      </c>
      <c r="K929" s="2" t="s">
        <v>26</v>
      </c>
      <c r="L929" s="2" t="s">
        <v>27</v>
      </c>
      <c r="M929" s="2">
        <v>5620701</v>
      </c>
      <c r="N929" s="2" t="s">
        <v>218</v>
      </c>
      <c r="O929" s="2" t="s">
        <v>439</v>
      </c>
      <c r="P929" s="2" t="s">
        <v>224</v>
      </c>
      <c r="Q929" s="2" t="s">
        <v>88</v>
      </c>
      <c r="R929" s="2" t="s">
        <v>53</v>
      </c>
      <c r="S929" s="2">
        <v>8</v>
      </c>
      <c r="T929" s="2" t="s">
        <v>33</v>
      </c>
      <c r="U929" s="2" t="s">
        <v>34</v>
      </c>
      <c r="V929" s="32">
        <v>102601760</v>
      </c>
      <c r="Y929" s="30">
        <f t="shared" si="28"/>
        <v>102601760</v>
      </c>
      <c r="Z929" s="41">
        <f t="shared" si="29"/>
        <v>0</v>
      </c>
    </row>
    <row r="930" spans="1:27">
      <c r="A930" s="2">
        <v>928</v>
      </c>
      <c r="B930" s="2">
        <v>3263778</v>
      </c>
      <c r="C930" s="2">
        <v>52101046760017</v>
      </c>
      <c r="D930" s="2" t="s">
        <v>22</v>
      </c>
      <c r="E930" s="2">
        <v>2986601</v>
      </c>
      <c r="F930" s="2" t="s">
        <v>2008</v>
      </c>
      <c r="G930" s="3">
        <v>38007</v>
      </c>
      <c r="H930" s="2" t="s">
        <v>2153</v>
      </c>
      <c r="I930" s="2" t="s">
        <v>2154</v>
      </c>
      <c r="J930" s="2" t="s">
        <v>2053</v>
      </c>
      <c r="K930" s="2" t="s">
        <v>26</v>
      </c>
      <c r="L930" s="2" t="s">
        <v>27</v>
      </c>
      <c r="M930" s="2">
        <v>5230406</v>
      </c>
      <c r="N930" s="2" t="s">
        <v>635</v>
      </c>
      <c r="O930" s="2">
        <v>84</v>
      </c>
      <c r="P930" s="2" t="s">
        <v>68</v>
      </c>
      <c r="Q930" s="5">
        <v>44317</v>
      </c>
      <c r="R930" s="2" t="s">
        <v>134</v>
      </c>
      <c r="S930" s="2">
        <v>10</v>
      </c>
      <c r="T930" s="2" t="s">
        <v>33</v>
      </c>
      <c r="U930" s="2" t="s">
        <v>34</v>
      </c>
      <c r="V930" s="32">
        <v>13694895</v>
      </c>
      <c r="Y930" s="30">
        <f t="shared" si="28"/>
        <v>13694895</v>
      </c>
      <c r="Z930" s="41">
        <f t="shared" si="29"/>
        <v>0</v>
      </c>
    </row>
    <row r="931" spans="1:27">
      <c r="A931" s="2">
        <v>929</v>
      </c>
      <c r="B931" s="2">
        <v>1990624</v>
      </c>
      <c r="C931" s="2">
        <v>51109006600055</v>
      </c>
      <c r="D931" s="2" t="s">
        <v>45</v>
      </c>
      <c r="E931" s="2">
        <v>5225341</v>
      </c>
      <c r="F931" s="2" t="s">
        <v>2008</v>
      </c>
      <c r="G931" s="3">
        <v>36780</v>
      </c>
      <c r="H931" s="2" t="s">
        <v>2155</v>
      </c>
      <c r="I931" s="2" t="s">
        <v>2156</v>
      </c>
      <c r="J931" s="2" t="s">
        <v>2157</v>
      </c>
      <c r="K931" s="2" t="s">
        <v>26</v>
      </c>
      <c r="L931" s="2" t="s">
        <v>57</v>
      </c>
      <c r="M931" s="2">
        <v>5340603</v>
      </c>
      <c r="N931" s="2" t="s">
        <v>174</v>
      </c>
      <c r="O931" s="2" t="s">
        <v>281</v>
      </c>
      <c r="P931" s="2" t="s">
        <v>60</v>
      </c>
      <c r="Q931" s="5">
        <v>44317</v>
      </c>
      <c r="R931" s="2" t="s">
        <v>93</v>
      </c>
      <c r="S931" s="2">
        <v>8</v>
      </c>
      <c r="T931" s="2" t="s">
        <v>33</v>
      </c>
      <c r="U931" s="2" t="s">
        <v>34</v>
      </c>
      <c r="V931" s="32">
        <v>113471040</v>
      </c>
      <c r="Y931" s="30">
        <f t="shared" si="28"/>
        <v>113471040</v>
      </c>
      <c r="Z931" s="41">
        <f t="shared" si="29"/>
        <v>0</v>
      </c>
    </row>
    <row r="932" spans="1:27" ht="15.75">
      <c r="A932" s="2">
        <v>930</v>
      </c>
      <c r="B932" s="2">
        <v>1719439</v>
      </c>
      <c r="C932" s="2">
        <v>52409016030039</v>
      </c>
      <c r="D932" s="2" t="s">
        <v>45</v>
      </c>
      <c r="E932" s="2">
        <v>7849207</v>
      </c>
      <c r="F932" s="2">
        <v>946842022</v>
      </c>
      <c r="G932" s="3">
        <v>37158</v>
      </c>
      <c r="H932" s="2" t="s">
        <v>2158</v>
      </c>
      <c r="I932" s="2" t="s">
        <v>2083</v>
      </c>
      <c r="J932" s="2" t="s">
        <v>1064</v>
      </c>
      <c r="K932" s="2" t="s">
        <v>39</v>
      </c>
      <c r="L932" s="2" t="s">
        <v>27</v>
      </c>
      <c r="M932" s="2">
        <v>5314000</v>
      </c>
      <c r="N932" s="2" t="s">
        <v>522</v>
      </c>
      <c r="O932" s="2" t="s">
        <v>88</v>
      </c>
      <c r="P932" s="2" t="s">
        <v>523</v>
      </c>
      <c r="Q932" s="2" t="s">
        <v>2159</v>
      </c>
      <c r="R932" s="2" t="s">
        <v>62</v>
      </c>
      <c r="S932" s="2">
        <v>8</v>
      </c>
      <c r="T932" s="2" t="s">
        <v>33</v>
      </c>
      <c r="U932" s="2" t="s">
        <v>34</v>
      </c>
      <c r="V932" s="29" t="s">
        <v>2748</v>
      </c>
      <c r="W932" s="21">
        <f>30000000+12000000</f>
        <v>42000000</v>
      </c>
      <c r="X932" s="10" t="s">
        <v>2912</v>
      </c>
      <c r="Y932" s="30">
        <f t="shared" si="28"/>
        <v>11802936</v>
      </c>
      <c r="Z932" s="41">
        <f t="shared" si="29"/>
        <v>0.78062654424658162</v>
      </c>
      <c r="AA932" s="42" t="s">
        <v>2798</v>
      </c>
    </row>
    <row r="933" spans="1:27">
      <c r="A933" s="2">
        <v>931</v>
      </c>
      <c r="B933" s="2">
        <v>1311270</v>
      </c>
      <c r="C933" s="2">
        <v>51401026530027</v>
      </c>
      <c r="D933" s="2" t="s">
        <v>45</v>
      </c>
      <c r="E933" s="2">
        <v>8640530</v>
      </c>
      <c r="F933" s="2">
        <v>946536466</v>
      </c>
      <c r="G933" s="3">
        <v>37270</v>
      </c>
      <c r="H933" s="2" t="s">
        <v>2160</v>
      </c>
      <c r="I933" s="2" t="s">
        <v>746</v>
      </c>
      <c r="J933" s="2" t="s">
        <v>1333</v>
      </c>
      <c r="K933" s="2" t="s">
        <v>39</v>
      </c>
      <c r="L933" s="2" t="s">
        <v>27</v>
      </c>
      <c r="M933" s="2">
        <v>5314000</v>
      </c>
      <c r="N933" s="2" t="s">
        <v>522</v>
      </c>
      <c r="O933" s="2" t="s">
        <v>207</v>
      </c>
      <c r="P933" s="2" t="s">
        <v>523</v>
      </c>
      <c r="Q933" s="2" t="s">
        <v>2161</v>
      </c>
      <c r="R933" s="2" t="s">
        <v>62</v>
      </c>
      <c r="S933" s="2">
        <v>8</v>
      </c>
      <c r="T933" s="2" t="s">
        <v>33</v>
      </c>
      <c r="U933" s="2" t="s">
        <v>34</v>
      </c>
      <c r="V933" s="32">
        <v>53802936</v>
      </c>
      <c r="W933" s="20">
        <f>3401500+23500000</f>
        <v>26901500</v>
      </c>
      <c r="X933" s="2" t="s">
        <v>2674</v>
      </c>
      <c r="Y933" s="30">
        <f t="shared" si="28"/>
        <v>26901436</v>
      </c>
      <c r="Z933" s="41">
        <f t="shared" si="29"/>
        <v>0.50000059476308134</v>
      </c>
    </row>
    <row r="934" spans="1:27" ht="26.25">
      <c r="A934" s="2">
        <v>932</v>
      </c>
      <c r="B934" s="2">
        <v>1251915</v>
      </c>
      <c r="C934" s="2">
        <v>51210006750021</v>
      </c>
      <c r="D934" s="2" t="s">
        <v>45</v>
      </c>
      <c r="E934" s="2">
        <v>5219462</v>
      </c>
      <c r="F934" s="2">
        <v>998677252</v>
      </c>
      <c r="G934" s="3">
        <v>36811</v>
      </c>
      <c r="H934" s="2" t="s">
        <v>2162</v>
      </c>
      <c r="I934" s="2" t="s">
        <v>2163</v>
      </c>
      <c r="J934" s="2" t="s">
        <v>2164</v>
      </c>
      <c r="K934" s="2" t="s">
        <v>39</v>
      </c>
      <c r="L934" s="2" t="s">
        <v>27</v>
      </c>
      <c r="M934" s="2">
        <v>5320102</v>
      </c>
      <c r="N934" s="2" t="s">
        <v>138</v>
      </c>
      <c r="O934" s="2" t="s">
        <v>175</v>
      </c>
      <c r="P934" s="2" t="s">
        <v>140</v>
      </c>
      <c r="Q934" s="5">
        <v>44317</v>
      </c>
      <c r="R934" s="2" t="s">
        <v>62</v>
      </c>
      <c r="S934" s="2">
        <v>8</v>
      </c>
      <c r="T934" s="2" t="s">
        <v>33</v>
      </c>
      <c r="U934" s="2" t="s">
        <v>34</v>
      </c>
      <c r="V934" s="32">
        <v>11208945</v>
      </c>
      <c r="W934" s="21">
        <v>7500000</v>
      </c>
      <c r="X934" s="11" t="s">
        <v>2659</v>
      </c>
      <c r="Y934" s="30">
        <f t="shared" si="28"/>
        <v>3708945</v>
      </c>
      <c r="Z934" s="41">
        <f t="shared" si="29"/>
        <v>0.66910846649707001</v>
      </c>
    </row>
    <row r="935" spans="1:27" ht="26.25">
      <c r="A935" s="2">
        <v>933</v>
      </c>
      <c r="B935" s="2">
        <v>2338358</v>
      </c>
      <c r="C935" s="2">
        <v>52407016790032</v>
      </c>
      <c r="D935" s="2" t="s">
        <v>45</v>
      </c>
      <c r="E935" s="2">
        <v>7330615</v>
      </c>
      <c r="F935" s="2">
        <v>885485888</v>
      </c>
      <c r="G935" s="3">
        <v>37096</v>
      </c>
      <c r="H935" s="2" t="s">
        <v>115</v>
      </c>
      <c r="I935" s="2" t="s">
        <v>1213</v>
      </c>
      <c r="J935" s="2" t="s">
        <v>2165</v>
      </c>
      <c r="K935" s="2" t="s">
        <v>26</v>
      </c>
      <c r="L935" s="2" t="s">
        <v>27</v>
      </c>
      <c r="M935" s="2">
        <v>5340607</v>
      </c>
      <c r="N935" s="2" t="s">
        <v>928</v>
      </c>
      <c r="O935" s="2" t="s">
        <v>88</v>
      </c>
      <c r="P935" s="2" t="s">
        <v>154</v>
      </c>
      <c r="Q935" s="4">
        <v>43922</v>
      </c>
      <c r="R935" s="2" t="s">
        <v>93</v>
      </c>
      <c r="S935" s="2">
        <v>8</v>
      </c>
      <c r="T935" s="2" t="s">
        <v>33</v>
      </c>
      <c r="U935" s="2" t="s">
        <v>34</v>
      </c>
      <c r="V935" s="32">
        <v>56735520</v>
      </c>
      <c r="Y935" s="30">
        <f t="shared" si="28"/>
        <v>56735520</v>
      </c>
      <c r="Z935" s="41">
        <f t="shared" si="29"/>
        <v>0</v>
      </c>
    </row>
    <row r="936" spans="1:27" ht="15.75">
      <c r="A936" s="2">
        <v>934</v>
      </c>
      <c r="B936" s="2">
        <v>2555216</v>
      </c>
      <c r="C936" s="2">
        <v>52411016590015</v>
      </c>
      <c r="D936" s="2" t="s">
        <v>45</v>
      </c>
      <c r="E936" s="2">
        <v>8325929</v>
      </c>
      <c r="F936" s="2" t="s">
        <v>2008</v>
      </c>
      <c r="G936" s="3">
        <v>37219</v>
      </c>
      <c r="H936" s="2" t="s">
        <v>1523</v>
      </c>
      <c r="I936" s="2" t="s">
        <v>2166</v>
      </c>
      <c r="J936" s="2" t="s">
        <v>2167</v>
      </c>
      <c r="K936" s="2" t="s">
        <v>39</v>
      </c>
      <c r="L936" s="2" t="s">
        <v>57</v>
      </c>
      <c r="M936" s="2">
        <v>5620101</v>
      </c>
      <c r="N936" s="2" t="s">
        <v>49</v>
      </c>
      <c r="O936" s="2" t="s">
        <v>155</v>
      </c>
      <c r="P936" s="2" t="s">
        <v>194</v>
      </c>
      <c r="Q936" s="5">
        <v>44471</v>
      </c>
      <c r="R936" s="2" t="s">
        <v>62</v>
      </c>
      <c r="S936" s="2">
        <v>8</v>
      </c>
      <c r="T936" s="2" t="s">
        <v>33</v>
      </c>
      <c r="U936" s="2" t="s">
        <v>34</v>
      </c>
      <c r="V936" s="32">
        <v>18681575</v>
      </c>
      <c r="W936" s="21">
        <f>9341000+4670500</f>
        <v>14011500</v>
      </c>
      <c r="X936" s="11" t="s">
        <v>2878</v>
      </c>
      <c r="Y936" s="30">
        <f t="shared" si="28"/>
        <v>4670075</v>
      </c>
      <c r="Z936" s="41">
        <f t="shared" si="29"/>
        <v>0.75001706226589571</v>
      </c>
    </row>
    <row r="937" spans="1:27" ht="26.25">
      <c r="A937" s="2">
        <v>935</v>
      </c>
      <c r="B937" s="2">
        <v>3311873</v>
      </c>
      <c r="C937" s="2">
        <v>51203036820024</v>
      </c>
      <c r="D937" s="2" t="s">
        <v>22</v>
      </c>
      <c r="E937" s="2">
        <v>1761125</v>
      </c>
      <c r="F937" s="2" t="s">
        <v>2008</v>
      </c>
      <c r="G937" s="3">
        <v>37692</v>
      </c>
      <c r="H937" s="2" t="s">
        <v>399</v>
      </c>
      <c r="I937" s="2" t="s">
        <v>352</v>
      </c>
      <c r="J937" s="2" t="s">
        <v>2168</v>
      </c>
      <c r="K937" s="2" t="s">
        <v>26</v>
      </c>
      <c r="L937" s="2" t="s">
        <v>27</v>
      </c>
      <c r="M937" s="2">
        <v>5620701</v>
      </c>
      <c r="N937" s="2" t="s">
        <v>218</v>
      </c>
      <c r="O937" s="2" t="s">
        <v>149</v>
      </c>
      <c r="P937" s="2" t="s">
        <v>224</v>
      </c>
      <c r="Q937" s="2" t="s">
        <v>469</v>
      </c>
      <c r="R937" s="2" t="s">
        <v>53</v>
      </c>
      <c r="S937" s="2">
        <v>8</v>
      </c>
      <c r="T937" s="2" t="s">
        <v>508</v>
      </c>
      <c r="U937" s="2" t="s">
        <v>34</v>
      </c>
      <c r="V937" s="32">
        <v>51300880</v>
      </c>
      <c r="Y937" s="30">
        <f t="shared" si="28"/>
        <v>51300880</v>
      </c>
      <c r="Z937" s="41">
        <f t="shared" si="29"/>
        <v>0</v>
      </c>
    </row>
    <row r="938" spans="1:27" ht="26.25">
      <c r="A938" s="2">
        <v>936</v>
      </c>
      <c r="B938" s="2">
        <v>2469434</v>
      </c>
      <c r="C938" s="2">
        <v>51403036770020</v>
      </c>
      <c r="D938" s="2" t="s">
        <v>22</v>
      </c>
      <c r="E938" s="2">
        <v>1835910</v>
      </c>
      <c r="F938" s="2" t="s">
        <v>2008</v>
      </c>
      <c r="G938" s="3">
        <v>37694</v>
      </c>
      <c r="H938" s="2" t="s">
        <v>1870</v>
      </c>
      <c r="I938" s="2" t="s">
        <v>2169</v>
      </c>
      <c r="J938" s="2" t="s">
        <v>2170</v>
      </c>
      <c r="K938" s="2" t="s">
        <v>26</v>
      </c>
      <c r="L938" s="2" t="s">
        <v>27</v>
      </c>
      <c r="M938" s="2">
        <v>5230902</v>
      </c>
      <c r="N938" s="2" t="s">
        <v>251</v>
      </c>
      <c r="O938" s="2" t="s">
        <v>99</v>
      </c>
      <c r="P938" s="2" t="s">
        <v>798</v>
      </c>
      <c r="Q938" s="2" t="s">
        <v>629</v>
      </c>
      <c r="R938" s="2" t="s">
        <v>134</v>
      </c>
      <c r="S938" s="2">
        <v>10</v>
      </c>
      <c r="T938" s="2" t="s">
        <v>33</v>
      </c>
      <c r="U938" s="2" t="s">
        <v>34</v>
      </c>
      <c r="V938" s="32">
        <v>182598600</v>
      </c>
      <c r="Y938" s="30">
        <f t="shared" si="28"/>
        <v>182598600</v>
      </c>
      <c r="Z938" s="41">
        <f t="shared" si="29"/>
        <v>0</v>
      </c>
    </row>
    <row r="939" spans="1:27">
      <c r="A939" s="2">
        <v>937</v>
      </c>
      <c r="B939" s="2">
        <v>2566112</v>
      </c>
      <c r="C939" s="2">
        <v>52408008660018</v>
      </c>
      <c r="D939" s="2" t="s">
        <v>45</v>
      </c>
      <c r="E939" s="2">
        <v>4858453</v>
      </c>
      <c r="F939" s="2" t="s">
        <v>2008</v>
      </c>
      <c r="G939" s="3">
        <v>36762</v>
      </c>
      <c r="H939" s="2" t="s">
        <v>606</v>
      </c>
      <c r="I939" s="2" t="s">
        <v>2171</v>
      </c>
      <c r="J939" s="2" t="s">
        <v>1760</v>
      </c>
      <c r="K939" s="2" t="s">
        <v>26</v>
      </c>
      <c r="L939" s="2" t="s">
        <v>57</v>
      </c>
      <c r="M939" s="2">
        <v>5620200</v>
      </c>
      <c r="N939" s="2" t="s">
        <v>58</v>
      </c>
      <c r="O939" s="2" t="s">
        <v>281</v>
      </c>
      <c r="P939" s="2" t="s">
        <v>122</v>
      </c>
      <c r="Q939" s="4">
        <v>11110</v>
      </c>
      <c r="R939" s="2" t="s">
        <v>53</v>
      </c>
      <c r="S939" s="2">
        <v>8</v>
      </c>
      <c r="T939" s="2" t="s">
        <v>33</v>
      </c>
      <c r="U939" s="2" t="s">
        <v>34</v>
      </c>
      <c r="V939" s="32">
        <v>102601760</v>
      </c>
      <c r="Y939" s="30">
        <f t="shared" si="28"/>
        <v>102601760</v>
      </c>
      <c r="Z939" s="41">
        <f t="shared" si="29"/>
        <v>0</v>
      </c>
    </row>
    <row r="940" spans="1:27">
      <c r="A940" s="2">
        <v>938</v>
      </c>
      <c r="B940" s="2">
        <v>3257196</v>
      </c>
      <c r="C940" s="2">
        <v>52410036610028</v>
      </c>
      <c r="D940" s="2" t="s">
        <v>22</v>
      </c>
      <c r="E940" s="2">
        <v>2357416</v>
      </c>
      <c r="F940" s="2" t="s">
        <v>2008</v>
      </c>
      <c r="G940" s="3">
        <v>37918</v>
      </c>
      <c r="H940" s="2" t="s">
        <v>2172</v>
      </c>
      <c r="I940" s="2" t="s">
        <v>2173</v>
      </c>
      <c r="J940" s="2" t="s">
        <v>2174</v>
      </c>
      <c r="K940" s="2" t="s">
        <v>26</v>
      </c>
      <c r="L940" s="2" t="s">
        <v>27</v>
      </c>
      <c r="M940" s="2">
        <v>5240109</v>
      </c>
      <c r="N940" s="2" t="s">
        <v>28</v>
      </c>
      <c r="O940" s="2" t="s">
        <v>252</v>
      </c>
      <c r="P940" s="2" t="s">
        <v>30</v>
      </c>
      <c r="Q940" s="2" t="s">
        <v>2175</v>
      </c>
      <c r="R940" s="2" t="s">
        <v>32</v>
      </c>
      <c r="S940" s="2">
        <v>25</v>
      </c>
      <c r="T940" s="2" t="s">
        <v>33</v>
      </c>
      <c r="U940" s="2" t="s">
        <v>34</v>
      </c>
      <c r="V940" s="32">
        <v>245231500</v>
      </c>
      <c r="Y940" s="30">
        <f t="shared" si="28"/>
        <v>245231500</v>
      </c>
      <c r="Z940" s="41">
        <f t="shared" si="29"/>
        <v>0</v>
      </c>
    </row>
    <row r="941" spans="1:27" ht="26.25">
      <c r="A941" s="2">
        <v>939</v>
      </c>
      <c r="B941" s="2">
        <v>3629981</v>
      </c>
      <c r="C941" s="2">
        <v>51303036820056</v>
      </c>
      <c r="D941" s="2" t="s">
        <v>22</v>
      </c>
      <c r="E941" s="2">
        <v>2236517</v>
      </c>
      <c r="F941" s="2" t="s">
        <v>2008</v>
      </c>
      <c r="G941" s="3">
        <v>37693</v>
      </c>
      <c r="H941" s="2" t="s">
        <v>2176</v>
      </c>
      <c r="I941" s="2" t="s">
        <v>801</v>
      </c>
      <c r="J941" s="2" t="s">
        <v>2177</v>
      </c>
      <c r="K941" s="2" t="s">
        <v>26</v>
      </c>
      <c r="L941" s="2" t="s">
        <v>57</v>
      </c>
      <c r="M941" s="2">
        <v>5310701</v>
      </c>
      <c r="N941" s="2" t="s">
        <v>118</v>
      </c>
      <c r="O941" s="2" t="s">
        <v>50</v>
      </c>
      <c r="P941" s="2">
        <v>63</v>
      </c>
      <c r="Q941" s="4">
        <v>18537</v>
      </c>
      <c r="R941" s="2" t="s">
        <v>53</v>
      </c>
      <c r="S941" s="2">
        <v>8</v>
      </c>
      <c r="T941" s="2" t="s">
        <v>33</v>
      </c>
      <c r="U941" s="2" t="s">
        <v>34</v>
      </c>
      <c r="V941" s="32">
        <v>102601760</v>
      </c>
      <c r="Y941" s="30">
        <f t="shared" si="28"/>
        <v>102601760</v>
      </c>
      <c r="Z941" s="41">
        <f t="shared" si="29"/>
        <v>0</v>
      </c>
    </row>
    <row r="942" spans="1:27" ht="26.25">
      <c r="A942" s="2">
        <v>940</v>
      </c>
      <c r="B942" s="2">
        <v>3301489</v>
      </c>
      <c r="C942" s="2">
        <v>52604036560029</v>
      </c>
      <c r="D942" s="2" t="s">
        <v>22</v>
      </c>
      <c r="E942" s="2">
        <v>1897867</v>
      </c>
      <c r="F942" s="2" t="s">
        <v>2008</v>
      </c>
      <c r="G942" s="3">
        <v>37737</v>
      </c>
      <c r="H942" s="2" t="s">
        <v>1110</v>
      </c>
      <c r="I942" s="2" t="s">
        <v>539</v>
      </c>
      <c r="J942" s="2" t="s">
        <v>1814</v>
      </c>
      <c r="K942" s="2" t="s">
        <v>26</v>
      </c>
      <c r="L942" s="2" t="s">
        <v>27</v>
      </c>
      <c r="M942" s="2">
        <v>5310608</v>
      </c>
      <c r="N942" s="2" t="s">
        <v>921</v>
      </c>
      <c r="O942" s="2" t="s">
        <v>175</v>
      </c>
      <c r="P942" s="2" t="s">
        <v>42</v>
      </c>
      <c r="Q942" s="4">
        <v>43922</v>
      </c>
      <c r="R942" s="2" t="s">
        <v>53</v>
      </c>
      <c r="S942" s="2">
        <v>8</v>
      </c>
      <c r="T942" s="2" t="s">
        <v>33</v>
      </c>
      <c r="U942" s="2" t="s">
        <v>34</v>
      </c>
      <c r="V942" s="32">
        <v>51300880</v>
      </c>
      <c r="Y942" s="30">
        <f t="shared" si="28"/>
        <v>51300880</v>
      </c>
      <c r="Z942" s="41">
        <f t="shared" si="29"/>
        <v>0</v>
      </c>
    </row>
    <row r="943" spans="1:27">
      <c r="A943" s="2">
        <v>941</v>
      </c>
      <c r="B943" s="2">
        <v>3273815</v>
      </c>
      <c r="C943" s="2">
        <v>51403046590029</v>
      </c>
      <c r="D943" s="2" t="s">
        <v>22</v>
      </c>
      <c r="E943" s="2">
        <v>2815572</v>
      </c>
      <c r="F943" s="2" t="s">
        <v>2008</v>
      </c>
      <c r="G943" s="3">
        <v>38060</v>
      </c>
      <c r="H943" s="2" t="s">
        <v>504</v>
      </c>
      <c r="I943" s="2" t="s">
        <v>2178</v>
      </c>
      <c r="J943" s="2" t="s">
        <v>937</v>
      </c>
      <c r="K943" s="2" t="s">
        <v>26</v>
      </c>
      <c r="L943" s="2" t="s">
        <v>57</v>
      </c>
      <c r="M943" s="2">
        <v>5620101</v>
      </c>
      <c r="N943" s="2" t="s">
        <v>49</v>
      </c>
      <c r="O943" s="2" t="s">
        <v>42</v>
      </c>
      <c r="P943" s="2" t="s">
        <v>199</v>
      </c>
      <c r="Q943" s="4">
        <v>43922</v>
      </c>
      <c r="R943" s="2" t="s">
        <v>53</v>
      </c>
      <c r="S943" s="2">
        <v>8</v>
      </c>
      <c r="T943" s="2" t="s">
        <v>508</v>
      </c>
      <c r="U943" s="2" t="s">
        <v>34</v>
      </c>
      <c r="V943" s="32">
        <v>51300880</v>
      </c>
      <c r="Y943" s="30">
        <f t="shared" si="28"/>
        <v>51300880</v>
      </c>
      <c r="Z943" s="41">
        <f t="shared" si="29"/>
        <v>0</v>
      </c>
    </row>
    <row r="944" spans="1:27" ht="26.25">
      <c r="A944" s="2">
        <v>942</v>
      </c>
      <c r="B944" s="2">
        <v>3343897</v>
      </c>
      <c r="C944" s="2">
        <v>52509036420017</v>
      </c>
      <c r="D944" s="2" t="s">
        <v>22</v>
      </c>
      <c r="E944" s="2">
        <v>2257903</v>
      </c>
      <c r="F944" s="2" t="s">
        <v>2008</v>
      </c>
      <c r="G944" s="3">
        <v>37889</v>
      </c>
      <c r="H944" s="2" t="s">
        <v>701</v>
      </c>
      <c r="I944" s="2" t="s">
        <v>711</v>
      </c>
      <c r="J944" s="2" t="s">
        <v>2179</v>
      </c>
      <c r="K944" s="2" t="s">
        <v>26</v>
      </c>
      <c r="L944" s="2" t="s">
        <v>57</v>
      </c>
      <c r="M944" s="2">
        <v>5340604</v>
      </c>
      <c r="N944" s="2" t="s">
        <v>354</v>
      </c>
      <c r="O944" s="2" t="s">
        <v>60</v>
      </c>
      <c r="P944" s="2" t="s">
        <v>296</v>
      </c>
      <c r="Q944" s="4">
        <v>42064</v>
      </c>
      <c r="R944" s="2" t="s">
        <v>93</v>
      </c>
      <c r="S944" s="2">
        <v>8</v>
      </c>
      <c r="T944" s="2" t="s">
        <v>33</v>
      </c>
      <c r="U944" s="2" t="s">
        <v>34</v>
      </c>
      <c r="V944" s="32">
        <v>21275820</v>
      </c>
      <c r="W944" s="21">
        <v>10650000</v>
      </c>
      <c r="X944" s="10" t="s">
        <v>2661</v>
      </c>
      <c r="Y944" s="30">
        <f t="shared" si="28"/>
        <v>10625820</v>
      </c>
      <c r="Z944" s="41">
        <f t="shared" si="29"/>
        <v>0.50056825071842115</v>
      </c>
    </row>
    <row r="945" spans="1:27">
      <c r="A945" s="2">
        <v>943</v>
      </c>
      <c r="B945" s="2">
        <v>2635858</v>
      </c>
      <c r="C945" s="2">
        <v>51303025730014</v>
      </c>
      <c r="D945" s="2" t="s">
        <v>45</v>
      </c>
      <c r="E945" s="2">
        <v>9385362</v>
      </c>
      <c r="F945" s="2" t="s">
        <v>2008</v>
      </c>
      <c r="G945" s="3">
        <v>37328</v>
      </c>
      <c r="H945" s="2" t="s">
        <v>135</v>
      </c>
      <c r="I945" s="2" t="s">
        <v>2180</v>
      </c>
      <c r="J945" s="2" t="s">
        <v>1162</v>
      </c>
      <c r="K945" s="2" t="s">
        <v>26</v>
      </c>
      <c r="L945" s="2" t="s">
        <v>27</v>
      </c>
      <c r="M945" s="2">
        <v>5620600</v>
      </c>
      <c r="N945" s="2" t="s">
        <v>1528</v>
      </c>
      <c r="O945" s="2" t="s">
        <v>1379</v>
      </c>
      <c r="P945" s="2" t="s">
        <v>345</v>
      </c>
      <c r="Q945" s="2" t="s">
        <v>179</v>
      </c>
      <c r="R945" s="2" t="s">
        <v>53</v>
      </c>
      <c r="S945" s="2">
        <v>8</v>
      </c>
      <c r="T945" s="2" t="s">
        <v>33</v>
      </c>
      <c r="U945" s="2" t="s">
        <v>34</v>
      </c>
      <c r="V945" s="32">
        <v>102601760</v>
      </c>
      <c r="Y945" s="30">
        <f t="shared" si="28"/>
        <v>102601760</v>
      </c>
      <c r="Z945" s="41">
        <f t="shared" si="29"/>
        <v>0</v>
      </c>
    </row>
    <row r="946" spans="1:27" ht="26.25">
      <c r="A946" s="2">
        <v>944</v>
      </c>
      <c r="B946" s="2">
        <v>1003472</v>
      </c>
      <c r="C946" s="2">
        <v>51505027890035</v>
      </c>
      <c r="D946" s="2" t="s">
        <v>22</v>
      </c>
      <c r="E946" s="2">
        <v>1914702</v>
      </c>
      <c r="F946" s="2" t="s">
        <v>2008</v>
      </c>
      <c r="G946" s="3">
        <v>37391</v>
      </c>
      <c r="H946" s="2" t="s">
        <v>260</v>
      </c>
      <c r="I946" s="2" t="s">
        <v>1519</v>
      </c>
      <c r="J946" s="2" t="s">
        <v>866</v>
      </c>
      <c r="K946" s="2" t="s">
        <v>39</v>
      </c>
      <c r="L946" s="2" t="s">
        <v>57</v>
      </c>
      <c r="M946" s="2">
        <v>5620702</v>
      </c>
      <c r="N946" s="2" t="s">
        <v>159</v>
      </c>
      <c r="O946" s="2" t="s">
        <v>60</v>
      </c>
      <c r="P946" s="2" t="s">
        <v>139</v>
      </c>
      <c r="Q946" s="2" t="s">
        <v>43</v>
      </c>
      <c r="R946" s="2" t="s">
        <v>62</v>
      </c>
      <c r="S946" s="2">
        <v>8</v>
      </c>
      <c r="T946" s="2" t="s">
        <v>33</v>
      </c>
      <c r="U946" s="2" t="s">
        <v>34</v>
      </c>
      <c r="V946" s="32">
        <v>59781040</v>
      </c>
      <c r="Y946" s="30">
        <f t="shared" si="28"/>
        <v>59781040</v>
      </c>
      <c r="Z946" s="41">
        <f t="shared" si="29"/>
        <v>0</v>
      </c>
    </row>
    <row r="947" spans="1:27">
      <c r="A947" s="2">
        <v>945</v>
      </c>
      <c r="B947" s="2">
        <v>3386409</v>
      </c>
      <c r="C947" s="2">
        <v>30702881110016</v>
      </c>
      <c r="D947" s="2" t="s">
        <v>145</v>
      </c>
      <c r="E947" s="2">
        <v>925763</v>
      </c>
      <c r="F947" s="2" t="s">
        <v>2008</v>
      </c>
      <c r="G947" s="3">
        <v>32180</v>
      </c>
      <c r="H947" s="2" t="s">
        <v>2181</v>
      </c>
      <c r="I947" s="2" t="s">
        <v>2182</v>
      </c>
      <c r="J947" s="2" t="s">
        <v>2183</v>
      </c>
      <c r="K947" s="2" t="s">
        <v>39</v>
      </c>
      <c r="L947" s="2" t="s">
        <v>27</v>
      </c>
      <c r="M947" s="2">
        <v>5340603</v>
      </c>
      <c r="N947" s="2" t="s">
        <v>174</v>
      </c>
      <c r="O947" s="2" t="s">
        <v>225</v>
      </c>
      <c r="P947" s="2" t="s">
        <v>175</v>
      </c>
      <c r="Q947" s="4">
        <v>14824</v>
      </c>
      <c r="R947" s="2" t="s">
        <v>44</v>
      </c>
      <c r="S947" s="2">
        <v>8</v>
      </c>
      <c r="T947" s="2" t="s">
        <v>33</v>
      </c>
      <c r="U947" s="2" t="s">
        <v>34</v>
      </c>
      <c r="V947" s="32">
        <v>65759144</v>
      </c>
      <c r="Y947" s="30">
        <f t="shared" si="28"/>
        <v>65759144</v>
      </c>
      <c r="Z947" s="41">
        <f t="shared" si="29"/>
        <v>0</v>
      </c>
    </row>
    <row r="948" spans="1:27">
      <c r="A948" s="2">
        <v>946</v>
      </c>
      <c r="B948" s="2">
        <v>3516662</v>
      </c>
      <c r="C948" s="2">
        <v>53010027230023</v>
      </c>
      <c r="D948" s="2" t="s">
        <v>35</v>
      </c>
      <c r="E948" s="2">
        <v>1256206</v>
      </c>
      <c r="F948" s="2" t="s">
        <v>2008</v>
      </c>
      <c r="G948" s="3">
        <v>37559</v>
      </c>
      <c r="H948" s="2" t="s">
        <v>2184</v>
      </c>
      <c r="I948" s="2" t="s">
        <v>370</v>
      </c>
      <c r="J948" s="2" t="s">
        <v>1333</v>
      </c>
      <c r="K948" s="2" t="s">
        <v>26</v>
      </c>
      <c r="L948" s="2" t="s">
        <v>27</v>
      </c>
      <c r="M948" s="2">
        <v>5240109</v>
      </c>
      <c r="N948" s="2" t="s">
        <v>28</v>
      </c>
      <c r="O948" s="2" t="s">
        <v>1402</v>
      </c>
      <c r="P948" s="2" t="s">
        <v>30</v>
      </c>
      <c r="Q948" s="2" t="s">
        <v>391</v>
      </c>
      <c r="R948" s="2" t="s">
        <v>32</v>
      </c>
      <c r="S948" s="2">
        <v>25</v>
      </c>
      <c r="T948" s="2" t="s">
        <v>33</v>
      </c>
      <c r="U948" s="2" t="s">
        <v>34</v>
      </c>
      <c r="V948" s="32">
        <v>245231500</v>
      </c>
      <c r="Y948" s="30">
        <f t="shared" si="28"/>
        <v>245231500</v>
      </c>
      <c r="Z948" s="41">
        <f t="shared" si="29"/>
        <v>0</v>
      </c>
    </row>
    <row r="949" spans="1:27">
      <c r="A949" s="2">
        <v>947</v>
      </c>
      <c r="B949" s="2">
        <v>2966674</v>
      </c>
      <c r="C949" s="2">
        <v>51507035700014</v>
      </c>
      <c r="D949" s="2" t="s">
        <v>22</v>
      </c>
      <c r="E949" s="2">
        <v>2415063</v>
      </c>
      <c r="F949" s="2" t="s">
        <v>2008</v>
      </c>
      <c r="G949" s="3">
        <v>37817</v>
      </c>
      <c r="H949" s="2" t="s">
        <v>2010</v>
      </c>
      <c r="I949" s="2" t="s">
        <v>2185</v>
      </c>
      <c r="J949" s="2" t="s">
        <v>618</v>
      </c>
      <c r="K949" s="2" t="s">
        <v>26</v>
      </c>
      <c r="L949" s="2" t="s">
        <v>27</v>
      </c>
      <c r="M949" s="2">
        <v>5314000</v>
      </c>
      <c r="N949" s="2" t="s">
        <v>522</v>
      </c>
      <c r="O949" s="2" t="s">
        <v>88</v>
      </c>
      <c r="P949" s="2" t="s">
        <v>771</v>
      </c>
      <c r="Q949" s="2" t="s">
        <v>179</v>
      </c>
      <c r="R949" s="2" t="s">
        <v>53</v>
      </c>
      <c r="S949" s="2">
        <v>8</v>
      </c>
      <c r="T949" s="2" t="s">
        <v>33</v>
      </c>
      <c r="U949" s="2" t="s">
        <v>34</v>
      </c>
      <c r="V949" s="32">
        <v>51300880</v>
      </c>
      <c r="Y949" s="30">
        <f t="shared" si="28"/>
        <v>51300880</v>
      </c>
      <c r="Z949" s="41">
        <f t="shared" si="29"/>
        <v>0</v>
      </c>
    </row>
    <row r="950" spans="1:27" ht="26.25">
      <c r="A950" s="2">
        <v>948</v>
      </c>
      <c r="B950" s="2">
        <v>3703424</v>
      </c>
      <c r="C950" s="2">
        <v>51507037440022</v>
      </c>
      <c r="D950" s="2" t="s">
        <v>22</v>
      </c>
      <c r="E950" s="2">
        <v>2877253</v>
      </c>
      <c r="F950" s="2" t="s">
        <v>2008</v>
      </c>
      <c r="G950" s="3">
        <v>37817</v>
      </c>
      <c r="H950" s="2" t="s">
        <v>2186</v>
      </c>
      <c r="I950" s="2" t="s">
        <v>204</v>
      </c>
      <c r="J950" s="2" t="s">
        <v>2187</v>
      </c>
      <c r="K950" s="2" t="s">
        <v>26</v>
      </c>
      <c r="L950" s="2" t="s">
        <v>27</v>
      </c>
      <c r="M950" s="2">
        <v>5620701</v>
      </c>
      <c r="N950" s="2" t="s">
        <v>218</v>
      </c>
      <c r="O950" s="2" t="s">
        <v>175</v>
      </c>
      <c r="P950" s="2" t="s">
        <v>224</v>
      </c>
      <c r="Q950" s="2" t="s">
        <v>420</v>
      </c>
      <c r="R950" s="2" t="s">
        <v>53</v>
      </c>
      <c r="S950" s="2">
        <v>8</v>
      </c>
      <c r="T950" s="2" t="s">
        <v>508</v>
      </c>
      <c r="U950" s="2" t="s">
        <v>34</v>
      </c>
      <c r="V950" s="32">
        <v>51300880</v>
      </c>
      <c r="Y950" s="30">
        <f t="shared" si="28"/>
        <v>51300880</v>
      </c>
      <c r="Z950" s="41">
        <f t="shared" si="29"/>
        <v>0</v>
      </c>
    </row>
    <row r="951" spans="1:27" ht="26.25">
      <c r="A951" s="2">
        <v>949</v>
      </c>
      <c r="B951" s="2">
        <v>1293863</v>
      </c>
      <c r="C951" s="2">
        <v>51504015560035</v>
      </c>
      <c r="D951" s="2" t="s">
        <v>22</v>
      </c>
      <c r="E951" s="2">
        <v>1203379</v>
      </c>
      <c r="F951" s="2">
        <v>978031504</v>
      </c>
      <c r="G951" s="3">
        <v>36996</v>
      </c>
      <c r="H951" s="2" t="s">
        <v>2188</v>
      </c>
      <c r="I951" s="2" t="s">
        <v>2189</v>
      </c>
      <c r="J951" s="2" t="s">
        <v>2190</v>
      </c>
      <c r="K951" s="2" t="s">
        <v>39</v>
      </c>
      <c r="L951" s="2" t="s">
        <v>27</v>
      </c>
      <c r="M951" s="2">
        <v>5310701</v>
      </c>
      <c r="N951" s="2" t="s">
        <v>118</v>
      </c>
      <c r="O951" s="2" t="s">
        <v>149</v>
      </c>
      <c r="P951" s="2" t="s">
        <v>123</v>
      </c>
      <c r="Q951" s="2" t="s">
        <v>111</v>
      </c>
      <c r="R951" s="2" t="s">
        <v>62</v>
      </c>
      <c r="S951" s="2">
        <v>8</v>
      </c>
      <c r="T951" s="2" t="s">
        <v>33</v>
      </c>
      <c r="U951" s="2" t="s">
        <v>34</v>
      </c>
      <c r="V951" s="32">
        <v>59781040</v>
      </c>
      <c r="Y951" s="30">
        <f t="shared" si="28"/>
        <v>59781040</v>
      </c>
      <c r="Z951" s="41">
        <f t="shared" si="29"/>
        <v>0</v>
      </c>
    </row>
    <row r="952" spans="1:27" ht="26.25">
      <c r="A952" s="2">
        <v>950</v>
      </c>
      <c r="B952" s="2">
        <v>1989491</v>
      </c>
      <c r="C952" s="2">
        <v>51502005590040</v>
      </c>
      <c r="D952" s="2" t="s">
        <v>45</v>
      </c>
      <c r="E952" s="2">
        <v>6323224</v>
      </c>
      <c r="F952" s="2" t="s">
        <v>2008</v>
      </c>
      <c r="G952" s="3">
        <v>36571</v>
      </c>
      <c r="H952" s="2" t="s">
        <v>2191</v>
      </c>
      <c r="I952" s="2" t="s">
        <v>2192</v>
      </c>
      <c r="J952" s="2" t="s">
        <v>2193</v>
      </c>
      <c r="K952" s="2" t="s">
        <v>26</v>
      </c>
      <c r="L952" s="2" t="s">
        <v>27</v>
      </c>
      <c r="M952" s="2">
        <v>5320102</v>
      </c>
      <c r="N952" s="2" t="s">
        <v>138</v>
      </c>
      <c r="O952" s="2" t="s">
        <v>104</v>
      </c>
      <c r="P952" s="2" t="s">
        <v>154</v>
      </c>
      <c r="Q952" s="5">
        <v>44317</v>
      </c>
      <c r="R952" s="2" t="s">
        <v>53</v>
      </c>
      <c r="S952" s="2">
        <v>8</v>
      </c>
      <c r="T952" s="2" t="s">
        <v>508</v>
      </c>
      <c r="U952" s="2" t="s">
        <v>34</v>
      </c>
      <c r="V952" s="32">
        <v>9618915</v>
      </c>
      <c r="Y952" s="30">
        <f t="shared" si="28"/>
        <v>9618915</v>
      </c>
      <c r="Z952" s="41">
        <f t="shared" si="29"/>
        <v>0</v>
      </c>
    </row>
    <row r="953" spans="1:27" ht="26.25">
      <c r="A953" s="2">
        <v>951</v>
      </c>
      <c r="B953" s="2">
        <v>1146303</v>
      </c>
      <c r="C953" s="2">
        <v>51703016420021</v>
      </c>
      <c r="D953" s="2" t="s">
        <v>45</v>
      </c>
      <c r="E953" s="2">
        <v>9101262</v>
      </c>
      <c r="F953" s="2">
        <v>998030317</v>
      </c>
      <c r="G953" s="3">
        <v>36967</v>
      </c>
      <c r="H953" s="2" t="s">
        <v>585</v>
      </c>
      <c r="I953" s="2" t="s">
        <v>2194</v>
      </c>
      <c r="J953" s="2" t="s">
        <v>2067</v>
      </c>
      <c r="K953" s="2" t="s">
        <v>39</v>
      </c>
      <c r="L953" s="2" t="s">
        <v>27</v>
      </c>
      <c r="M953" s="2">
        <v>5340606</v>
      </c>
      <c r="N953" s="2" t="s">
        <v>191</v>
      </c>
      <c r="O953" s="2" t="s">
        <v>175</v>
      </c>
      <c r="P953" s="2" t="s">
        <v>42</v>
      </c>
      <c r="Q953" s="4">
        <v>43922</v>
      </c>
      <c r="R953" s="2" t="s">
        <v>44</v>
      </c>
      <c r="S953" s="2">
        <v>8</v>
      </c>
      <c r="T953" s="2" t="s">
        <v>33</v>
      </c>
      <c r="U953" s="2" t="s">
        <v>34</v>
      </c>
      <c r="V953" s="32">
        <v>65759144</v>
      </c>
      <c r="Y953" s="30">
        <f t="shared" si="28"/>
        <v>65759144</v>
      </c>
      <c r="Z953" s="41">
        <f t="shared" si="29"/>
        <v>0</v>
      </c>
    </row>
    <row r="954" spans="1:27" ht="26.25">
      <c r="A954" s="2">
        <v>952</v>
      </c>
      <c r="B954" s="2">
        <v>3424248</v>
      </c>
      <c r="C954" s="2">
        <v>52706036880016</v>
      </c>
      <c r="D954" s="2" t="s">
        <v>22</v>
      </c>
      <c r="E954" s="2">
        <v>2043164</v>
      </c>
      <c r="F954" s="2">
        <v>949359680</v>
      </c>
      <c r="G954" s="3">
        <v>37799</v>
      </c>
      <c r="H954" s="2" t="s">
        <v>146</v>
      </c>
      <c r="I954" s="2" t="s">
        <v>1496</v>
      </c>
      <c r="J954" s="2" t="s">
        <v>1926</v>
      </c>
      <c r="K954" s="2" t="s">
        <v>26</v>
      </c>
      <c r="L954" s="2" t="s">
        <v>57</v>
      </c>
      <c r="M954" s="2">
        <v>5620701</v>
      </c>
      <c r="N954" s="2" t="s">
        <v>218</v>
      </c>
      <c r="O954" s="2" t="s">
        <v>122</v>
      </c>
      <c r="P954" s="2" t="s">
        <v>104</v>
      </c>
      <c r="Q954" s="4">
        <v>45778</v>
      </c>
      <c r="R954" s="2" t="s">
        <v>53</v>
      </c>
      <c r="S954" s="2">
        <v>8</v>
      </c>
      <c r="T954" s="2" t="s">
        <v>33</v>
      </c>
      <c r="U954" s="2" t="s">
        <v>34</v>
      </c>
      <c r="V954" s="32">
        <v>51300880</v>
      </c>
      <c r="Y954" s="30">
        <f t="shared" si="28"/>
        <v>51300880</v>
      </c>
      <c r="Z954" s="41">
        <f t="shared" si="29"/>
        <v>0</v>
      </c>
    </row>
    <row r="955" spans="1:27" ht="26.25">
      <c r="A955" s="2">
        <v>953</v>
      </c>
      <c r="B955" s="2">
        <v>3364411</v>
      </c>
      <c r="C955" s="2">
        <v>51701046760034</v>
      </c>
      <c r="D955" s="2" t="s">
        <v>22</v>
      </c>
      <c r="E955" s="2">
        <v>2710147</v>
      </c>
      <c r="F955" s="2">
        <v>978858781</v>
      </c>
      <c r="G955" s="3">
        <v>38003</v>
      </c>
      <c r="H955" s="2" t="s">
        <v>2195</v>
      </c>
      <c r="I955" s="2" t="s">
        <v>541</v>
      </c>
      <c r="J955" s="2" t="s">
        <v>2196</v>
      </c>
      <c r="K955" s="2" t="s">
        <v>39</v>
      </c>
      <c r="L955" s="2" t="s">
        <v>27</v>
      </c>
      <c r="M955" s="2">
        <v>5620400</v>
      </c>
      <c r="N955" s="2" t="s">
        <v>103</v>
      </c>
      <c r="O955" s="2" t="s">
        <v>60</v>
      </c>
      <c r="P955" s="2" t="s">
        <v>123</v>
      </c>
      <c r="Q955" s="2" t="s">
        <v>340</v>
      </c>
      <c r="R955" s="2" t="s">
        <v>62</v>
      </c>
      <c r="S955" s="2">
        <v>8</v>
      </c>
      <c r="T955" s="2" t="s">
        <v>33</v>
      </c>
      <c r="U955" s="2" t="s">
        <v>34</v>
      </c>
      <c r="V955" s="29">
        <v>53802936</v>
      </c>
      <c r="W955" s="20">
        <f>27000000+17000000</f>
        <v>44000000</v>
      </c>
      <c r="X955" s="2" t="s">
        <v>2906</v>
      </c>
      <c r="Y955" s="30">
        <f t="shared" si="28"/>
        <v>9802936</v>
      </c>
      <c r="Z955" s="41">
        <f t="shared" si="29"/>
        <v>0.8177992368297522</v>
      </c>
      <c r="AA955" s="42" t="s">
        <v>2798</v>
      </c>
    </row>
    <row r="956" spans="1:27" ht="39">
      <c r="A956" s="2">
        <v>954</v>
      </c>
      <c r="B956" s="2">
        <v>3465395</v>
      </c>
      <c r="C956" s="2">
        <v>52702036820029</v>
      </c>
      <c r="D956" s="2" t="s">
        <v>22</v>
      </c>
      <c r="E956" s="2">
        <v>1817740</v>
      </c>
      <c r="F956" s="2" t="s">
        <v>2008</v>
      </c>
      <c r="G956" s="3">
        <v>37679</v>
      </c>
      <c r="H956" s="2" t="s">
        <v>1169</v>
      </c>
      <c r="I956" s="2" t="s">
        <v>1302</v>
      </c>
      <c r="J956" s="2" t="s">
        <v>1191</v>
      </c>
      <c r="K956" s="2" t="s">
        <v>39</v>
      </c>
      <c r="L956" s="2" t="s">
        <v>27</v>
      </c>
      <c r="M956" s="2">
        <v>5320200</v>
      </c>
      <c r="N956" s="2" t="s">
        <v>66</v>
      </c>
      <c r="O956" s="2" t="s">
        <v>88</v>
      </c>
      <c r="P956" s="2" t="s">
        <v>68</v>
      </c>
      <c r="Q956" s="2" t="s">
        <v>363</v>
      </c>
      <c r="R956" s="2" t="s">
        <v>62</v>
      </c>
      <c r="S956" s="2">
        <v>8</v>
      </c>
      <c r="T956" s="2" t="s">
        <v>33</v>
      </c>
      <c r="U956" s="2" t="s">
        <v>34</v>
      </c>
      <c r="V956" s="32">
        <v>59781040</v>
      </c>
      <c r="Y956" s="30">
        <f t="shared" si="28"/>
        <v>59781040</v>
      </c>
      <c r="Z956" s="41">
        <f t="shared" si="29"/>
        <v>0</v>
      </c>
    </row>
    <row r="957" spans="1:27" ht="26.25">
      <c r="A957" s="2">
        <v>955</v>
      </c>
      <c r="B957" s="2">
        <v>3637682</v>
      </c>
      <c r="C957" s="2">
        <v>51705036860023</v>
      </c>
      <c r="D957" s="2" t="s">
        <v>22</v>
      </c>
      <c r="E957" s="2">
        <v>1931577</v>
      </c>
      <c r="F957" s="2" t="s">
        <v>2008</v>
      </c>
      <c r="G957" s="3">
        <v>37758</v>
      </c>
      <c r="H957" s="2" t="s">
        <v>1499</v>
      </c>
      <c r="I957" s="2" t="s">
        <v>2197</v>
      </c>
      <c r="J957" s="2" t="s">
        <v>2198</v>
      </c>
      <c r="K957" s="2" t="s">
        <v>39</v>
      </c>
      <c r="L957" s="2" t="s">
        <v>27</v>
      </c>
      <c r="M957" s="2">
        <v>5320102</v>
      </c>
      <c r="N957" s="2" t="s">
        <v>138</v>
      </c>
      <c r="O957" s="2" t="s">
        <v>194</v>
      </c>
      <c r="P957" s="2" t="s">
        <v>140</v>
      </c>
      <c r="Q957" s="5">
        <v>44471</v>
      </c>
      <c r="R957" s="2" t="s">
        <v>62</v>
      </c>
      <c r="S957" s="2">
        <v>8</v>
      </c>
      <c r="T957" s="2" t="s">
        <v>33</v>
      </c>
      <c r="U957" s="2" t="s">
        <v>34</v>
      </c>
      <c r="V957" s="32">
        <v>18681575</v>
      </c>
      <c r="Y957" s="30">
        <f t="shared" si="28"/>
        <v>18681575</v>
      </c>
      <c r="Z957" s="41">
        <f t="shared" si="29"/>
        <v>0</v>
      </c>
    </row>
    <row r="958" spans="1:27" ht="39">
      <c r="A958" s="2">
        <v>956</v>
      </c>
      <c r="B958" s="2">
        <v>2559678</v>
      </c>
      <c r="C958" s="2">
        <v>52707026810037</v>
      </c>
      <c r="D958" s="2" t="s">
        <v>22</v>
      </c>
      <c r="E958" s="2">
        <v>195039</v>
      </c>
      <c r="F958" s="2" t="s">
        <v>2008</v>
      </c>
      <c r="G958" s="3">
        <v>37464</v>
      </c>
      <c r="H958" s="2" t="s">
        <v>2199</v>
      </c>
      <c r="I958" s="2" t="s">
        <v>2200</v>
      </c>
      <c r="J958" s="2" t="s">
        <v>85</v>
      </c>
      <c r="K958" s="2" t="s">
        <v>39</v>
      </c>
      <c r="L958" s="2" t="s">
        <v>27</v>
      </c>
      <c r="M958" s="2">
        <v>5340401</v>
      </c>
      <c r="N958" s="2" t="s">
        <v>349</v>
      </c>
      <c r="O958" s="2">
        <v>42</v>
      </c>
      <c r="P958" s="2" t="s">
        <v>350</v>
      </c>
      <c r="Q958" s="2" t="s">
        <v>421</v>
      </c>
      <c r="R958" s="2" t="s">
        <v>44</v>
      </c>
      <c r="S958" s="2">
        <v>8</v>
      </c>
      <c r="T958" s="2" t="s">
        <v>33</v>
      </c>
      <c r="U958" s="2" t="s">
        <v>34</v>
      </c>
      <c r="V958" s="32">
        <v>131518288</v>
      </c>
      <c r="Y958" s="30">
        <f t="shared" si="28"/>
        <v>131518288</v>
      </c>
      <c r="Z958" s="41">
        <f t="shared" si="29"/>
        <v>0</v>
      </c>
    </row>
    <row r="959" spans="1:27">
      <c r="A959" s="2">
        <v>957</v>
      </c>
      <c r="B959" s="2">
        <v>1873883</v>
      </c>
      <c r="C959" s="2">
        <v>52611006480029</v>
      </c>
      <c r="D959" s="2" t="s">
        <v>45</v>
      </c>
      <c r="E959" s="2">
        <v>7045233</v>
      </c>
      <c r="F959" s="2" t="s">
        <v>2008</v>
      </c>
      <c r="G959" s="3">
        <v>36856</v>
      </c>
      <c r="H959" s="2" t="s">
        <v>1169</v>
      </c>
      <c r="I959" s="2" t="s">
        <v>2201</v>
      </c>
      <c r="J959" s="2" t="s">
        <v>727</v>
      </c>
      <c r="K959" s="2" t="s">
        <v>39</v>
      </c>
      <c r="L959" s="2" t="s">
        <v>57</v>
      </c>
      <c r="M959" s="2">
        <v>5314000</v>
      </c>
      <c r="N959" s="2" t="s">
        <v>522</v>
      </c>
      <c r="O959" s="2" t="s">
        <v>154</v>
      </c>
      <c r="P959" s="2" t="s">
        <v>149</v>
      </c>
      <c r="Q959" s="4">
        <v>43922</v>
      </c>
      <c r="R959" s="2" t="s">
        <v>62</v>
      </c>
      <c r="S959" s="2">
        <v>8</v>
      </c>
      <c r="T959" s="2" t="s">
        <v>33</v>
      </c>
      <c r="U959" s="2" t="s">
        <v>34</v>
      </c>
      <c r="V959" s="32">
        <v>59781040</v>
      </c>
      <c r="Y959" s="30">
        <f t="shared" si="28"/>
        <v>59781040</v>
      </c>
      <c r="Z959" s="41">
        <f t="shared" si="29"/>
        <v>0</v>
      </c>
    </row>
    <row r="960" spans="1:27">
      <c r="A960" s="2">
        <v>958</v>
      </c>
      <c r="B960" s="2">
        <v>2495089</v>
      </c>
      <c r="C960" s="2">
        <v>51605026740037</v>
      </c>
      <c r="D960" s="2" t="s">
        <v>22</v>
      </c>
      <c r="E960" s="2">
        <v>132542</v>
      </c>
      <c r="F960" s="2" t="s">
        <v>2008</v>
      </c>
      <c r="G960" s="3">
        <v>37392</v>
      </c>
      <c r="H960" s="2" t="s">
        <v>501</v>
      </c>
      <c r="I960" s="2" t="s">
        <v>2202</v>
      </c>
      <c r="J960" s="2" t="s">
        <v>2203</v>
      </c>
      <c r="K960" s="2" t="s">
        <v>26</v>
      </c>
      <c r="L960" s="2" t="s">
        <v>27</v>
      </c>
      <c r="M960" s="2">
        <v>5240109</v>
      </c>
      <c r="N960" s="2" t="s">
        <v>28</v>
      </c>
      <c r="O960" s="2" t="s">
        <v>165</v>
      </c>
      <c r="P960" s="2" t="s">
        <v>30</v>
      </c>
      <c r="Q960" s="2" t="s">
        <v>972</v>
      </c>
      <c r="R960" s="2" t="s">
        <v>32</v>
      </c>
      <c r="S960" s="2">
        <v>25</v>
      </c>
      <c r="T960" s="2" t="s">
        <v>33</v>
      </c>
      <c r="U960" s="2" t="s">
        <v>34</v>
      </c>
      <c r="V960" s="32">
        <v>245231500</v>
      </c>
      <c r="Y960" s="30">
        <f t="shared" si="28"/>
        <v>245231500</v>
      </c>
      <c r="Z960" s="41">
        <f t="shared" si="29"/>
        <v>0</v>
      </c>
    </row>
    <row r="961" spans="1:26" ht="26.25">
      <c r="A961" s="2">
        <v>959</v>
      </c>
      <c r="B961" s="2">
        <v>3403013</v>
      </c>
      <c r="C961" s="2">
        <v>51603046110038</v>
      </c>
      <c r="D961" s="2" t="s">
        <v>22</v>
      </c>
      <c r="E961" s="2">
        <v>2814044</v>
      </c>
      <c r="F961" s="2" t="s">
        <v>2008</v>
      </c>
      <c r="G961" s="3">
        <v>38062</v>
      </c>
      <c r="H961" s="2" t="s">
        <v>1673</v>
      </c>
      <c r="I961" s="2" t="s">
        <v>1011</v>
      </c>
      <c r="J961" s="2" t="s">
        <v>2204</v>
      </c>
      <c r="K961" s="2" t="s">
        <v>26</v>
      </c>
      <c r="L961" s="2" t="s">
        <v>57</v>
      </c>
      <c r="M961" s="2">
        <v>5620701</v>
      </c>
      <c r="N961" s="2" t="s">
        <v>218</v>
      </c>
      <c r="O961" s="2" t="s">
        <v>225</v>
      </c>
      <c r="P961" s="2" t="s">
        <v>104</v>
      </c>
      <c r="Q961" s="5">
        <v>44317</v>
      </c>
      <c r="R961" s="2" t="s">
        <v>53</v>
      </c>
      <c r="S961" s="2">
        <v>8</v>
      </c>
      <c r="T961" s="2" t="s">
        <v>33</v>
      </c>
      <c r="U961" s="2" t="s">
        <v>34</v>
      </c>
      <c r="V961" s="32">
        <v>9618915</v>
      </c>
      <c r="W961" s="21">
        <v>12825220</v>
      </c>
      <c r="X961" s="11" t="s">
        <v>2648</v>
      </c>
      <c r="Y961" s="30">
        <f t="shared" si="28"/>
        <v>-3206305</v>
      </c>
      <c r="Z961" s="41">
        <f t="shared" si="29"/>
        <v>1.3333333333333333</v>
      </c>
    </row>
    <row r="962" spans="1:26" ht="26.25">
      <c r="A962" s="2">
        <v>960</v>
      </c>
      <c r="B962" s="2">
        <v>3344755</v>
      </c>
      <c r="C962" s="2">
        <v>51604036740017</v>
      </c>
      <c r="D962" s="2" t="s">
        <v>22</v>
      </c>
      <c r="E962" s="2">
        <v>1870044</v>
      </c>
      <c r="F962" s="2" t="s">
        <v>2008</v>
      </c>
      <c r="G962" s="3">
        <v>37727</v>
      </c>
      <c r="H962" s="2" t="s">
        <v>622</v>
      </c>
      <c r="I962" s="2" t="s">
        <v>2150</v>
      </c>
      <c r="J962" s="2" t="s">
        <v>2205</v>
      </c>
      <c r="K962" s="2" t="s">
        <v>26</v>
      </c>
      <c r="L962" s="2" t="s">
        <v>27</v>
      </c>
      <c r="M962" s="2">
        <v>5310604</v>
      </c>
      <c r="N962" s="2" t="s">
        <v>1297</v>
      </c>
      <c r="O962" s="2" t="s">
        <v>207</v>
      </c>
      <c r="P962" s="2" t="s">
        <v>241</v>
      </c>
      <c r="Q962" s="4">
        <v>22251</v>
      </c>
      <c r="R962" s="2" t="s">
        <v>53</v>
      </c>
      <c r="S962" s="2">
        <v>8</v>
      </c>
      <c r="T962" s="2" t="s">
        <v>33</v>
      </c>
      <c r="U962" s="2" t="s">
        <v>34</v>
      </c>
      <c r="V962" s="32">
        <v>51300880</v>
      </c>
      <c r="Y962" s="30">
        <f t="shared" si="28"/>
        <v>51300880</v>
      </c>
      <c r="Z962" s="41">
        <f t="shared" si="29"/>
        <v>0</v>
      </c>
    </row>
    <row r="963" spans="1:26" ht="26.25">
      <c r="A963" s="2">
        <v>961</v>
      </c>
      <c r="B963" s="2">
        <v>3677637</v>
      </c>
      <c r="C963" s="2">
        <v>52701037140033</v>
      </c>
      <c r="D963" s="2" t="s">
        <v>22</v>
      </c>
      <c r="E963" s="2">
        <v>1840595</v>
      </c>
      <c r="F963" s="2" t="s">
        <v>2008</v>
      </c>
      <c r="G963" s="3">
        <v>37648</v>
      </c>
      <c r="H963" s="2" t="s">
        <v>89</v>
      </c>
      <c r="I963" s="2" t="s">
        <v>2206</v>
      </c>
      <c r="J963" s="2" t="s">
        <v>2207</v>
      </c>
      <c r="K963" s="2" t="s">
        <v>26</v>
      </c>
      <c r="L963" s="2" t="s">
        <v>27</v>
      </c>
      <c r="M963" s="2">
        <v>5320102</v>
      </c>
      <c r="N963" s="2" t="s">
        <v>138</v>
      </c>
      <c r="O963" s="2" t="s">
        <v>225</v>
      </c>
      <c r="P963" s="2" t="s">
        <v>154</v>
      </c>
      <c r="Q963" s="5">
        <v>44471</v>
      </c>
      <c r="R963" s="2" t="s">
        <v>53</v>
      </c>
      <c r="S963" s="2">
        <v>8</v>
      </c>
      <c r="T963" s="2" t="s">
        <v>33</v>
      </c>
      <c r="U963" s="2" t="s">
        <v>34</v>
      </c>
      <c r="V963" s="32">
        <v>16031525</v>
      </c>
      <c r="W963" s="21">
        <v>8050000</v>
      </c>
      <c r="X963" s="11" t="s">
        <v>2643</v>
      </c>
      <c r="Y963" s="30">
        <f t="shared" si="28"/>
        <v>7981525</v>
      </c>
      <c r="Z963" s="41">
        <f t="shared" si="29"/>
        <v>0.50213563587993038</v>
      </c>
    </row>
    <row r="964" spans="1:26">
      <c r="A964" s="2">
        <v>962</v>
      </c>
      <c r="B964" s="2">
        <v>3575625</v>
      </c>
      <c r="C964" s="2">
        <v>52804036910013</v>
      </c>
      <c r="D964" s="2" t="s">
        <v>22</v>
      </c>
      <c r="E964" s="2">
        <v>2823033</v>
      </c>
      <c r="F964" s="2" t="s">
        <v>2008</v>
      </c>
      <c r="G964" s="3">
        <v>37739</v>
      </c>
      <c r="H964" s="2" t="s">
        <v>94</v>
      </c>
      <c r="I964" s="2" t="s">
        <v>423</v>
      </c>
      <c r="J964" s="2" t="s">
        <v>2208</v>
      </c>
      <c r="K964" s="2" t="s">
        <v>39</v>
      </c>
      <c r="L964" s="2" t="s">
        <v>27</v>
      </c>
      <c r="M964" s="2">
        <v>5340603</v>
      </c>
      <c r="N964" s="2" t="s">
        <v>174</v>
      </c>
      <c r="O964" s="2" t="s">
        <v>194</v>
      </c>
      <c r="P964" s="2" t="s">
        <v>175</v>
      </c>
      <c r="Q964" s="5">
        <v>44317</v>
      </c>
      <c r="R964" s="2" t="s">
        <v>44</v>
      </c>
      <c r="S964" s="2">
        <v>8</v>
      </c>
      <c r="T964" s="2" t="s">
        <v>33</v>
      </c>
      <c r="U964" s="2" t="s">
        <v>34</v>
      </c>
      <c r="V964" s="29" t="s">
        <v>2733</v>
      </c>
      <c r="W964" s="20">
        <v>5600000</v>
      </c>
      <c r="X964" s="2" t="s">
        <v>2677</v>
      </c>
      <c r="Y964" s="30">
        <f t="shared" ref="Y964:Y1027" si="30">V964-W964</f>
        <v>5496855.5500000007</v>
      </c>
      <c r="Z964" s="41">
        <f t="shared" ref="Z964:Z1027" si="31">W964/V964</f>
        <v>0.50464746294728502</v>
      </c>
    </row>
    <row r="965" spans="1:26" ht="26.25">
      <c r="A965" s="2">
        <v>963</v>
      </c>
      <c r="B965" s="2">
        <v>3299535</v>
      </c>
      <c r="C965" s="2">
        <v>52712037150030</v>
      </c>
      <c r="D965" s="2" t="s">
        <v>22</v>
      </c>
      <c r="E965" s="2">
        <v>3102978</v>
      </c>
      <c r="F965" s="2">
        <v>938751116</v>
      </c>
      <c r="G965" s="3">
        <v>37982</v>
      </c>
      <c r="H965" s="2" t="s">
        <v>2209</v>
      </c>
      <c r="I965" s="2" t="s">
        <v>678</v>
      </c>
      <c r="J965" s="2" t="s">
        <v>222</v>
      </c>
      <c r="K965" s="2" t="s">
        <v>39</v>
      </c>
      <c r="L965" s="2" t="s">
        <v>27</v>
      </c>
      <c r="M965" s="2">
        <v>5320102</v>
      </c>
      <c r="N965" s="2" t="s">
        <v>138</v>
      </c>
      <c r="O965" s="2" t="s">
        <v>149</v>
      </c>
      <c r="P965" s="2" t="s">
        <v>140</v>
      </c>
      <c r="Q965" s="4">
        <v>42064</v>
      </c>
      <c r="R965" s="2" t="s">
        <v>62</v>
      </c>
      <c r="S965" s="2">
        <v>8</v>
      </c>
      <c r="T965" s="2" t="s">
        <v>33</v>
      </c>
      <c r="U965" s="2" t="s">
        <v>34</v>
      </c>
      <c r="V965" s="29">
        <v>20176101</v>
      </c>
      <c r="W965" s="20">
        <v>10100000</v>
      </c>
      <c r="X965" s="2" t="s">
        <v>2676</v>
      </c>
      <c r="Y965" s="30">
        <f t="shared" si="30"/>
        <v>10076101</v>
      </c>
      <c r="Z965" s="41">
        <f t="shared" si="31"/>
        <v>0.50059226012003011</v>
      </c>
    </row>
    <row r="966" spans="1:26">
      <c r="A966" s="2">
        <v>964</v>
      </c>
      <c r="B966" s="2">
        <v>2395003</v>
      </c>
      <c r="C966" s="2">
        <v>51806016770036</v>
      </c>
      <c r="D966" s="2" t="s">
        <v>45</v>
      </c>
      <c r="E966" s="2">
        <v>7018919</v>
      </c>
      <c r="F966" s="2" t="s">
        <v>2008</v>
      </c>
      <c r="G966" s="3">
        <v>37060</v>
      </c>
      <c r="H966" s="2" t="s">
        <v>504</v>
      </c>
      <c r="I966" s="2" t="s">
        <v>2210</v>
      </c>
      <c r="J966" s="2" t="s">
        <v>2014</v>
      </c>
      <c r="K966" s="2" t="s">
        <v>26</v>
      </c>
      <c r="L966" s="2" t="s">
        <v>27</v>
      </c>
      <c r="M966" s="2">
        <v>5620101</v>
      </c>
      <c r="N966" s="2" t="s">
        <v>49</v>
      </c>
      <c r="O966" s="2" t="s">
        <v>211</v>
      </c>
      <c r="P966" s="2" t="s">
        <v>51</v>
      </c>
      <c r="Q966" s="2" t="s">
        <v>2211</v>
      </c>
      <c r="R966" s="2" t="s">
        <v>53</v>
      </c>
      <c r="S966" s="2">
        <v>8</v>
      </c>
      <c r="T966" s="2" t="s">
        <v>33</v>
      </c>
      <c r="U966" s="2" t="s">
        <v>34</v>
      </c>
      <c r="V966" s="32">
        <v>113471040</v>
      </c>
      <c r="Y966" s="30">
        <f t="shared" si="30"/>
        <v>113471040</v>
      </c>
      <c r="Z966" s="41">
        <f t="shared" si="31"/>
        <v>0</v>
      </c>
    </row>
    <row r="967" spans="1:26" ht="15.75">
      <c r="A967" s="2">
        <v>965</v>
      </c>
      <c r="B967" s="2">
        <v>3560282</v>
      </c>
      <c r="C967" s="2">
        <v>51810036670021</v>
      </c>
      <c r="D967" s="2" t="s">
        <v>22</v>
      </c>
      <c r="E967" s="2">
        <v>2389556</v>
      </c>
      <c r="F967" s="2" t="s">
        <v>2008</v>
      </c>
      <c r="G967" s="3">
        <v>37912</v>
      </c>
      <c r="H967" s="2" t="s">
        <v>2212</v>
      </c>
      <c r="I967" s="2" t="s">
        <v>2213</v>
      </c>
      <c r="J967" s="2" t="s">
        <v>1440</v>
      </c>
      <c r="K967" s="2" t="s">
        <v>39</v>
      </c>
      <c r="L967" s="2" t="s">
        <v>57</v>
      </c>
      <c r="M967" s="2">
        <v>5314000</v>
      </c>
      <c r="N967" s="2" t="s">
        <v>522</v>
      </c>
      <c r="O967" s="2" t="s">
        <v>155</v>
      </c>
      <c r="P967" s="2" t="s">
        <v>149</v>
      </c>
      <c r="Q967" s="5">
        <v>44317</v>
      </c>
      <c r="R967" s="2" t="s">
        <v>62</v>
      </c>
      <c r="S967" s="2">
        <v>8</v>
      </c>
      <c r="T967" s="2" t="s">
        <v>33</v>
      </c>
      <c r="U967" s="2" t="s">
        <v>34</v>
      </c>
      <c r="V967" s="32">
        <v>11208945</v>
      </c>
      <c r="W967" s="21">
        <v>5604472.5</v>
      </c>
      <c r="X967" s="11" t="s">
        <v>2624</v>
      </c>
      <c r="Y967" s="30">
        <f t="shared" si="30"/>
        <v>5604472.5</v>
      </c>
      <c r="Z967" s="41">
        <f t="shared" si="31"/>
        <v>0.5</v>
      </c>
    </row>
    <row r="968" spans="1:26" ht="26.25">
      <c r="A968" s="2">
        <v>966</v>
      </c>
      <c r="B968" s="2">
        <v>3329550</v>
      </c>
      <c r="C968" s="2">
        <v>60907026780038</v>
      </c>
      <c r="D968" s="2" t="s">
        <v>22</v>
      </c>
      <c r="E968" s="2">
        <v>1534438</v>
      </c>
      <c r="F968" s="2" t="s">
        <v>2008</v>
      </c>
      <c r="G968" s="3">
        <v>37446</v>
      </c>
      <c r="H968" s="2" t="s">
        <v>2214</v>
      </c>
      <c r="I968" s="2" t="s">
        <v>2215</v>
      </c>
      <c r="J968" s="2" t="s">
        <v>2216</v>
      </c>
      <c r="K968" s="2" t="s">
        <v>39</v>
      </c>
      <c r="L968" s="2" t="s">
        <v>27</v>
      </c>
      <c r="M968" s="2">
        <v>5330202</v>
      </c>
      <c r="N968" s="2" t="s">
        <v>164</v>
      </c>
      <c r="O968" s="2" t="s">
        <v>420</v>
      </c>
      <c r="P968" s="2" t="s">
        <v>123</v>
      </c>
      <c r="Q968" s="2" t="s">
        <v>578</v>
      </c>
      <c r="R968" s="2" t="s">
        <v>44</v>
      </c>
      <c r="S968" s="2">
        <v>10</v>
      </c>
      <c r="T968" s="2" t="s">
        <v>33</v>
      </c>
      <c r="U968" s="2" t="s">
        <v>34</v>
      </c>
      <c r="V968" s="32">
        <v>164397860</v>
      </c>
      <c r="Y968" s="30">
        <f t="shared" si="30"/>
        <v>164397860</v>
      </c>
      <c r="Z968" s="41">
        <f t="shared" si="31"/>
        <v>0</v>
      </c>
    </row>
    <row r="969" spans="1:26" ht="26.25">
      <c r="A969" s="2">
        <v>967</v>
      </c>
      <c r="B969" s="2">
        <v>2167511</v>
      </c>
      <c r="C969" s="2">
        <v>51808018660030</v>
      </c>
      <c r="D969" s="2" t="s">
        <v>45</v>
      </c>
      <c r="E969" s="2">
        <v>7775197</v>
      </c>
      <c r="F969" s="2" t="s">
        <v>2008</v>
      </c>
      <c r="G969" s="3">
        <v>37121</v>
      </c>
      <c r="H969" s="2" t="s">
        <v>1604</v>
      </c>
      <c r="I969" s="2" t="s">
        <v>1931</v>
      </c>
      <c r="J969" s="2" t="s">
        <v>2217</v>
      </c>
      <c r="K969" s="2" t="s">
        <v>39</v>
      </c>
      <c r="L969" s="2" t="s">
        <v>57</v>
      </c>
      <c r="M969" s="2">
        <v>5310701</v>
      </c>
      <c r="N969" s="2" t="s">
        <v>118</v>
      </c>
      <c r="O969" s="2" t="s">
        <v>41</v>
      </c>
      <c r="P969" s="2" t="s">
        <v>207</v>
      </c>
      <c r="Q969" s="4">
        <v>43922</v>
      </c>
      <c r="R969" s="2" t="s">
        <v>62</v>
      </c>
      <c r="S969" s="2">
        <v>8</v>
      </c>
      <c r="T969" s="2" t="s">
        <v>33</v>
      </c>
      <c r="U969" s="2" t="s">
        <v>34</v>
      </c>
      <c r="V969" s="32">
        <v>59781040</v>
      </c>
      <c r="Y969" s="30">
        <f t="shared" si="30"/>
        <v>59781040</v>
      </c>
      <c r="Z969" s="41">
        <f t="shared" si="31"/>
        <v>0</v>
      </c>
    </row>
    <row r="970" spans="1:26" ht="39">
      <c r="A970" s="2">
        <v>968</v>
      </c>
      <c r="B970" s="2">
        <v>3491608</v>
      </c>
      <c r="C970" s="2">
        <v>53010036070016</v>
      </c>
      <c r="D970" s="2" t="s">
        <v>22</v>
      </c>
      <c r="E970" s="2">
        <v>2381397</v>
      </c>
      <c r="F970" s="2" t="s">
        <v>2008</v>
      </c>
      <c r="G970" s="3">
        <v>37924</v>
      </c>
      <c r="H970" s="2" t="s">
        <v>685</v>
      </c>
      <c r="I970" s="2" t="s">
        <v>1137</v>
      </c>
      <c r="J970" s="2" t="s">
        <v>2218</v>
      </c>
      <c r="K970" s="2" t="s">
        <v>39</v>
      </c>
      <c r="L970" s="2" t="s">
        <v>27</v>
      </c>
      <c r="M970" s="2">
        <v>5340401</v>
      </c>
      <c r="N970" s="2" t="s">
        <v>349</v>
      </c>
      <c r="O970" s="2" t="s">
        <v>140</v>
      </c>
      <c r="P970" s="2" t="s">
        <v>350</v>
      </c>
      <c r="Q970" s="5">
        <v>44471</v>
      </c>
      <c r="R970" s="2" t="s">
        <v>44</v>
      </c>
      <c r="S970" s="2">
        <v>8</v>
      </c>
      <c r="T970" s="2" t="s">
        <v>33</v>
      </c>
      <c r="U970" s="2" t="s">
        <v>34</v>
      </c>
      <c r="V970" s="32" t="s">
        <v>2726</v>
      </c>
      <c r="W970" s="21">
        <v>10300000</v>
      </c>
      <c r="X970" s="11" t="s">
        <v>2627</v>
      </c>
      <c r="Y970" s="30">
        <f t="shared" si="30"/>
        <v>10249732.5</v>
      </c>
      <c r="Z970" s="41">
        <f t="shared" si="31"/>
        <v>0.5012230694487142</v>
      </c>
    </row>
    <row r="971" spans="1:26" ht="26.25">
      <c r="A971" s="2">
        <v>969</v>
      </c>
      <c r="B971" s="2">
        <v>2022233</v>
      </c>
      <c r="C971" s="2">
        <v>52908016950027</v>
      </c>
      <c r="D971" s="2" t="s">
        <v>45</v>
      </c>
      <c r="E971" s="2">
        <v>7757744</v>
      </c>
      <c r="F971" s="2" t="s">
        <v>2008</v>
      </c>
      <c r="G971" s="3">
        <v>37132</v>
      </c>
      <c r="H971" s="2" t="s">
        <v>900</v>
      </c>
      <c r="I971" s="2" t="s">
        <v>2219</v>
      </c>
      <c r="J971" s="2" t="s">
        <v>2220</v>
      </c>
      <c r="K971" s="2" t="s">
        <v>26</v>
      </c>
      <c r="L971" s="2" t="s">
        <v>27</v>
      </c>
      <c r="M971" s="2">
        <v>5320102</v>
      </c>
      <c r="N971" s="2" t="s">
        <v>138</v>
      </c>
      <c r="O971" s="2" t="s">
        <v>211</v>
      </c>
      <c r="P971" s="2" t="s">
        <v>154</v>
      </c>
      <c r="Q971" s="2" t="s">
        <v>43</v>
      </c>
      <c r="R971" s="2" t="s">
        <v>53</v>
      </c>
      <c r="S971" s="2">
        <v>8</v>
      </c>
      <c r="T971" s="2" t="s">
        <v>33</v>
      </c>
      <c r="U971" s="2" t="s">
        <v>34</v>
      </c>
      <c r="V971" s="32">
        <v>102601760</v>
      </c>
      <c r="Y971" s="30">
        <f t="shared" si="30"/>
        <v>102601760</v>
      </c>
      <c r="Z971" s="41">
        <f t="shared" si="31"/>
        <v>0</v>
      </c>
    </row>
    <row r="972" spans="1:26" ht="26.25">
      <c r="A972" s="2">
        <v>970</v>
      </c>
      <c r="B972" s="2">
        <v>3286269</v>
      </c>
      <c r="C972" s="2">
        <v>52911036370018</v>
      </c>
      <c r="D972" s="2" t="s">
        <v>74</v>
      </c>
      <c r="E972" s="2">
        <v>258745</v>
      </c>
      <c r="F972" s="2" t="s">
        <v>2008</v>
      </c>
      <c r="G972" s="3">
        <v>37954</v>
      </c>
      <c r="H972" s="2" t="s">
        <v>422</v>
      </c>
      <c r="I972" s="2" t="s">
        <v>892</v>
      </c>
      <c r="J972" s="2" t="s">
        <v>2221</v>
      </c>
      <c r="K972" s="2" t="s">
        <v>26</v>
      </c>
      <c r="L972" s="2" t="s">
        <v>27</v>
      </c>
      <c r="M972" s="2">
        <v>5320301</v>
      </c>
      <c r="N972" s="2" t="s">
        <v>1018</v>
      </c>
      <c r="O972" s="2" t="s">
        <v>350</v>
      </c>
      <c r="P972" s="2" t="s">
        <v>73</v>
      </c>
      <c r="Q972" s="5">
        <v>44471</v>
      </c>
      <c r="R972" s="2" t="s">
        <v>53</v>
      </c>
      <c r="S972" s="2">
        <v>8</v>
      </c>
      <c r="T972" s="2" t="s">
        <v>33</v>
      </c>
      <c r="U972" s="2" t="s">
        <v>34</v>
      </c>
      <c r="V972" s="32">
        <v>16031525</v>
      </c>
      <c r="W972" s="21">
        <f>8032000+8000000</f>
        <v>16032000</v>
      </c>
      <c r="X972" s="12" t="s">
        <v>2834</v>
      </c>
      <c r="Y972" s="30">
        <f t="shared" si="30"/>
        <v>-475</v>
      </c>
      <c r="Z972" s="41">
        <f t="shared" si="31"/>
        <v>1.0000296291213717</v>
      </c>
    </row>
    <row r="973" spans="1:26" ht="39">
      <c r="A973" s="2">
        <v>971</v>
      </c>
      <c r="B973" s="2">
        <v>3317710</v>
      </c>
      <c r="C973" s="2">
        <v>51901048660031</v>
      </c>
      <c r="D973" s="2" t="s">
        <v>22</v>
      </c>
      <c r="E973" s="2">
        <v>2969320</v>
      </c>
      <c r="F973" s="2" t="s">
        <v>2008</v>
      </c>
      <c r="G973" s="3">
        <v>38005</v>
      </c>
      <c r="H973" s="2" t="s">
        <v>466</v>
      </c>
      <c r="I973" s="2" t="s">
        <v>1715</v>
      </c>
      <c r="J973" s="2" t="s">
        <v>2222</v>
      </c>
      <c r="K973" s="2" t="s">
        <v>26</v>
      </c>
      <c r="L973" s="2" t="s">
        <v>27</v>
      </c>
      <c r="M973" s="2">
        <v>5320200</v>
      </c>
      <c r="N973" s="2" t="s">
        <v>66</v>
      </c>
      <c r="O973" s="2" t="s">
        <v>179</v>
      </c>
      <c r="P973" s="2" t="s">
        <v>1012</v>
      </c>
      <c r="Q973" s="2" t="s">
        <v>578</v>
      </c>
      <c r="R973" s="2" t="s">
        <v>53</v>
      </c>
      <c r="S973" s="2">
        <v>8</v>
      </c>
      <c r="T973" s="2" t="s">
        <v>33</v>
      </c>
      <c r="U973" s="2" t="s">
        <v>34</v>
      </c>
      <c r="V973" s="32">
        <v>51300880</v>
      </c>
      <c r="Y973" s="30">
        <f t="shared" si="30"/>
        <v>51300880</v>
      </c>
      <c r="Z973" s="41">
        <f t="shared" si="31"/>
        <v>0</v>
      </c>
    </row>
    <row r="974" spans="1:26">
      <c r="A974" s="2">
        <v>972</v>
      </c>
      <c r="B974" s="2">
        <v>3360410</v>
      </c>
      <c r="C974" s="2">
        <v>53005036900014</v>
      </c>
      <c r="D974" s="2" t="s">
        <v>22</v>
      </c>
      <c r="E974" s="2">
        <v>2989084</v>
      </c>
      <c r="F974" s="2">
        <v>913982324</v>
      </c>
      <c r="G974" s="3">
        <v>37771</v>
      </c>
      <c r="H974" s="2" t="s">
        <v>2223</v>
      </c>
      <c r="I974" s="2" t="s">
        <v>2224</v>
      </c>
      <c r="J974" s="2" t="s">
        <v>807</v>
      </c>
      <c r="K974" s="2" t="s">
        <v>26</v>
      </c>
      <c r="L974" s="2" t="s">
        <v>27</v>
      </c>
      <c r="M974" s="2">
        <v>5620400</v>
      </c>
      <c r="N974" s="2" t="s">
        <v>103</v>
      </c>
      <c r="O974" s="2" t="s">
        <v>433</v>
      </c>
      <c r="P974" s="2" t="s">
        <v>105</v>
      </c>
      <c r="Q974" s="2" t="s">
        <v>88</v>
      </c>
      <c r="R974" s="2" t="s">
        <v>53</v>
      </c>
      <c r="S974" s="2">
        <v>8</v>
      </c>
      <c r="T974" s="2" t="s">
        <v>33</v>
      </c>
      <c r="U974" s="2" t="s">
        <v>34</v>
      </c>
      <c r="V974" s="32">
        <v>102601760</v>
      </c>
      <c r="Y974" s="30">
        <f t="shared" si="30"/>
        <v>102601760</v>
      </c>
      <c r="Z974" s="41">
        <f t="shared" si="31"/>
        <v>0</v>
      </c>
    </row>
    <row r="975" spans="1:26" ht="15.75">
      <c r="A975" s="2">
        <v>973</v>
      </c>
      <c r="B975" s="2">
        <v>3311175</v>
      </c>
      <c r="C975" s="2">
        <v>53006036530014</v>
      </c>
      <c r="D975" s="2" t="s">
        <v>22</v>
      </c>
      <c r="E975" s="2">
        <v>2041760</v>
      </c>
      <c r="F975" s="2" t="s">
        <v>2008</v>
      </c>
      <c r="G975" s="3">
        <v>37802</v>
      </c>
      <c r="H975" s="2" t="s">
        <v>2225</v>
      </c>
      <c r="I975" s="2" t="s">
        <v>2226</v>
      </c>
      <c r="J975" s="2" t="s">
        <v>2227</v>
      </c>
      <c r="K975" s="2" t="s">
        <v>26</v>
      </c>
      <c r="L975" s="2" t="s">
        <v>57</v>
      </c>
      <c r="M975" s="2">
        <v>5310202</v>
      </c>
      <c r="N975" s="2" t="s">
        <v>86</v>
      </c>
      <c r="O975" s="2" t="s">
        <v>122</v>
      </c>
      <c r="P975" s="2" t="s">
        <v>88</v>
      </c>
      <c r="Q975" s="5">
        <v>44471</v>
      </c>
      <c r="R975" s="2" t="s">
        <v>53</v>
      </c>
      <c r="S975" s="2">
        <v>8</v>
      </c>
      <c r="T975" s="2" t="s">
        <v>33</v>
      </c>
      <c r="U975" s="2" t="s">
        <v>34</v>
      </c>
      <c r="V975" s="32">
        <v>16031525</v>
      </c>
      <c r="W975" s="21">
        <v>8031525</v>
      </c>
      <c r="X975" s="10" t="s">
        <v>2648</v>
      </c>
      <c r="Y975" s="30">
        <f t="shared" si="30"/>
        <v>8000000</v>
      </c>
      <c r="Z975" s="41">
        <f t="shared" si="31"/>
        <v>0.50098321900131149</v>
      </c>
    </row>
    <row r="976" spans="1:26" ht="26.25">
      <c r="A976" s="2">
        <v>974</v>
      </c>
      <c r="B976" s="2">
        <v>3496452</v>
      </c>
      <c r="C976" s="2">
        <v>51812035310036</v>
      </c>
      <c r="D976" s="2" t="s">
        <v>74</v>
      </c>
      <c r="E976" s="2">
        <v>125404</v>
      </c>
      <c r="F976" s="2">
        <v>946635952</v>
      </c>
      <c r="G976" s="3">
        <v>37973</v>
      </c>
      <c r="H976" s="2" t="s">
        <v>2228</v>
      </c>
      <c r="I976" s="2" t="s">
        <v>2229</v>
      </c>
      <c r="J976" s="2" t="s">
        <v>1533</v>
      </c>
      <c r="K976" s="2" t="s">
        <v>26</v>
      </c>
      <c r="L976" s="2" t="s">
        <v>27</v>
      </c>
      <c r="M976" s="2">
        <v>5340608</v>
      </c>
      <c r="N976" s="2" t="s">
        <v>917</v>
      </c>
      <c r="O976" s="2" t="s">
        <v>87</v>
      </c>
      <c r="P976" s="2" t="s">
        <v>122</v>
      </c>
      <c r="Q976" s="5">
        <v>44317</v>
      </c>
      <c r="R976" s="2" t="s">
        <v>93</v>
      </c>
      <c r="S976" s="2">
        <v>8</v>
      </c>
      <c r="T976" s="2" t="s">
        <v>33</v>
      </c>
      <c r="U976" s="2" t="s">
        <v>34</v>
      </c>
      <c r="V976" s="32">
        <v>10637910</v>
      </c>
      <c r="Y976" s="30">
        <f t="shared" si="30"/>
        <v>10637910</v>
      </c>
      <c r="Z976" s="41">
        <f t="shared" si="31"/>
        <v>0</v>
      </c>
    </row>
    <row r="977" spans="1:26" ht="26.25">
      <c r="A977" s="2">
        <v>975</v>
      </c>
      <c r="B977" s="2">
        <v>3658095</v>
      </c>
      <c r="C977" s="2">
        <v>52810036800010</v>
      </c>
      <c r="D977" s="2" t="s">
        <v>22</v>
      </c>
      <c r="E977" s="2">
        <v>2458207</v>
      </c>
      <c r="F977" s="2" t="s">
        <v>2008</v>
      </c>
      <c r="G977" s="3">
        <v>37922</v>
      </c>
      <c r="H977" s="2" t="s">
        <v>2230</v>
      </c>
      <c r="I977" s="2" t="s">
        <v>2021</v>
      </c>
      <c r="J977" s="2" t="s">
        <v>687</v>
      </c>
      <c r="K977" s="2" t="s">
        <v>26</v>
      </c>
      <c r="L977" s="2" t="s">
        <v>57</v>
      </c>
      <c r="M977" s="2">
        <v>5340202</v>
      </c>
      <c r="N977" s="2" t="s">
        <v>499</v>
      </c>
      <c r="O977" s="2" t="s">
        <v>1638</v>
      </c>
      <c r="P977" s="2" t="s">
        <v>224</v>
      </c>
      <c r="Q977" s="4">
        <v>42064</v>
      </c>
      <c r="R977" s="2" t="s">
        <v>93</v>
      </c>
      <c r="S977" s="2">
        <v>8</v>
      </c>
      <c r="T977" s="2" t="s">
        <v>33</v>
      </c>
      <c r="U977" s="2" t="s">
        <v>34</v>
      </c>
      <c r="V977" s="32">
        <v>21275820</v>
      </c>
      <c r="Y977" s="30">
        <f t="shared" si="30"/>
        <v>21275820</v>
      </c>
      <c r="Z977" s="41">
        <f t="shared" si="31"/>
        <v>0</v>
      </c>
    </row>
    <row r="978" spans="1:26" ht="26.25">
      <c r="A978" s="2">
        <v>976</v>
      </c>
      <c r="B978" s="2">
        <v>3595770</v>
      </c>
      <c r="C978" s="2">
        <v>60101046720027</v>
      </c>
      <c r="D978" s="2" t="s">
        <v>22</v>
      </c>
      <c r="E978" s="2">
        <v>2633399</v>
      </c>
      <c r="F978" s="2">
        <v>998704584</v>
      </c>
      <c r="G978" s="3">
        <v>37987</v>
      </c>
      <c r="H978" s="2" t="s">
        <v>1251</v>
      </c>
      <c r="I978" s="2" t="s">
        <v>2231</v>
      </c>
      <c r="J978" s="2" t="s">
        <v>366</v>
      </c>
      <c r="K978" s="2" t="s">
        <v>26</v>
      </c>
      <c r="L978" s="2" t="s">
        <v>27</v>
      </c>
      <c r="M978" s="2">
        <v>5340609</v>
      </c>
      <c r="N978" s="2" t="s">
        <v>861</v>
      </c>
      <c r="O978" s="2" t="s">
        <v>139</v>
      </c>
      <c r="P978" s="2" t="s">
        <v>149</v>
      </c>
      <c r="Q978" s="5">
        <v>44471</v>
      </c>
      <c r="R978" s="2" t="s">
        <v>93</v>
      </c>
      <c r="S978" s="2">
        <v>8</v>
      </c>
      <c r="T978" s="2" t="s">
        <v>33</v>
      </c>
      <c r="U978" s="2" t="s">
        <v>34</v>
      </c>
      <c r="V978" s="32">
        <v>17729850</v>
      </c>
      <c r="Y978" s="30">
        <f t="shared" si="30"/>
        <v>17729850</v>
      </c>
      <c r="Z978" s="41">
        <f t="shared" si="31"/>
        <v>0</v>
      </c>
    </row>
    <row r="979" spans="1:26">
      <c r="A979" s="2">
        <v>977</v>
      </c>
      <c r="B979" s="2">
        <v>2472993</v>
      </c>
      <c r="C979" s="2">
        <v>52001038660021</v>
      </c>
      <c r="D979" s="2" t="s">
        <v>22</v>
      </c>
      <c r="E979" s="2">
        <v>1615419</v>
      </c>
      <c r="F979" s="2" t="s">
        <v>2008</v>
      </c>
      <c r="G979" s="3">
        <v>37641</v>
      </c>
      <c r="H979" s="2" t="s">
        <v>1949</v>
      </c>
      <c r="I979" s="2" t="s">
        <v>2232</v>
      </c>
      <c r="J979" s="2" t="s">
        <v>102</v>
      </c>
      <c r="K979" s="2" t="s">
        <v>39</v>
      </c>
      <c r="L979" s="2" t="s">
        <v>57</v>
      </c>
      <c r="M979" s="2">
        <v>5310400</v>
      </c>
      <c r="N979" s="2" t="s">
        <v>232</v>
      </c>
      <c r="O979" s="2" t="s">
        <v>122</v>
      </c>
      <c r="P979" s="2" t="s">
        <v>139</v>
      </c>
      <c r="Q979" s="4">
        <v>14824</v>
      </c>
      <c r="R979" s="2" t="s">
        <v>62</v>
      </c>
      <c r="S979" s="2">
        <v>8</v>
      </c>
      <c r="T979" s="2" t="s">
        <v>33</v>
      </c>
      <c r="U979" s="2" t="s">
        <v>34</v>
      </c>
      <c r="V979" s="32">
        <v>59781040</v>
      </c>
      <c r="Y979" s="30">
        <f t="shared" si="30"/>
        <v>59781040</v>
      </c>
      <c r="Z979" s="41">
        <f t="shared" si="31"/>
        <v>0</v>
      </c>
    </row>
    <row r="980" spans="1:26" ht="26.25">
      <c r="A980" s="2">
        <v>978</v>
      </c>
      <c r="B980" s="2">
        <v>3443232</v>
      </c>
      <c r="C980" s="2">
        <v>52002047350035</v>
      </c>
      <c r="D980" s="2" t="s">
        <v>74</v>
      </c>
      <c r="E980" s="2">
        <v>196258</v>
      </c>
      <c r="F980" s="2">
        <v>882411314</v>
      </c>
      <c r="G980" s="3">
        <v>38037</v>
      </c>
      <c r="H980" s="2" t="s">
        <v>94</v>
      </c>
      <c r="I980" s="2" t="s">
        <v>2233</v>
      </c>
      <c r="J980" s="2" t="s">
        <v>840</v>
      </c>
      <c r="K980" s="2" t="s">
        <v>39</v>
      </c>
      <c r="L980" s="2" t="s">
        <v>27</v>
      </c>
      <c r="M980" s="2">
        <v>5340202</v>
      </c>
      <c r="N980" s="2" t="s">
        <v>499</v>
      </c>
      <c r="O980" s="2" t="s">
        <v>73</v>
      </c>
      <c r="P980" s="2" t="s">
        <v>490</v>
      </c>
      <c r="Q980" s="2" t="s">
        <v>775</v>
      </c>
      <c r="R980" s="2" t="s">
        <v>44</v>
      </c>
      <c r="S980" s="2">
        <v>8</v>
      </c>
      <c r="T980" s="2" t="s">
        <v>33</v>
      </c>
      <c r="U980" s="2" t="s">
        <v>34</v>
      </c>
      <c r="V980" s="32">
        <v>65759144</v>
      </c>
      <c r="Y980" s="30">
        <f t="shared" si="30"/>
        <v>65759144</v>
      </c>
      <c r="Z980" s="41">
        <f t="shared" si="31"/>
        <v>0</v>
      </c>
    </row>
    <row r="981" spans="1:26" ht="39">
      <c r="A981" s="2">
        <v>979</v>
      </c>
      <c r="B981" s="2">
        <v>2003644</v>
      </c>
      <c r="C981" s="2">
        <v>51907006070012</v>
      </c>
      <c r="D981" s="2" t="s">
        <v>45</v>
      </c>
      <c r="E981" s="2">
        <v>5183131</v>
      </c>
      <c r="F981" s="2" t="s">
        <v>2008</v>
      </c>
      <c r="G981" s="3">
        <v>36726</v>
      </c>
      <c r="H981" s="2" t="s">
        <v>2234</v>
      </c>
      <c r="I981" s="2" t="s">
        <v>891</v>
      </c>
      <c r="J981" s="2" t="s">
        <v>222</v>
      </c>
      <c r="K981" s="2" t="s">
        <v>39</v>
      </c>
      <c r="L981" s="2" t="s">
        <v>27</v>
      </c>
      <c r="M981" s="2">
        <v>5340401</v>
      </c>
      <c r="N981" s="2" t="s">
        <v>349</v>
      </c>
      <c r="O981" s="2" t="s">
        <v>67</v>
      </c>
      <c r="P981" s="2" t="s">
        <v>350</v>
      </c>
      <c r="Q981" s="5">
        <v>44317</v>
      </c>
      <c r="R981" s="2" t="s">
        <v>44</v>
      </c>
      <c r="S981" s="2">
        <v>8</v>
      </c>
      <c r="T981" s="2" t="s">
        <v>33</v>
      </c>
      <c r="U981" s="2" t="s">
        <v>34</v>
      </c>
      <c r="V981" s="32" t="s">
        <v>2724</v>
      </c>
      <c r="W981" s="21">
        <v>16439786</v>
      </c>
      <c r="X981" s="10" t="s">
        <v>2651</v>
      </c>
      <c r="Y981" s="30">
        <f t="shared" si="30"/>
        <v>-4109946.5</v>
      </c>
      <c r="Z981" s="41">
        <f t="shared" si="31"/>
        <v>1.3333333333333333</v>
      </c>
    </row>
    <row r="982" spans="1:26" ht="39">
      <c r="A982" s="2">
        <v>980</v>
      </c>
      <c r="B982" s="2">
        <v>3298753</v>
      </c>
      <c r="C982" s="2">
        <v>51909037310044</v>
      </c>
      <c r="D982" s="2" t="s">
        <v>74</v>
      </c>
      <c r="E982" s="2">
        <v>151414</v>
      </c>
      <c r="F982" s="2">
        <v>931832050</v>
      </c>
      <c r="G982" s="3">
        <v>37883</v>
      </c>
      <c r="H982" s="2" t="s">
        <v>2235</v>
      </c>
      <c r="I982" s="2" t="s">
        <v>2236</v>
      </c>
      <c r="J982" s="2" t="s">
        <v>2237</v>
      </c>
      <c r="K982" s="2" t="s">
        <v>26</v>
      </c>
      <c r="L982" s="2" t="s">
        <v>27</v>
      </c>
      <c r="M982" s="2">
        <v>5320200</v>
      </c>
      <c r="N982" s="2" t="s">
        <v>66</v>
      </c>
      <c r="O982" s="2" t="s">
        <v>439</v>
      </c>
      <c r="P982" s="2" t="s">
        <v>1012</v>
      </c>
      <c r="Q982" s="2" t="s">
        <v>31</v>
      </c>
      <c r="R982" s="2" t="s">
        <v>53</v>
      </c>
      <c r="S982" s="2">
        <v>8</v>
      </c>
      <c r="T982" s="2" t="s">
        <v>33</v>
      </c>
      <c r="U982" s="2" t="s">
        <v>34</v>
      </c>
      <c r="V982" s="32">
        <v>102601760</v>
      </c>
      <c r="Y982" s="30">
        <f t="shared" si="30"/>
        <v>102601760</v>
      </c>
      <c r="Z982" s="41">
        <f t="shared" si="31"/>
        <v>0</v>
      </c>
    </row>
    <row r="983" spans="1:26">
      <c r="A983" s="2">
        <v>981</v>
      </c>
      <c r="B983" s="2">
        <v>1272705</v>
      </c>
      <c r="C983" s="2">
        <v>61604016750017</v>
      </c>
      <c r="D983" s="2" t="s">
        <v>45</v>
      </c>
      <c r="E983" s="2">
        <v>6617809</v>
      </c>
      <c r="F983" s="2" t="s">
        <v>2008</v>
      </c>
      <c r="G983" s="3">
        <v>36997</v>
      </c>
      <c r="H983" s="2" t="s">
        <v>2238</v>
      </c>
      <c r="I983" s="2" t="s">
        <v>2239</v>
      </c>
      <c r="J983" s="2" t="s">
        <v>1998</v>
      </c>
      <c r="K983" s="2" t="s">
        <v>26</v>
      </c>
      <c r="L983" s="2" t="s">
        <v>27</v>
      </c>
      <c r="M983" s="2">
        <v>5230105</v>
      </c>
      <c r="N983" s="2" t="s">
        <v>407</v>
      </c>
      <c r="O983" s="2" t="s">
        <v>154</v>
      </c>
      <c r="P983" s="2" t="s">
        <v>408</v>
      </c>
      <c r="Q983" s="2" t="s">
        <v>61</v>
      </c>
      <c r="R983" s="2" t="s">
        <v>134</v>
      </c>
      <c r="S983" s="2">
        <v>10</v>
      </c>
      <c r="T983" s="2" t="s">
        <v>33</v>
      </c>
      <c r="U983" s="2" t="s">
        <v>34</v>
      </c>
      <c r="V983" s="32">
        <v>91299300</v>
      </c>
      <c r="Y983" s="30">
        <f t="shared" si="30"/>
        <v>91299300</v>
      </c>
      <c r="Z983" s="41">
        <f t="shared" si="31"/>
        <v>0</v>
      </c>
    </row>
    <row r="984" spans="1:26">
      <c r="A984" s="2">
        <v>982</v>
      </c>
      <c r="B984" s="2">
        <v>3708228</v>
      </c>
      <c r="C984" s="2">
        <v>53107036640016</v>
      </c>
      <c r="D984" s="2" t="s">
        <v>22</v>
      </c>
      <c r="E984" s="2">
        <v>2261807</v>
      </c>
      <c r="F984" s="2" t="s">
        <v>2008</v>
      </c>
      <c r="G984" s="3">
        <v>37833</v>
      </c>
      <c r="H984" s="2" t="s">
        <v>531</v>
      </c>
      <c r="I984" s="2" t="s">
        <v>1500</v>
      </c>
      <c r="J984" s="2" t="s">
        <v>1255</v>
      </c>
      <c r="K984" s="2" t="s">
        <v>39</v>
      </c>
      <c r="L984" s="2" t="s">
        <v>57</v>
      </c>
      <c r="M984" s="2">
        <v>5310606</v>
      </c>
      <c r="N984" s="2" t="s">
        <v>72</v>
      </c>
      <c r="O984" s="2">
        <v>63</v>
      </c>
      <c r="P984" s="2" t="s">
        <v>225</v>
      </c>
      <c r="Q984" s="4">
        <v>42064</v>
      </c>
      <c r="R984" s="2" t="s">
        <v>62</v>
      </c>
      <c r="S984" s="2">
        <v>8</v>
      </c>
      <c r="T984" s="2" t="s">
        <v>33</v>
      </c>
      <c r="U984" s="2" t="s">
        <v>34</v>
      </c>
      <c r="V984" s="32">
        <v>22417890</v>
      </c>
      <c r="Y984" s="30">
        <f t="shared" si="30"/>
        <v>22417890</v>
      </c>
      <c r="Z984" s="41">
        <f t="shared" si="31"/>
        <v>0</v>
      </c>
    </row>
    <row r="985" spans="1:26" ht="39">
      <c r="A985" s="2">
        <v>983</v>
      </c>
      <c r="B985" s="2">
        <v>1254403</v>
      </c>
      <c r="C985" s="2">
        <v>31106995460013</v>
      </c>
      <c r="D985" s="2" t="s">
        <v>45</v>
      </c>
      <c r="E985" s="2">
        <v>5240283</v>
      </c>
      <c r="F985" s="2">
        <v>971290699</v>
      </c>
      <c r="G985" s="3">
        <v>36322</v>
      </c>
      <c r="H985" s="2" t="s">
        <v>2240</v>
      </c>
      <c r="I985" s="2" t="s">
        <v>2241</v>
      </c>
      <c r="J985" s="2" t="s">
        <v>2242</v>
      </c>
      <c r="K985" s="2" t="s">
        <v>26</v>
      </c>
      <c r="L985" s="2" t="s">
        <v>27</v>
      </c>
      <c r="M985" s="2">
        <v>5320200</v>
      </c>
      <c r="N985" s="2" t="s">
        <v>66</v>
      </c>
      <c r="O985" s="2" t="s">
        <v>179</v>
      </c>
      <c r="P985" s="2" t="s">
        <v>1012</v>
      </c>
      <c r="Q985" s="2" t="s">
        <v>578</v>
      </c>
      <c r="R985" s="2" t="s">
        <v>53</v>
      </c>
      <c r="S985" s="2">
        <v>8</v>
      </c>
      <c r="T985" s="2" t="s">
        <v>33</v>
      </c>
      <c r="U985" s="2" t="s">
        <v>34</v>
      </c>
      <c r="V985" s="32">
        <v>51300880</v>
      </c>
      <c r="Y985" s="30">
        <f t="shared" si="30"/>
        <v>51300880</v>
      </c>
      <c r="Z985" s="41">
        <f t="shared" si="31"/>
        <v>0</v>
      </c>
    </row>
    <row r="986" spans="1:26" ht="15.75">
      <c r="A986" s="2">
        <v>984</v>
      </c>
      <c r="B986" s="2">
        <v>2719267</v>
      </c>
      <c r="C986" s="2">
        <v>50912015680018</v>
      </c>
      <c r="D986" s="2" t="s">
        <v>45</v>
      </c>
      <c r="E986" s="2">
        <v>8719322</v>
      </c>
      <c r="F986" s="2">
        <v>973880640</v>
      </c>
      <c r="G986" s="3">
        <v>37234</v>
      </c>
      <c r="H986" s="2" t="s">
        <v>2243</v>
      </c>
      <c r="I986" s="2" t="s">
        <v>2244</v>
      </c>
      <c r="J986" s="2" t="s">
        <v>2245</v>
      </c>
      <c r="K986" s="2" t="s">
        <v>26</v>
      </c>
      <c r="L986" s="2" t="s">
        <v>27</v>
      </c>
      <c r="M986" s="2">
        <v>5620101</v>
      </c>
      <c r="N986" s="2" t="s">
        <v>49</v>
      </c>
      <c r="O986" s="2" t="s">
        <v>139</v>
      </c>
      <c r="P986" s="2" t="s">
        <v>51</v>
      </c>
      <c r="Q986" s="2" t="s">
        <v>154</v>
      </c>
      <c r="R986" s="2" t="s">
        <v>53</v>
      </c>
      <c r="S986" s="2">
        <v>8</v>
      </c>
      <c r="T986" s="2" t="s">
        <v>508</v>
      </c>
      <c r="U986" s="2" t="s">
        <v>34</v>
      </c>
      <c r="V986" s="32">
        <v>56735520</v>
      </c>
      <c r="W986" s="21">
        <f>29000000+9571200</f>
        <v>38571200</v>
      </c>
      <c r="X986" s="10" t="s">
        <v>2947</v>
      </c>
      <c r="Y986" s="30">
        <f t="shared" si="30"/>
        <v>18164320</v>
      </c>
      <c r="Z986" s="41">
        <f t="shared" si="31"/>
        <v>0.67984218704613975</v>
      </c>
    </row>
    <row r="987" spans="1:26" ht="26.25">
      <c r="A987" s="2">
        <v>985</v>
      </c>
      <c r="B987" s="2">
        <v>3752689</v>
      </c>
      <c r="C987" s="2">
        <v>60101036930050</v>
      </c>
      <c r="D987" s="2" t="s">
        <v>22</v>
      </c>
      <c r="E987" s="2">
        <v>3106819</v>
      </c>
      <c r="F987" s="2">
        <v>946590874</v>
      </c>
      <c r="G987" s="3">
        <v>37622</v>
      </c>
      <c r="H987" s="2" t="s">
        <v>2246</v>
      </c>
      <c r="I987" s="2" t="s">
        <v>2247</v>
      </c>
      <c r="J987" s="2" t="s">
        <v>2248</v>
      </c>
      <c r="K987" s="2" t="s">
        <v>26</v>
      </c>
      <c r="L987" s="2" t="s">
        <v>27</v>
      </c>
      <c r="M987" s="2">
        <v>5310604</v>
      </c>
      <c r="N987" s="2" t="s">
        <v>1297</v>
      </c>
      <c r="O987" s="2" t="s">
        <v>104</v>
      </c>
      <c r="P987" s="2" t="s">
        <v>241</v>
      </c>
      <c r="Q987" s="2" t="s">
        <v>591</v>
      </c>
      <c r="R987" s="2" t="s">
        <v>53</v>
      </c>
      <c r="S987" s="2">
        <v>8</v>
      </c>
      <c r="T987" s="2" t="s">
        <v>33</v>
      </c>
      <c r="U987" s="2" t="s">
        <v>34</v>
      </c>
      <c r="V987" s="32">
        <v>51300880</v>
      </c>
      <c r="Y987" s="30">
        <f t="shared" si="30"/>
        <v>51300880</v>
      </c>
      <c r="Z987" s="41">
        <f t="shared" si="31"/>
        <v>0</v>
      </c>
    </row>
    <row r="988" spans="1:26">
      <c r="A988" s="2">
        <v>986</v>
      </c>
      <c r="B988" s="2">
        <v>1756222</v>
      </c>
      <c r="C988" s="2">
        <v>30209987360018</v>
      </c>
      <c r="D988" s="2" t="s">
        <v>35</v>
      </c>
      <c r="E988" s="2">
        <v>408619</v>
      </c>
      <c r="F988" s="2" t="s">
        <v>2008</v>
      </c>
      <c r="G988" s="3">
        <v>36040</v>
      </c>
      <c r="H988" s="2" t="s">
        <v>23</v>
      </c>
      <c r="I988" s="2" t="s">
        <v>1856</v>
      </c>
      <c r="J988" s="2" t="s">
        <v>2249</v>
      </c>
      <c r="K988" s="2" t="s">
        <v>39</v>
      </c>
      <c r="L988" s="2" t="s">
        <v>27</v>
      </c>
      <c r="M988" s="2">
        <v>5310202</v>
      </c>
      <c r="N988" s="2" t="s">
        <v>86</v>
      </c>
      <c r="O988" s="2" t="s">
        <v>629</v>
      </c>
      <c r="P988" s="2" t="s">
        <v>219</v>
      </c>
      <c r="Q988" s="2" t="s">
        <v>170</v>
      </c>
      <c r="R988" s="2" t="s">
        <v>62</v>
      </c>
      <c r="S988" s="2">
        <v>8</v>
      </c>
      <c r="T988" s="2" t="s">
        <v>508</v>
      </c>
      <c r="U988" s="2" t="s">
        <v>34</v>
      </c>
      <c r="V988" s="32">
        <v>59781040</v>
      </c>
      <c r="Y988" s="30">
        <f t="shared" si="30"/>
        <v>59781040</v>
      </c>
      <c r="Z988" s="41">
        <f t="shared" si="31"/>
        <v>0</v>
      </c>
    </row>
    <row r="989" spans="1:26" ht="39">
      <c r="A989" s="2">
        <v>987</v>
      </c>
      <c r="B989" s="2">
        <v>1066959</v>
      </c>
      <c r="C989" s="2">
        <v>41711997310032</v>
      </c>
      <c r="D989" s="2" t="s">
        <v>35</v>
      </c>
      <c r="E989" s="2">
        <v>1226345</v>
      </c>
      <c r="F989" s="2" t="s">
        <v>2008</v>
      </c>
      <c r="G989" s="3">
        <v>36481</v>
      </c>
      <c r="H989" s="2" t="s">
        <v>1818</v>
      </c>
      <c r="I989" s="2" t="s">
        <v>2250</v>
      </c>
      <c r="J989" s="2" t="s">
        <v>2251</v>
      </c>
      <c r="K989" s="2" t="s">
        <v>39</v>
      </c>
      <c r="L989" s="2" t="s">
        <v>27</v>
      </c>
      <c r="M989" s="2">
        <v>5310701</v>
      </c>
      <c r="N989" s="2" t="s">
        <v>118</v>
      </c>
      <c r="O989" s="2" t="s">
        <v>281</v>
      </c>
      <c r="P989" s="2" t="s">
        <v>123</v>
      </c>
      <c r="Q989" s="2" t="s">
        <v>421</v>
      </c>
      <c r="R989" s="2" t="s">
        <v>62</v>
      </c>
      <c r="S989" s="2">
        <v>8</v>
      </c>
      <c r="T989" s="2" t="s">
        <v>33</v>
      </c>
      <c r="U989" s="2" t="s">
        <v>34</v>
      </c>
      <c r="V989" s="29" t="s">
        <v>2908</v>
      </c>
      <c r="W989" s="20">
        <f>38400000+1600000+10000000+3810000+41000000</f>
        <v>94810000</v>
      </c>
      <c r="X989" s="2" t="s">
        <v>2955</v>
      </c>
      <c r="Y989" s="30">
        <f t="shared" si="30"/>
        <v>12795872</v>
      </c>
      <c r="Z989" s="41">
        <f t="shared" si="31"/>
        <v>0.88108574595260003</v>
      </c>
    </row>
    <row r="990" spans="1:26" ht="26.25">
      <c r="A990" s="2">
        <v>988</v>
      </c>
      <c r="B990" s="2">
        <v>2451508</v>
      </c>
      <c r="C990" s="2">
        <v>31506853490037</v>
      </c>
      <c r="D990" s="2" t="s">
        <v>35</v>
      </c>
      <c r="E990" s="2">
        <v>127737</v>
      </c>
      <c r="F990" s="2" t="s">
        <v>2008</v>
      </c>
      <c r="G990" s="3">
        <v>31213</v>
      </c>
      <c r="H990" s="2" t="s">
        <v>2252</v>
      </c>
      <c r="I990" s="2" t="s">
        <v>2253</v>
      </c>
      <c r="J990" s="2" t="s">
        <v>2254</v>
      </c>
      <c r="K990" s="2" t="s">
        <v>39</v>
      </c>
      <c r="L990" s="2" t="s">
        <v>57</v>
      </c>
      <c r="M990" s="2">
        <v>5310701</v>
      </c>
      <c r="N990" s="2" t="s">
        <v>118</v>
      </c>
      <c r="O990" s="2" t="s">
        <v>87</v>
      </c>
      <c r="P990" s="2" t="s">
        <v>207</v>
      </c>
      <c r="Q990" s="4">
        <v>14824</v>
      </c>
      <c r="R990" s="2" t="s">
        <v>62</v>
      </c>
      <c r="S990" s="2">
        <v>8</v>
      </c>
      <c r="T990" s="2" t="s">
        <v>33</v>
      </c>
      <c r="U990" s="2" t="s">
        <v>34</v>
      </c>
      <c r="V990" s="32">
        <v>59781040</v>
      </c>
      <c r="Y990" s="30">
        <f t="shared" si="30"/>
        <v>59781040</v>
      </c>
      <c r="Z990" s="41">
        <f t="shared" si="31"/>
        <v>0</v>
      </c>
    </row>
    <row r="991" spans="1:26" ht="26.25">
      <c r="A991" s="2">
        <v>989</v>
      </c>
      <c r="B991" s="2">
        <v>3252793</v>
      </c>
      <c r="C991" s="2">
        <v>61508036770016</v>
      </c>
      <c r="D991" s="2" t="s">
        <v>22</v>
      </c>
      <c r="E991" s="2">
        <v>2160422</v>
      </c>
      <c r="F991" s="2" t="s">
        <v>2008</v>
      </c>
      <c r="G991" s="3">
        <v>37848</v>
      </c>
      <c r="H991" s="2" t="s">
        <v>2255</v>
      </c>
      <c r="I991" s="2" t="s">
        <v>2256</v>
      </c>
      <c r="J991" s="2" t="s">
        <v>2257</v>
      </c>
      <c r="K991" s="2" t="s">
        <v>26</v>
      </c>
      <c r="L991" s="2" t="s">
        <v>27</v>
      </c>
      <c r="M991" s="2">
        <v>5630103</v>
      </c>
      <c r="N991" s="2" t="s">
        <v>343</v>
      </c>
      <c r="O991" s="2" t="s">
        <v>123</v>
      </c>
      <c r="P991" s="2" t="s">
        <v>345</v>
      </c>
      <c r="Q991" s="4">
        <v>43922</v>
      </c>
      <c r="R991" s="2" t="s">
        <v>53</v>
      </c>
      <c r="S991" s="2">
        <v>8</v>
      </c>
      <c r="T991" s="2" t="s">
        <v>33</v>
      </c>
      <c r="U991" s="2" t="s">
        <v>34</v>
      </c>
      <c r="V991" s="32">
        <v>51300880</v>
      </c>
      <c r="Y991" s="30">
        <f t="shared" si="30"/>
        <v>51300880</v>
      </c>
      <c r="Z991" s="41">
        <f t="shared" si="31"/>
        <v>0</v>
      </c>
    </row>
    <row r="992" spans="1:26">
      <c r="A992" s="2">
        <v>990</v>
      </c>
      <c r="B992" s="2">
        <v>2678684</v>
      </c>
      <c r="C992" s="2">
        <v>31307997340019</v>
      </c>
      <c r="D992" s="2" t="s">
        <v>35</v>
      </c>
      <c r="E992" s="2">
        <v>585303</v>
      </c>
      <c r="F992" s="2" t="s">
        <v>2008</v>
      </c>
      <c r="G992" s="3">
        <v>36354</v>
      </c>
      <c r="H992" s="2" t="s">
        <v>89</v>
      </c>
      <c r="I992" s="2" t="s">
        <v>2258</v>
      </c>
      <c r="J992" s="2" t="s">
        <v>2259</v>
      </c>
      <c r="K992" s="2" t="s">
        <v>39</v>
      </c>
      <c r="L992" s="2" t="s">
        <v>57</v>
      </c>
      <c r="M992" s="2">
        <v>5310606</v>
      </c>
      <c r="N992" s="2" t="s">
        <v>72</v>
      </c>
      <c r="O992" s="2" t="s">
        <v>60</v>
      </c>
      <c r="P992" s="2" t="s">
        <v>225</v>
      </c>
      <c r="Q992" s="4">
        <v>16681</v>
      </c>
      <c r="R992" s="2" t="s">
        <v>62</v>
      </c>
      <c r="S992" s="2">
        <v>8</v>
      </c>
      <c r="T992" s="2" t="s">
        <v>33</v>
      </c>
      <c r="U992" s="2" t="s">
        <v>34</v>
      </c>
      <c r="V992" s="32">
        <v>59781040</v>
      </c>
      <c r="Y992" s="30">
        <f t="shared" si="30"/>
        <v>59781040</v>
      </c>
      <c r="Z992" s="41">
        <f t="shared" si="31"/>
        <v>0</v>
      </c>
    </row>
    <row r="993" spans="1:26">
      <c r="A993" s="2">
        <v>991</v>
      </c>
      <c r="B993" s="2">
        <v>1419288</v>
      </c>
      <c r="C993" s="2">
        <v>51811006820020</v>
      </c>
      <c r="D993" s="2" t="s">
        <v>45</v>
      </c>
      <c r="E993" s="2">
        <v>5864886</v>
      </c>
      <c r="F993" s="2" t="s">
        <v>2008</v>
      </c>
      <c r="G993" s="3">
        <v>36848</v>
      </c>
      <c r="H993" s="2" t="s">
        <v>1685</v>
      </c>
      <c r="I993" s="2" t="s">
        <v>767</v>
      </c>
      <c r="J993" s="2" t="s">
        <v>25</v>
      </c>
      <c r="K993" s="2" t="s">
        <v>39</v>
      </c>
      <c r="L993" s="2" t="s">
        <v>27</v>
      </c>
      <c r="M993" s="2">
        <v>5620400</v>
      </c>
      <c r="N993" s="2" t="s">
        <v>103</v>
      </c>
      <c r="O993" s="2" t="s">
        <v>88</v>
      </c>
      <c r="P993" s="2" t="s">
        <v>123</v>
      </c>
      <c r="Q993" s="2" t="s">
        <v>500</v>
      </c>
      <c r="R993" s="2" t="s">
        <v>62</v>
      </c>
      <c r="S993" s="2">
        <v>8</v>
      </c>
      <c r="T993" s="2" t="s">
        <v>33</v>
      </c>
      <c r="U993" s="2" t="s">
        <v>34</v>
      </c>
      <c r="V993" s="32">
        <v>59781040</v>
      </c>
      <c r="Y993" s="30">
        <f t="shared" si="30"/>
        <v>59781040</v>
      </c>
      <c r="Z993" s="41">
        <f t="shared" si="31"/>
        <v>0</v>
      </c>
    </row>
    <row r="994" spans="1:26" ht="26.25">
      <c r="A994" s="2">
        <v>992</v>
      </c>
      <c r="B994" s="2">
        <v>3234000</v>
      </c>
      <c r="C994" s="2">
        <v>60101036540091</v>
      </c>
      <c r="D994" s="2" t="s">
        <v>22</v>
      </c>
      <c r="E994" s="2">
        <v>2142288</v>
      </c>
      <c r="F994" s="2">
        <v>900012716</v>
      </c>
      <c r="G994" s="3">
        <v>37622</v>
      </c>
      <c r="H994" s="2" t="s">
        <v>1476</v>
      </c>
      <c r="I994" s="2" t="s">
        <v>2260</v>
      </c>
      <c r="J994" s="2" t="s">
        <v>2261</v>
      </c>
      <c r="K994" s="2" t="s">
        <v>26</v>
      </c>
      <c r="L994" s="2" t="s">
        <v>57</v>
      </c>
      <c r="M994" s="2">
        <v>5340202</v>
      </c>
      <c r="N994" s="2" t="s">
        <v>499</v>
      </c>
      <c r="O994" s="2" t="s">
        <v>1677</v>
      </c>
      <c r="P994" s="2" t="s">
        <v>224</v>
      </c>
      <c r="Q994" s="2" t="s">
        <v>2262</v>
      </c>
      <c r="R994" s="2" t="s">
        <v>93</v>
      </c>
      <c r="S994" s="2">
        <v>8</v>
      </c>
      <c r="T994" s="2" t="s">
        <v>508</v>
      </c>
      <c r="U994" s="2" t="s">
        <v>34</v>
      </c>
      <c r="V994" s="32">
        <v>10637910</v>
      </c>
      <c r="Y994" s="30">
        <f t="shared" si="30"/>
        <v>10637910</v>
      </c>
      <c r="Z994" s="41">
        <f t="shared" si="31"/>
        <v>0</v>
      </c>
    </row>
    <row r="995" spans="1:26">
      <c r="A995" s="2">
        <v>993</v>
      </c>
      <c r="B995" s="2">
        <v>2509556</v>
      </c>
      <c r="C995" s="2">
        <v>30205940470039</v>
      </c>
      <c r="D995" s="2" t="s">
        <v>145</v>
      </c>
      <c r="E995" s="2">
        <v>5318143</v>
      </c>
      <c r="F995" s="2" t="s">
        <v>2008</v>
      </c>
      <c r="G995" s="3">
        <v>34456</v>
      </c>
      <c r="H995" s="2" t="s">
        <v>1361</v>
      </c>
      <c r="I995" s="2" t="s">
        <v>2263</v>
      </c>
      <c r="J995" s="2" t="s">
        <v>2264</v>
      </c>
      <c r="K995" s="2" t="s">
        <v>39</v>
      </c>
      <c r="L995" s="2" t="s">
        <v>57</v>
      </c>
      <c r="M995" s="2">
        <v>5310400</v>
      </c>
      <c r="N995" s="2" t="s">
        <v>232</v>
      </c>
      <c r="O995" s="2" t="s">
        <v>207</v>
      </c>
      <c r="P995" s="2" t="s">
        <v>139</v>
      </c>
      <c r="Q995" s="5">
        <v>44317</v>
      </c>
      <c r="R995" s="2" t="s">
        <v>62</v>
      </c>
      <c r="S995" s="2">
        <v>8</v>
      </c>
      <c r="T995" s="2" t="s">
        <v>33</v>
      </c>
      <c r="U995" s="2" t="s">
        <v>34</v>
      </c>
      <c r="V995" s="32">
        <v>11208945</v>
      </c>
      <c r="Y995" s="30">
        <f t="shared" si="30"/>
        <v>11208945</v>
      </c>
      <c r="Z995" s="41">
        <f t="shared" si="31"/>
        <v>0</v>
      </c>
    </row>
    <row r="996" spans="1:26" ht="26.25">
      <c r="A996" s="2">
        <v>994</v>
      </c>
      <c r="B996" s="2">
        <v>3558402</v>
      </c>
      <c r="C996" s="2">
        <v>51602046100038</v>
      </c>
      <c r="D996" s="2" t="s">
        <v>74</v>
      </c>
      <c r="E996" s="2">
        <v>17612</v>
      </c>
      <c r="F996" s="2">
        <v>978943633</v>
      </c>
      <c r="G996" s="3">
        <v>38033</v>
      </c>
      <c r="H996" s="2" t="s">
        <v>2265</v>
      </c>
      <c r="I996" s="2" t="s">
        <v>537</v>
      </c>
      <c r="J996" s="2" t="s">
        <v>1070</v>
      </c>
      <c r="K996" s="2" t="s">
        <v>39</v>
      </c>
      <c r="L996" s="2" t="s">
        <v>27</v>
      </c>
      <c r="M996" s="2">
        <v>5340602</v>
      </c>
      <c r="N996" s="2" t="s">
        <v>628</v>
      </c>
      <c r="O996" s="2" t="s">
        <v>42</v>
      </c>
      <c r="P996" s="2" t="s">
        <v>629</v>
      </c>
      <c r="Q996" s="5">
        <v>44471</v>
      </c>
      <c r="R996" s="2" t="s">
        <v>44</v>
      </c>
      <c r="S996" s="2">
        <v>8</v>
      </c>
      <c r="T996" s="2" t="s">
        <v>33</v>
      </c>
      <c r="U996" s="2" t="s">
        <v>34</v>
      </c>
      <c r="V996" s="32" t="s">
        <v>2726</v>
      </c>
      <c r="W996" s="21">
        <v>11000000</v>
      </c>
      <c r="X996" s="11" t="s">
        <v>2627</v>
      </c>
      <c r="Y996" s="30">
        <f t="shared" si="30"/>
        <v>9549732.5</v>
      </c>
      <c r="Z996" s="41">
        <f t="shared" si="31"/>
        <v>0.53528677319765594</v>
      </c>
    </row>
    <row r="997" spans="1:26" ht="26.25">
      <c r="A997" s="2">
        <v>995</v>
      </c>
      <c r="B997" s="2">
        <v>3247330</v>
      </c>
      <c r="C997" s="2">
        <v>50812025590041</v>
      </c>
      <c r="D997" s="2" t="s">
        <v>74</v>
      </c>
      <c r="E997" s="2">
        <v>53522</v>
      </c>
      <c r="F997" s="2" t="s">
        <v>2008</v>
      </c>
      <c r="G997" s="3">
        <v>37598</v>
      </c>
      <c r="H997" s="2" t="s">
        <v>2266</v>
      </c>
      <c r="I997" s="2" t="s">
        <v>2267</v>
      </c>
      <c r="J997" s="2" t="s">
        <v>1140</v>
      </c>
      <c r="K997" s="2" t="s">
        <v>26</v>
      </c>
      <c r="L997" s="2" t="s">
        <v>27</v>
      </c>
      <c r="M997" s="2">
        <v>5340606</v>
      </c>
      <c r="N997" s="2" t="s">
        <v>191</v>
      </c>
      <c r="O997" s="2" t="s">
        <v>73</v>
      </c>
      <c r="P997" s="2" t="s">
        <v>199</v>
      </c>
      <c r="Q997" s="4">
        <v>42064</v>
      </c>
      <c r="R997" s="2" t="s">
        <v>93</v>
      </c>
      <c r="S997" s="2">
        <v>8</v>
      </c>
      <c r="T997" s="2" t="s">
        <v>508</v>
      </c>
      <c r="U997" s="2" t="s">
        <v>34</v>
      </c>
      <c r="V997" s="32">
        <v>21275820</v>
      </c>
      <c r="Y997" s="30">
        <f t="shared" si="30"/>
        <v>21275820</v>
      </c>
      <c r="Z997" s="41">
        <f t="shared" si="31"/>
        <v>0</v>
      </c>
    </row>
    <row r="998" spans="1:26" ht="39">
      <c r="A998" s="2">
        <v>996</v>
      </c>
      <c r="B998" s="2">
        <v>3305594</v>
      </c>
      <c r="C998" s="2">
        <v>32703860520040</v>
      </c>
      <c r="D998" s="2" t="s">
        <v>145</v>
      </c>
      <c r="E998" s="2">
        <v>4790283</v>
      </c>
      <c r="F998" s="2">
        <v>935281575</v>
      </c>
      <c r="G998" s="3">
        <v>31498</v>
      </c>
      <c r="H998" s="2" t="s">
        <v>1709</v>
      </c>
      <c r="I998" s="2" t="s">
        <v>293</v>
      </c>
      <c r="J998" s="2" t="s">
        <v>2268</v>
      </c>
      <c r="K998" s="2" t="s">
        <v>39</v>
      </c>
      <c r="L998" s="2" t="s">
        <v>27</v>
      </c>
      <c r="M998" s="2">
        <v>5340605</v>
      </c>
      <c r="N998" s="2" t="s">
        <v>40</v>
      </c>
      <c r="O998" s="2" t="s">
        <v>179</v>
      </c>
      <c r="P998" s="2" t="s">
        <v>42</v>
      </c>
      <c r="Q998" s="2" t="s">
        <v>363</v>
      </c>
      <c r="R998" s="2" t="s">
        <v>44</v>
      </c>
      <c r="S998" s="2">
        <v>8</v>
      </c>
      <c r="T998" s="2" t="s">
        <v>33</v>
      </c>
      <c r="U998" s="2" t="s">
        <v>34</v>
      </c>
      <c r="V998" s="32">
        <v>65759144</v>
      </c>
      <c r="W998" s="20">
        <f>32880000+32800000+81000</f>
        <v>65761000</v>
      </c>
      <c r="X998" s="2" t="s">
        <v>2858</v>
      </c>
      <c r="Y998" s="30">
        <f t="shared" si="30"/>
        <v>-1856</v>
      </c>
      <c r="Z998" s="41">
        <f t="shared" si="31"/>
        <v>1.0000282242116776</v>
      </c>
    </row>
    <row r="999" spans="1:26" ht="26.25">
      <c r="A999" s="2">
        <v>997</v>
      </c>
      <c r="B999" s="2">
        <v>3673478</v>
      </c>
      <c r="C999" s="2">
        <v>31512843360033</v>
      </c>
      <c r="D999" s="2" t="s">
        <v>35</v>
      </c>
      <c r="E999" s="2">
        <v>978948</v>
      </c>
      <c r="F999" s="2">
        <v>944554131</v>
      </c>
      <c r="G999" s="3">
        <v>31031</v>
      </c>
      <c r="H999" s="2" t="s">
        <v>2269</v>
      </c>
      <c r="I999" s="2" t="s">
        <v>2270</v>
      </c>
      <c r="J999" s="2" t="s">
        <v>2271</v>
      </c>
      <c r="K999" s="2" t="s">
        <v>39</v>
      </c>
      <c r="L999" s="2" t="s">
        <v>27</v>
      </c>
      <c r="M999" s="2">
        <v>5340602</v>
      </c>
      <c r="N999" s="2" t="s">
        <v>628</v>
      </c>
      <c r="O999" s="2" t="s">
        <v>73</v>
      </c>
      <c r="P999" s="2" t="s">
        <v>629</v>
      </c>
      <c r="Q999" s="5">
        <v>44317</v>
      </c>
      <c r="R999" s="2" t="s">
        <v>44</v>
      </c>
      <c r="S999" s="2">
        <v>8</v>
      </c>
      <c r="T999" s="2" t="s">
        <v>33</v>
      </c>
      <c r="U999" s="2" t="s">
        <v>34</v>
      </c>
      <c r="V999" s="32" t="s">
        <v>2733</v>
      </c>
      <c r="W999" s="21">
        <f>6200000+1000000+1000000+1000000</f>
        <v>9200000</v>
      </c>
      <c r="X999" s="11" t="s">
        <v>2913</v>
      </c>
      <c r="Y999" s="30">
        <f t="shared" si="30"/>
        <v>1896855.5500000007</v>
      </c>
      <c r="Z999" s="41">
        <f t="shared" si="31"/>
        <v>0.82906368912768258</v>
      </c>
    </row>
    <row r="1000" spans="1:26" ht="39">
      <c r="A1000" s="2">
        <v>998</v>
      </c>
      <c r="B1000" s="2">
        <v>3340646</v>
      </c>
      <c r="C1000" s="2">
        <v>50708037350044</v>
      </c>
      <c r="D1000" s="2" t="s">
        <v>74</v>
      </c>
      <c r="E1000" s="2">
        <v>181356</v>
      </c>
      <c r="F1000" s="2">
        <v>973588956</v>
      </c>
      <c r="G1000" s="3">
        <v>37840</v>
      </c>
      <c r="H1000" s="2" t="s">
        <v>278</v>
      </c>
      <c r="I1000" s="2" t="s">
        <v>2272</v>
      </c>
      <c r="J1000" s="2" t="s">
        <v>2273</v>
      </c>
      <c r="K1000" s="2" t="s">
        <v>26</v>
      </c>
      <c r="L1000" s="2" t="s">
        <v>27</v>
      </c>
      <c r="M1000" s="2">
        <v>5311003</v>
      </c>
      <c r="N1000" s="2" t="s">
        <v>144</v>
      </c>
      <c r="O1000" s="2" t="s">
        <v>296</v>
      </c>
      <c r="P1000" s="2" t="s">
        <v>490</v>
      </c>
      <c r="Q1000" s="2" t="s">
        <v>602</v>
      </c>
      <c r="R1000" s="2" t="s">
        <v>53</v>
      </c>
      <c r="S1000" s="2">
        <v>8</v>
      </c>
      <c r="T1000" s="2" t="s">
        <v>33</v>
      </c>
      <c r="U1000" s="2" t="s">
        <v>34</v>
      </c>
      <c r="V1000" s="29">
        <v>46170792</v>
      </c>
      <c r="W1000" s="21">
        <f>25651000+20520000</f>
        <v>46171000</v>
      </c>
      <c r="X1000" s="10" t="s">
        <v>2827</v>
      </c>
      <c r="Y1000" s="30">
        <f t="shared" si="30"/>
        <v>-208</v>
      </c>
      <c r="Z1000" s="41">
        <f t="shared" si="31"/>
        <v>1.0000045050126063</v>
      </c>
    </row>
    <row r="1001" spans="1:26" ht="26.25">
      <c r="A1001" s="2">
        <v>999</v>
      </c>
      <c r="B1001" s="2">
        <v>3260552</v>
      </c>
      <c r="C1001" s="2">
        <v>51609036770013</v>
      </c>
      <c r="D1001" s="2" t="s">
        <v>22</v>
      </c>
      <c r="E1001" s="2">
        <v>2235130</v>
      </c>
      <c r="F1001" s="2">
        <v>998620617</v>
      </c>
      <c r="G1001" s="3">
        <v>37880</v>
      </c>
      <c r="H1001" s="2" t="s">
        <v>1331</v>
      </c>
      <c r="I1001" s="2" t="s">
        <v>702</v>
      </c>
      <c r="J1001" s="2" t="s">
        <v>971</v>
      </c>
      <c r="K1001" s="2" t="s">
        <v>26</v>
      </c>
      <c r="L1001" s="2" t="s">
        <v>57</v>
      </c>
      <c r="M1001" s="2">
        <v>5340202</v>
      </c>
      <c r="N1001" s="2" t="s">
        <v>499</v>
      </c>
      <c r="O1001" s="2">
        <v>84</v>
      </c>
      <c r="P1001" s="2" t="s">
        <v>224</v>
      </c>
      <c r="Q1001" s="2" t="s">
        <v>288</v>
      </c>
      <c r="R1001" s="2" t="s">
        <v>93</v>
      </c>
      <c r="S1001" s="2">
        <v>8</v>
      </c>
      <c r="T1001" s="2" t="s">
        <v>33</v>
      </c>
      <c r="U1001" s="2" t="s">
        <v>34</v>
      </c>
      <c r="V1001" s="32">
        <v>51061968</v>
      </c>
      <c r="W1001" s="21">
        <v>25550000</v>
      </c>
      <c r="X1001" s="10" t="s">
        <v>2640</v>
      </c>
      <c r="Y1001" s="30">
        <f t="shared" si="30"/>
        <v>25511968</v>
      </c>
      <c r="Z1001" s="41">
        <f t="shared" si="31"/>
        <v>0.50037241024474421</v>
      </c>
    </row>
    <row r="1002" spans="1:26" ht="26.25">
      <c r="A1002" s="2">
        <v>1000</v>
      </c>
      <c r="B1002" s="2">
        <v>3379471</v>
      </c>
      <c r="C1002" s="2">
        <v>50912045470027</v>
      </c>
      <c r="D1002" s="2" t="s">
        <v>74</v>
      </c>
      <c r="E1002" s="2">
        <v>306673</v>
      </c>
      <c r="F1002" s="2">
        <v>919432620</v>
      </c>
      <c r="G1002" s="3">
        <v>38330</v>
      </c>
      <c r="H1002" s="2" t="s">
        <v>1870</v>
      </c>
      <c r="I1002" s="2" t="s">
        <v>2274</v>
      </c>
      <c r="J1002" s="2" t="s">
        <v>2275</v>
      </c>
      <c r="K1002" s="2" t="s">
        <v>26</v>
      </c>
      <c r="L1002" s="2" t="s">
        <v>27</v>
      </c>
      <c r="M1002" s="2">
        <v>5320102</v>
      </c>
      <c r="N1002" s="2" t="s">
        <v>138</v>
      </c>
      <c r="O1002" s="2" t="s">
        <v>281</v>
      </c>
      <c r="P1002" s="2" t="s">
        <v>154</v>
      </c>
      <c r="Q1002" s="4">
        <v>22251</v>
      </c>
      <c r="R1002" s="2" t="s">
        <v>53</v>
      </c>
      <c r="S1002" s="2">
        <v>8</v>
      </c>
      <c r="T1002" s="2" t="s">
        <v>33</v>
      </c>
      <c r="U1002" s="2" t="s">
        <v>34</v>
      </c>
      <c r="V1002" s="29" t="s">
        <v>2755</v>
      </c>
      <c r="W1002" s="22">
        <v>46000000</v>
      </c>
      <c r="X1002" s="16" t="s">
        <v>2672</v>
      </c>
      <c r="Y1002" s="30">
        <f t="shared" si="30"/>
        <v>37107425.599999994</v>
      </c>
      <c r="Z1002" s="41">
        <f t="shared" si="31"/>
        <v>0.55350048046729539</v>
      </c>
    </row>
    <row r="1003" spans="1:26" ht="26.25">
      <c r="A1003" s="2">
        <v>1001</v>
      </c>
      <c r="B1003" s="2">
        <v>2442716</v>
      </c>
      <c r="C1003" s="2">
        <v>41210915380017</v>
      </c>
      <c r="D1003" s="2" t="s">
        <v>145</v>
      </c>
      <c r="E1003" s="2">
        <v>8275227</v>
      </c>
      <c r="F1003" s="2">
        <v>934544664</v>
      </c>
      <c r="G1003" s="3">
        <v>33523</v>
      </c>
      <c r="H1003" s="2" t="s">
        <v>2276</v>
      </c>
      <c r="I1003" s="2" t="s">
        <v>2277</v>
      </c>
      <c r="J1003" s="2" t="s">
        <v>2278</v>
      </c>
      <c r="K1003" s="2" t="s">
        <v>39</v>
      </c>
      <c r="L1003" s="2" t="s">
        <v>27</v>
      </c>
      <c r="M1003" s="2">
        <v>5340602</v>
      </c>
      <c r="N1003" s="2" t="s">
        <v>628</v>
      </c>
      <c r="O1003" s="2" t="s">
        <v>88</v>
      </c>
      <c r="P1003" s="2" t="s">
        <v>629</v>
      </c>
      <c r="Q1003" s="2" t="s">
        <v>170</v>
      </c>
      <c r="R1003" s="2" t="s">
        <v>44</v>
      </c>
      <c r="S1003" s="2">
        <v>8</v>
      </c>
      <c r="T1003" s="2" t="s">
        <v>33</v>
      </c>
      <c r="U1003" s="2" t="s">
        <v>34</v>
      </c>
      <c r="V1003" s="32">
        <v>65759144</v>
      </c>
      <c r="Y1003" s="30">
        <f t="shared" si="30"/>
        <v>65759144</v>
      </c>
      <c r="Z1003" s="41">
        <f t="shared" si="31"/>
        <v>0</v>
      </c>
    </row>
    <row r="1004" spans="1:26" ht="26.25">
      <c r="A1004" s="2">
        <v>1002</v>
      </c>
      <c r="B1004" s="2">
        <v>3361073</v>
      </c>
      <c r="C1004" s="2">
        <v>52710037360040</v>
      </c>
      <c r="D1004" s="2" t="s">
        <v>35</v>
      </c>
      <c r="E1004" s="2">
        <v>1314892</v>
      </c>
      <c r="F1004" s="2">
        <v>931440629</v>
      </c>
      <c r="G1004" s="3">
        <v>37921</v>
      </c>
      <c r="H1004" s="2" t="s">
        <v>2279</v>
      </c>
      <c r="I1004" s="2" t="s">
        <v>2280</v>
      </c>
      <c r="J1004" s="2" t="s">
        <v>2281</v>
      </c>
      <c r="K1004" s="2" t="s">
        <v>26</v>
      </c>
      <c r="L1004" s="2" t="s">
        <v>27</v>
      </c>
      <c r="M1004" s="2">
        <v>5310605</v>
      </c>
      <c r="N1004" s="2" t="s">
        <v>97</v>
      </c>
      <c r="O1004" s="2" t="s">
        <v>198</v>
      </c>
      <c r="P1004" s="2" t="s">
        <v>98</v>
      </c>
      <c r="Q1004" s="2" t="s">
        <v>433</v>
      </c>
      <c r="R1004" s="2" t="s">
        <v>53</v>
      </c>
      <c r="S1004" s="2">
        <v>8</v>
      </c>
      <c r="T1004" s="2" t="s">
        <v>33</v>
      </c>
      <c r="U1004" s="2" t="s">
        <v>34</v>
      </c>
      <c r="V1004" s="32">
        <v>51300880</v>
      </c>
      <c r="Y1004" s="30">
        <f t="shared" si="30"/>
        <v>51300880</v>
      </c>
      <c r="Z1004" s="41">
        <f t="shared" si="31"/>
        <v>0</v>
      </c>
    </row>
    <row r="1005" spans="1:26" ht="26.25">
      <c r="A1005" s="2">
        <v>1003</v>
      </c>
      <c r="B1005" s="2">
        <v>3309405</v>
      </c>
      <c r="C1005" s="2">
        <v>50307036030016</v>
      </c>
      <c r="D1005" s="2" t="s">
        <v>22</v>
      </c>
      <c r="E1005" s="2">
        <v>2222096</v>
      </c>
      <c r="F1005" s="2">
        <v>915502003</v>
      </c>
      <c r="G1005" s="3">
        <v>37805</v>
      </c>
      <c r="H1005" s="2" t="s">
        <v>2282</v>
      </c>
      <c r="I1005" s="2" t="s">
        <v>1460</v>
      </c>
      <c r="J1005" s="2" t="s">
        <v>2283</v>
      </c>
      <c r="K1005" s="2" t="s">
        <v>26</v>
      </c>
      <c r="L1005" s="2" t="s">
        <v>27</v>
      </c>
      <c r="M1005" s="2">
        <v>5630103</v>
      </c>
      <c r="N1005" s="2" t="s">
        <v>343</v>
      </c>
      <c r="O1005" s="2" t="s">
        <v>179</v>
      </c>
      <c r="P1005" s="2" t="s">
        <v>345</v>
      </c>
      <c r="Q1005" s="2" t="s">
        <v>299</v>
      </c>
      <c r="R1005" s="2" t="s">
        <v>53</v>
      </c>
      <c r="S1005" s="2">
        <v>8</v>
      </c>
      <c r="T1005" s="2" t="s">
        <v>33</v>
      </c>
      <c r="U1005" s="2" t="s">
        <v>34</v>
      </c>
      <c r="V1005" s="32">
        <v>51300880</v>
      </c>
      <c r="Y1005" s="30">
        <f t="shared" si="30"/>
        <v>51300880</v>
      </c>
      <c r="Z1005" s="41">
        <f t="shared" si="31"/>
        <v>0</v>
      </c>
    </row>
    <row r="1006" spans="1:26">
      <c r="A1006" s="2">
        <v>1004</v>
      </c>
      <c r="B1006" s="2">
        <v>1956532</v>
      </c>
      <c r="C1006" s="2">
        <v>51905005700011</v>
      </c>
      <c r="D1006" s="2" t="s">
        <v>45</v>
      </c>
      <c r="E1006" s="2">
        <v>4185105</v>
      </c>
      <c r="F1006" s="2">
        <v>992826028</v>
      </c>
      <c r="G1006" s="3">
        <v>36665</v>
      </c>
      <c r="H1006" s="2" t="s">
        <v>2284</v>
      </c>
      <c r="I1006" s="2" t="s">
        <v>1492</v>
      </c>
      <c r="J1006" s="2" t="s">
        <v>2285</v>
      </c>
      <c r="K1006" s="2" t="s">
        <v>26</v>
      </c>
      <c r="L1006" s="2" t="s">
        <v>27</v>
      </c>
      <c r="M1006" s="2">
        <v>5310202</v>
      </c>
      <c r="N1006" s="2" t="s">
        <v>86</v>
      </c>
      <c r="O1006" s="2" t="s">
        <v>154</v>
      </c>
      <c r="P1006" s="2" t="s">
        <v>252</v>
      </c>
      <c r="Q1006" s="2" t="s">
        <v>340</v>
      </c>
      <c r="R1006" s="2" t="s">
        <v>53</v>
      </c>
      <c r="S1006" s="2">
        <v>8</v>
      </c>
      <c r="T1006" s="2" t="s">
        <v>33</v>
      </c>
      <c r="U1006" s="2" t="s">
        <v>34</v>
      </c>
      <c r="V1006" s="32">
        <v>51300880</v>
      </c>
      <c r="W1006" s="20">
        <v>25660000</v>
      </c>
      <c r="X1006" s="2" t="s">
        <v>2672</v>
      </c>
      <c r="Y1006" s="30">
        <f t="shared" si="30"/>
        <v>25640880</v>
      </c>
      <c r="Z1006" s="41">
        <f t="shared" si="31"/>
        <v>0.50018635157915414</v>
      </c>
    </row>
    <row r="1007" spans="1:26">
      <c r="A1007" s="2">
        <v>1005</v>
      </c>
      <c r="B1007" s="2">
        <v>3476798</v>
      </c>
      <c r="C1007" s="2">
        <v>51611037360032</v>
      </c>
      <c r="D1007" s="2" t="s">
        <v>35</v>
      </c>
      <c r="E1007" s="2">
        <v>1315272</v>
      </c>
      <c r="F1007" s="2">
        <v>913053009</v>
      </c>
      <c r="G1007" s="3">
        <v>37941</v>
      </c>
      <c r="H1007" s="2" t="s">
        <v>900</v>
      </c>
      <c r="I1007" s="2" t="s">
        <v>221</v>
      </c>
      <c r="J1007" s="2" t="s">
        <v>2286</v>
      </c>
      <c r="K1007" s="2" t="s">
        <v>26</v>
      </c>
      <c r="L1007" s="2" t="s">
        <v>57</v>
      </c>
      <c r="M1007" s="2">
        <v>5310202</v>
      </c>
      <c r="N1007" s="2" t="s">
        <v>86</v>
      </c>
      <c r="O1007" s="2" t="s">
        <v>198</v>
      </c>
      <c r="P1007" s="2" t="s">
        <v>88</v>
      </c>
      <c r="Q1007" s="4">
        <v>45778</v>
      </c>
      <c r="R1007" s="2" t="s">
        <v>53</v>
      </c>
      <c r="S1007" s="2">
        <v>8</v>
      </c>
      <c r="T1007" s="2" t="s">
        <v>33</v>
      </c>
      <c r="U1007" s="2" t="s">
        <v>34</v>
      </c>
      <c r="V1007" s="32">
        <v>51300880</v>
      </c>
      <c r="Y1007" s="30">
        <f t="shared" si="30"/>
        <v>51300880</v>
      </c>
      <c r="Z1007" s="41">
        <f t="shared" si="31"/>
        <v>0</v>
      </c>
    </row>
    <row r="1008" spans="1:26">
      <c r="A1008" s="2">
        <v>1006</v>
      </c>
      <c r="B1008" s="2">
        <v>2188775</v>
      </c>
      <c r="C1008" s="2">
        <v>50111026350020</v>
      </c>
      <c r="D1008" s="2" t="s">
        <v>22</v>
      </c>
      <c r="E1008" s="2">
        <v>1596773</v>
      </c>
      <c r="F1008" s="2">
        <v>902491202</v>
      </c>
      <c r="G1008" s="3">
        <v>37561</v>
      </c>
      <c r="H1008" s="2" t="s">
        <v>2287</v>
      </c>
      <c r="I1008" s="2" t="s">
        <v>2288</v>
      </c>
      <c r="J1008" s="2" t="s">
        <v>2289</v>
      </c>
      <c r="K1008" s="2" t="s">
        <v>26</v>
      </c>
      <c r="L1008" s="2" t="s">
        <v>27</v>
      </c>
      <c r="M1008" s="2">
        <v>5230407</v>
      </c>
      <c r="N1008" s="2" t="s">
        <v>186</v>
      </c>
      <c r="O1008" s="2" t="s">
        <v>199</v>
      </c>
      <c r="P1008" s="2" t="s">
        <v>187</v>
      </c>
      <c r="Q1008" s="4">
        <v>45778</v>
      </c>
      <c r="R1008" s="2" t="s">
        <v>134</v>
      </c>
      <c r="S1008" s="2">
        <v>10</v>
      </c>
      <c r="T1008" s="2" t="s">
        <v>33</v>
      </c>
      <c r="U1008" s="2" t="s">
        <v>34</v>
      </c>
      <c r="V1008" s="32">
        <v>91299300</v>
      </c>
      <c r="Y1008" s="30">
        <f t="shared" si="30"/>
        <v>91299300</v>
      </c>
      <c r="Z1008" s="41">
        <f t="shared" si="31"/>
        <v>0</v>
      </c>
    </row>
    <row r="1009" spans="1:26" ht="26.25">
      <c r="A1009" s="2">
        <v>1007</v>
      </c>
      <c r="B1009" s="2">
        <v>1239563</v>
      </c>
      <c r="C1009" s="2">
        <v>50307005410012</v>
      </c>
      <c r="D1009" s="2" t="s">
        <v>45</v>
      </c>
      <c r="E1009" s="2">
        <v>6638988</v>
      </c>
      <c r="F1009" s="2">
        <v>904881516</v>
      </c>
      <c r="G1009" s="3">
        <v>36710</v>
      </c>
      <c r="H1009" s="2" t="s">
        <v>466</v>
      </c>
      <c r="I1009" s="2" t="s">
        <v>2290</v>
      </c>
      <c r="J1009" s="2" t="s">
        <v>1620</v>
      </c>
      <c r="K1009" s="2" t="s">
        <v>26</v>
      </c>
      <c r="L1009" s="2" t="s">
        <v>27</v>
      </c>
      <c r="M1009" s="2">
        <v>5630103</v>
      </c>
      <c r="N1009" s="2" t="s">
        <v>343</v>
      </c>
      <c r="O1009" s="2" t="s">
        <v>350</v>
      </c>
      <c r="P1009" s="2" t="s">
        <v>345</v>
      </c>
      <c r="Q1009" s="2" t="s">
        <v>81</v>
      </c>
      <c r="R1009" s="2" t="s">
        <v>53</v>
      </c>
      <c r="S1009" s="2">
        <v>8</v>
      </c>
      <c r="T1009" s="2" t="s">
        <v>33</v>
      </c>
      <c r="U1009" s="2" t="s">
        <v>34</v>
      </c>
      <c r="V1009" s="32">
        <v>51300880</v>
      </c>
      <c r="Y1009" s="30">
        <f t="shared" si="30"/>
        <v>51300880</v>
      </c>
      <c r="Z1009" s="41">
        <f t="shared" si="31"/>
        <v>0</v>
      </c>
    </row>
    <row r="1010" spans="1:26">
      <c r="A1010" s="2">
        <v>1008</v>
      </c>
      <c r="B1010" s="2">
        <v>1795544</v>
      </c>
      <c r="C1010" s="2">
        <v>51205005350039</v>
      </c>
      <c r="D1010" s="2" t="s">
        <v>45</v>
      </c>
      <c r="E1010" s="2">
        <v>6436371</v>
      </c>
      <c r="F1010" s="2">
        <v>995932334</v>
      </c>
      <c r="G1010" s="3">
        <v>36658</v>
      </c>
      <c r="H1010" s="2" t="s">
        <v>180</v>
      </c>
      <c r="I1010" s="2" t="s">
        <v>410</v>
      </c>
      <c r="J1010" s="2" t="s">
        <v>2291</v>
      </c>
      <c r="K1010" s="2" t="s">
        <v>26</v>
      </c>
      <c r="L1010" s="2" t="s">
        <v>27</v>
      </c>
      <c r="M1010" s="2">
        <v>5240109</v>
      </c>
      <c r="N1010" s="2" t="s">
        <v>28</v>
      </c>
      <c r="O1010" s="2" t="s">
        <v>139</v>
      </c>
      <c r="P1010" s="2" t="s">
        <v>30</v>
      </c>
      <c r="Q1010" s="2" t="s">
        <v>123</v>
      </c>
      <c r="R1010" s="2" t="s">
        <v>32</v>
      </c>
      <c r="S1010" s="2">
        <v>25</v>
      </c>
      <c r="T1010" s="2" t="s">
        <v>33</v>
      </c>
      <c r="U1010" s="2" t="s">
        <v>34</v>
      </c>
      <c r="V1010" s="32">
        <v>245231500</v>
      </c>
      <c r="Y1010" s="30">
        <f t="shared" si="30"/>
        <v>245231500</v>
      </c>
      <c r="Z1010" s="41">
        <f t="shared" si="31"/>
        <v>0</v>
      </c>
    </row>
    <row r="1011" spans="1:26" ht="15.75">
      <c r="A1011" s="2">
        <v>1009</v>
      </c>
      <c r="B1011" s="2">
        <v>3282075</v>
      </c>
      <c r="C1011" s="2">
        <v>52710027290029</v>
      </c>
      <c r="D1011" s="2" t="s">
        <v>35</v>
      </c>
      <c r="E1011" s="2">
        <v>1241344</v>
      </c>
      <c r="F1011" s="2">
        <v>995903366</v>
      </c>
      <c r="G1011" s="3">
        <v>37556</v>
      </c>
      <c r="H1011" s="2" t="s">
        <v>2292</v>
      </c>
      <c r="I1011" s="2" t="s">
        <v>2293</v>
      </c>
      <c r="J1011" s="2" t="s">
        <v>2294</v>
      </c>
      <c r="K1011" s="2" t="s">
        <v>26</v>
      </c>
      <c r="L1011" s="2" t="s">
        <v>27</v>
      </c>
      <c r="M1011" s="2">
        <v>5240109</v>
      </c>
      <c r="N1011" s="2" t="s">
        <v>28</v>
      </c>
      <c r="O1011" s="2" t="s">
        <v>2295</v>
      </c>
      <c r="P1011" s="2" t="s">
        <v>30</v>
      </c>
      <c r="Q1011" s="5">
        <v>44317</v>
      </c>
      <c r="R1011" s="2" t="s">
        <v>32</v>
      </c>
      <c r="S1011" s="2">
        <v>25</v>
      </c>
      <c r="T1011" s="2" t="s">
        <v>33</v>
      </c>
      <c r="U1011" s="2" t="s">
        <v>34</v>
      </c>
      <c r="V1011" s="32">
        <v>14713890</v>
      </c>
      <c r="W1011" s="24">
        <v>14694895</v>
      </c>
      <c r="X1011" s="14" t="s">
        <v>2660</v>
      </c>
      <c r="Y1011" s="30">
        <f t="shared" si="30"/>
        <v>18995</v>
      </c>
      <c r="Z1011" s="41">
        <f t="shared" si="31"/>
        <v>0.99870904295193186</v>
      </c>
    </row>
    <row r="1012" spans="1:26" ht="15.75">
      <c r="A1012" s="2">
        <v>1010</v>
      </c>
      <c r="B1012" s="2">
        <v>3443296</v>
      </c>
      <c r="C1012" s="2">
        <v>62406037350048</v>
      </c>
      <c r="D1012" s="2" t="s">
        <v>74</v>
      </c>
      <c r="E1012" s="2">
        <v>76850</v>
      </c>
      <c r="F1012" s="2">
        <v>919868685</v>
      </c>
      <c r="G1012" s="3">
        <v>37796</v>
      </c>
      <c r="H1012" s="2" t="s">
        <v>385</v>
      </c>
      <c r="I1012" s="2" t="s">
        <v>2296</v>
      </c>
      <c r="J1012" s="2" t="s">
        <v>2297</v>
      </c>
      <c r="K1012" s="2" t="s">
        <v>26</v>
      </c>
      <c r="L1012" s="2" t="s">
        <v>27</v>
      </c>
      <c r="M1012" s="2">
        <v>5620101</v>
      </c>
      <c r="N1012" s="2" t="s">
        <v>49</v>
      </c>
      <c r="O1012" s="2" t="s">
        <v>122</v>
      </c>
      <c r="P1012" s="2" t="s">
        <v>51</v>
      </c>
      <c r="Q1012" s="2" t="s">
        <v>67</v>
      </c>
      <c r="R1012" s="2" t="s">
        <v>53</v>
      </c>
      <c r="S1012" s="2">
        <v>8</v>
      </c>
      <c r="T1012" s="2" t="s">
        <v>33</v>
      </c>
      <c r="U1012" s="2" t="s">
        <v>34</v>
      </c>
      <c r="V1012" s="32">
        <v>46170792</v>
      </c>
      <c r="W1012" s="21">
        <v>28370000</v>
      </c>
      <c r="X1012" s="11" t="s">
        <v>2627</v>
      </c>
      <c r="Y1012" s="30">
        <f t="shared" si="30"/>
        <v>17800792</v>
      </c>
      <c r="Z1012" s="41">
        <f t="shared" si="31"/>
        <v>0.61445772903354134</v>
      </c>
    </row>
    <row r="1013" spans="1:26" ht="39">
      <c r="A1013" s="2">
        <v>1011</v>
      </c>
      <c r="B1013" s="2">
        <v>1540600</v>
      </c>
      <c r="C1013" s="2">
        <v>62710006240017</v>
      </c>
      <c r="D1013" s="2" t="s">
        <v>45</v>
      </c>
      <c r="E1013" s="2">
        <v>6447308</v>
      </c>
      <c r="F1013" s="2">
        <v>977536111</v>
      </c>
      <c r="G1013" s="3">
        <v>36826</v>
      </c>
      <c r="H1013" s="2" t="s">
        <v>2298</v>
      </c>
      <c r="I1013" s="2" t="s">
        <v>2299</v>
      </c>
      <c r="J1013" s="2" t="s">
        <v>2300</v>
      </c>
      <c r="K1013" s="2" t="s">
        <v>26</v>
      </c>
      <c r="L1013" s="2" t="s">
        <v>27</v>
      </c>
      <c r="M1013" s="2">
        <v>5340401</v>
      </c>
      <c r="N1013" s="2" t="s">
        <v>349</v>
      </c>
      <c r="O1013" s="2" t="s">
        <v>42</v>
      </c>
      <c r="P1013" s="2" t="s">
        <v>629</v>
      </c>
      <c r="Q1013" s="5">
        <v>44471</v>
      </c>
      <c r="R1013" s="2" t="s">
        <v>93</v>
      </c>
      <c r="S1013" s="2">
        <v>8</v>
      </c>
      <c r="T1013" s="2" t="s">
        <v>33</v>
      </c>
      <c r="U1013" s="2" t="s">
        <v>34</v>
      </c>
      <c r="V1013" s="32">
        <v>17729850</v>
      </c>
      <c r="W1013" s="20">
        <v>8850000</v>
      </c>
      <c r="X1013" s="2" t="s">
        <v>2662</v>
      </c>
      <c r="Y1013" s="30">
        <f t="shared" si="30"/>
        <v>8879850</v>
      </c>
      <c r="Z1013" s="41">
        <f t="shared" si="31"/>
        <v>0.49915819930794675</v>
      </c>
    </row>
    <row r="1014" spans="1:26" ht="39">
      <c r="A1014" s="2">
        <v>1012</v>
      </c>
      <c r="B1014" s="2">
        <v>3494616</v>
      </c>
      <c r="C1014" s="2">
        <v>51210026420014</v>
      </c>
      <c r="D1014" s="2" t="s">
        <v>22</v>
      </c>
      <c r="E1014" s="2">
        <v>207357</v>
      </c>
      <c r="F1014" s="2">
        <v>993746275</v>
      </c>
      <c r="G1014" s="3">
        <v>37541</v>
      </c>
      <c r="H1014" s="2" t="s">
        <v>776</v>
      </c>
      <c r="I1014" s="2" t="s">
        <v>1213</v>
      </c>
      <c r="J1014" s="2" t="s">
        <v>849</v>
      </c>
      <c r="K1014" s="2" t="s">
        <v>26</v>
      </c>
      <c r="L1014" s="2" t="s">
        <v>57</v>
      </c>
      <c r="M1014" s="2">
        <v>5340401</v>
      </c>
      <c r="N1014" s="2" t="s">
        <v>349</v>
      </c>
      <c r="O1014" s="2" t="s">
        <v>211</v>
      </c>
      <c r="P1014" s="2" t="s">
        <v>60</v>
      </c>
      <c r="Q1014" s="5">
        <v>44471</v>
      </c>
      <c r="R1014" s="2" t="s">
        <v>93</v>
      </c>
      <c r="S1014" s="2">
        <v>8</v>
      </c>
      <c r="T1014" s="2" t="s">
        <v>33</v>
      </c>
      <c r="U1014" s="2" t="s">
        <v>34</v>
      </c>
      <c r="V1014" s="32">
        <v>113471040</v>
      </c>
      <c r="Y1014" s="30">
        <f t="shared" si="30"/>
        <v>113471040</v>
      </c>
      <c r="Z1014" s="41">
        <f t="shared" si="31"/>
        <v>0</v>
      </c>
    </row>
    <row r="1015" spans="1:26">
      <c r="A1015" s="2">
        <v>1013</v>
      </c>
      <c r="B1015" s="2">
        <v>3282802</v>
      </c>
      <c r="C1015" s="2">
        <v>33006921560025</v>
      </c>
      <c r="D1015" s="2" t="s">
        <v>145</v>
      </c>
      <c r="E1015" s="2">
        <v>5027024</v>
      </c>
      <c r="F1015" s="2">
        <v>971753092</v>
      </c>
      <c r="G1015" s="3">
        <v>33785</v>
      </c>
      <c r="H1015" s="2" t="s">
        <v>278</v>
      </c>
      <c r="I1015" s="2" t="s">
        <v>718</v>
      </c>
      <c r="J1015" s="2" t="s">
        <v>2301</v>
      </c>
      <c r="K1015" s="2" t="s">
        <v>26</v>
      </c>
      <c r="L1015" s="2" t="s">
        <v>27</v>
      </c>
      <c r="M1015" s="2">
        <v>5230105</v>
      </c>
      <c r="N1015" s="2" t="s">
        <v>407</v>
      </c>
      <c r="O1015" s="2" t="s">
        <v>211</v>
      </c>
      <c r="P1015" s="2" t="s">
        <v>408</v>
      </c>
      <c r="Q1015" s="2" t="s">
        <v>299</v>
      </c>
      <c r="R1015" s="2" t="s">
        <v>134</v>
      </c>
      <c r="S1015" s="2">
        <v>10</v>
      </c>
      <c r="T1015" s="2" t="s">
        <v>33</v>
      </c>
      <c r="U1015" s="2" t="s">
        <v>34</v>
      </c>
      <c r="V1015" s="32">
        <v>182598600</v>
      </c>
      <c r="Y1015" s="30">
        <f t="shared" si="30"/>
        <v>182598600</v>
      </c>
      <c r="Z1015" s="41">
        <f t="shared" si="31"/>
        <v>0</v>
      </c>
    </row>
    <row r="1016" spans="1:26">
      <c r="A1016" s="2">
        <v>1014</v>
      </c>
      <c r="B1016" s="2">
        <v>1314652</v>
      </c>
      <c r="C1016" s="2">
        <v>52809006730019</v>
      </c>
      <c r="D1016" s="2" t="s">
        <v>45</v>
      </c>
      <c r="E1016" s="2">
        <v>6185949</v>
      </c>
      <c r="F1016" s="2">
        <v>936056565</v>
      </c>
      <c r="G1016" s="3">
        <v>36797</v>
      </c>
      <c r="H1016" s="2" t="s">
        <v>531</v>
      </c>
      <c r="I1016" s="2" t="s">
        <v>2302</v>
      </c>
      <c r="J1016" s="2" t="s">
        <v>1255</v>
      </c>
      <c r="K1016" s="2" t="s">
        <v>26</v>
      </c>
      <c r="L1016" s="2" t="s">
        <v>57</v>
      </c>
      <c r="M1016" s="2">
        <v>5314000</v>
      </c>
      <c r="N1016" s="2" t="s">
        <v>522</v>
      </c>
      <c r="O1016" s="2" t="s">
        <v>87</v>
      </c>
      <c r="P1016" s="2" t="s">
        <v>241</v>
      </c>
      <c r="Q1016" s="2" t="s">
        <v>363</v>
      </c>
      <c r="R1016" s="2" t="s">
        <v>53</v>
      </c>
      <c r="S1016" s="2">
        <v>8</v>
      </c>
      <c r="T1016" s="2" t="s">
        <v>33</v>
      </c>
      <c r="U1016" s="2" t="s">
        <v>34</v>
      </c>
      <c r="V1016" s="32">
        <v>51300880</v>
      </c>
      <c r="W1016" s="20">
        <v>25651000</v>
      </c>
      <c r="X1016" s="2" t="s">
        <v>2627</v>
      </c>
      <c r="Y1016" s="30">
        <f t="shared" si="30"/>
        <v>25649880</v>
      </c>
      <c r="Z1016" s="41">
        <f t="shared" si="31"/>
        <v>0.50001091599208436</v>
      </c>
    </row>
    <row r="1017" spans="1:26">
      <c r="A1017" s="2">
        <v>1015</v>
      </c>
      <c r="B1017" s="2">
        <v>1943947</v>
      </c>
      <c r="C1017" s="2">
        <v>51101015680013</v>
      </c>
      <c r="D1017" s="2" t="s">
        <v>45</v>
      </c>
      <c r="E1017" s="2">
        <v>6554034</v>
      </c>
      <c r="F1017" s="2">
        <v>996640930</v>
      </c>
      <c r="G1017" s="3">
        <v>36902</v>
      </c>
      <c r="H1017" s="2" t="s">
        <v>320</v>
      </c>
      <c r="I1017" s="2" t="s">
        <v>2303</v>
      </c>
      <c r="J1017" s="2" t="s">
        <v>2304</v>
      </c>
      <c r="K1017" s="2" t="s">
        <v>26</v>
      </c>
      <c r="L1017" s="2" t="s">
        <v>27</v>
      </c>
      <c r="M1017" s="2">
        <v>5310606</v>
      </c>
      <c r="N1017" s="2" t="s">
        <v>72</v>
      </c>
      <c r="O1017" s="2" t="s">
        <v>281</v>
      </c>
      <c r="P1017" s="2" t="s">
        <v>149</v>
      </c>
      <c r="Q1017" s="2" t="s">
        <v>170</v>
      </c>
      <c r="R1017" s="2" t="s">
        <v>53</v>
      </c>
      <c r="S1017" s="2">
        <v>8</v>
      </c>
      <c r="T1017" s="2" t="s">
        <v>33</v>
      </c>
      <c r="U1017" s="2" t="s">
        <v>34</v>
      </c>
      <c r="V1017" s="32">
        <v>102601760</v>
      </c>
      <c r="Y1017" s="30">
        <f t="shared" si="30"/>
        <v>102601760</v>
      </c>
      <c r="Z1017" s="41">
        <f t="shared" si="31"/>
        <v>0</v>
      </c>
    </row>
    <row r="1018" spans="1:26" ht="26.25">
      <c r="A1018" s="2">
        <v>1016</v>
      </c>
      <c r="B1018" s="2">
        <v>3307704</v>
      </c>
      <c r="C1018" s="2">
        <v>52303036390022</v>
      </c>
      <c r="D1018" s="2" t="s">
        <v>22</v>
      </c>
      <c r="E1018" s="2">
        <v>1857772</v>
      </c>
      <c r="F1018" s="2">
        <v>996589667</v>
      </c>
      <c r="G1018" s="3">
        <v>37703</v>
      </c>
      <c r="H1018" s="2" t="s">
        <v>821</v>
      </c>
      <c r="I1018" s="2" t="s">
        <v>2305</v>
      </c>
      <c r="J1018" s="2" t="s">
        <v>77</v>
      </c>
      <c r="K1018" s="2" t="s">
        <v>26</v>
      </c>
      <c r="L1018" s="2" t="s">
        <v>27</v>
      </c>
      <c r="M1018" s="2">
        <v>5640202</v>
      </c>
      <c r="N1018" s="2" t="s">
        <v>240</v>
      </c>
      <c r="O1018" s="2" t="s">
        <v>179</v>
      </c>
      <c r="P1018" s="2" t="s">
        <v>132</v>
      </c>
      <c r="Q1018" s="2" t="s">
        <v>124</v>
      </c>
      <c r="R1018" s="2" t="s">
        <v>53</v>
      </c>
      <c r="S1018" s="2">
        <v>8</v>
      </c>
      <c r="T1018" s="2" t="s">
        <v>33</v>
      </c>
      <c r="U1018" s="2" t="s">
        <v>34</v>
      </c>
      <c r="V1018" s="32">
        <v>46170792</v>
      </c>
      <c r="W1018" s="21">
        <f>26000000+15000000+5180000</f>
        <v>46180000</v>
      </c>
      <c r="X1018" s="10" t="s">
        <v>2897</v>
      </c>
      <c r="Y1018" s="30">
        <f t="shared" si="30"/>
        <v>-9208</v>
      </c>
      <c r="Z1018" s="41">
        <f t="shared" si="31"/>
        <v>1.0001994334426838</v>
      </c>
    </row>
    <row r="1019" spans="1:26" ht="31.5">
      <c r="A1019" s="2">
        <v>1017</v>
      </c>
      <c r="B1019" s="2">
        <v>3620952</v>
      </c>
      <c r="C1019" s="2">
        <v>52810035720072</v>
      </c>
      <c r="D1019" s="2" t="s">
        <v>74</v>
      </c>
      <c r="E1019" s="2">
        <v>284080</v>
      </c>
      <c r="F1019" s="2">
        <v>902433225</v>
      </c>
      <c r="G1019" s="3">
        <v>37922</v>
      </c>
      <c r="H1019" s="2" t="s">
        <v>701</v>
      </c>
      <c r="I1019" s="2" t="s">
        <v>1797</v>
      </c>
      <c r="J1019" s="2" t="s">
        <v>2306</v>
      </c>
      <c r="K1019" s="2" t="s">
        <v>26</v>
      </c>
      <c r="L1019" s="2" t="s">
        <v>27</v>
      </c>
      <c r="M1019" s="2">
        <v>5310202</v>
      </c>
      <c r="N1019" s="2" t="s">
        <v>86</v>
      </c>
      <c r="O1019" s="2" t="s">
        <v>139</v>
      </c>
      <c r="P1019" s="2" t="s">
        <v>252</v>
      </c>
      <c r="Q1019" s="2" t="s">
        <v>59</v>
      </c>
      <c r="R1019" s="2" t="s">
        <v>53</v>
      </c>
      <c r="S1019" s="2">
        <v>8</v>
      </c>
      <c r="T1019" s="2" t="s">
        <v>33</v>
      </c>
      <c r="U1019" s="2" t="s">
        <v>34</v>
      </c>
      <c r="V1019" s="32">
        <v>46170792</v>
      </c>
      <c r="W1019" s="21">
        <f>25650440+10500000</f>
        <v>36150440</v>
      </c>
      <c r="X1019" s="45" t="s">
        <v>2868</v>
      </c>
      <c r="Y1019" s="30">
        <f t="shared" si="30"/>
        <v>10020352</v>
      </c>
      <c r="Z1019" s="41">
        <f t="shared" si="31"/>
        <v>0.78297205731277042</v>
      </c>
    </row>
    <row r="1020" spans="1:26" ht="26.25">
      <c r="A1020" s="2">
        <v>1018</v>
      </c>
      <c r="B1020" s="2">
        <v>2986047</v>
      </c>
      <c r="C1020" s="2">
        <v>51301025480027</v>
      </c>
      <c r="D1020" s="2" t="s">
        <v>22</v>
      </c>
      <c r="E1020" s="2">
        <v>2511372</v>
      </c>
      <c r="F1020" s="2">
        <v>943444493</v>
      </c>
      <c r="G1020" s="3">
        <v>37269</v>
      </c>
      <c r="H1020" s="2" t="s">
        <v>89</v>
      </c>
      <c r="I1020" s="2" t="s">
        <v>995</v>
      </c>
      <c r="J1020" s="2" t="s">
        <v>514</v>
      </c>
      <c r="K1020" s="2" t="s">
        <v>26</v>
      </c>
      <c r="L1020" s="2" t="s">
        <v>27</v>
      </c>
      <c r="M1020" s="2">
        <v>5310701</v>
      </c>
      <c r="N1020" s="2" t="s">
        <v>118</v>
      </c>
      <c r="O1020" s="2" t="s">
        <v>88</v>
      </c>
      <c r="P1020" s="2" t="s">
        <v>298</v>
      </c>
      <c r="Q1020" s="2" t="s">
        <v>750</v>
      </c>
      <c r="R1020" s="2" t="s">
        <v>53</v>
      </c>
      <c r="S1020" s="2">
        <v>8</v>
      </c>
      <c r="T1020" s="2" t="s">
        <v>33</v>
      </c>
      <c r="U1020" s="2" t="s">
        <v>34</v>
      </c>
      <c r="V1020" s="32">
        <v>51300880</v>
      </c>
      <c r="Y1020" s="30">
        <f t="shared" si="30"/>
        <v>51300880</v>
      </c>
      <c r="Z1020" s="41">
        <f t="shared" si="31"/>
        <v>0</v>
      </c>
    </row>
    <row r="1021" spans="1:26" ht="26.25">
      <c r="A1021" s="2">
        <v>1019</v>
      </c>
      <c r="B1021" s="2">
        <v>2189757</v>
      </c>
      <c r="C1021" s="2">
        <v>50707026310029</v>
      </c>
      <c r="D1021" s="2" t="s">
        <v>22</v>
      </c>
      <c r="E1021" s="2">
        <v>2344167</v>
      </c>
      <c r="F1021" s="2">
        <v>995905577</v>
      </c>
      <c r="G1021" s="3">
        <v>37444</v>
      </c>
      <c r="H1021" s="2" t="s">
        <v>1450</v>
      </c>
      <c r="I1021" s="2" t="s">
        <v>1357</v>
      </c>
      <c r="J1021" s="2" t="s">
        <v>1064</v>
      </c>
      <c r="K1021" s="2" t="s">
        <v>26</v>
      </c>
      <c r="L1021" s="2" t="s">
        <v>27</v>
      </c>
      <c r="M1021" s="2">
        <v>5310605</v>
      </c>
      <c r="N1021" s="2" t="s">
        <v>97</v>
      </c>
      <c r="O1021" s="2" t="s">
        <v>225</v>
      </c>
      <c r="P1021" s="2" t="s">
        <v>98</v>
      </c>
      <c r="Q1021" s="2" t="s">
        <v>166</v>
      </c>
      <c r="R1021" s="2" t="s">
        <v>53</v>
      </c>
      <c r="S1021" s="2">
        <v>8</v>
      </c>
      <c r="T1021" s="2" t="s">
        <v>33</v>
      </c>
      <c r="U1021" s="2" t="s">
        <v>34</v>
      </c>
      <c r="V1021" s="32">
        <v>51300880</v>
      </c>
      <c r="W1021" s="21">
        <f>20000000+6000000</f>
        <v>26000000</v>
      </c>
      <c r="X1021" s="10" t="s">
        <v>2639</v>
      </c>
      <c r="Y1021" s="30">
        <f t="shared" si="30"/>
        <v>25300880</v>
      </c>
      <c r="Z1021" s="41">
        <f t="shared" si="31"/>
        <v>0.506813918201793</v>
      </c>
    </row>
    <row r="1022" spans="1:26" ht="26.25">
      <c r="A1022" s="2">
        <v>1020</v>
      </c>
      <c r="B1022" s="2">
        <v>2139973</v>
      </c>
      <c r="C1022" s="2">
        <v>51402037340018</v>
      </c>
      <c r="D1022" s="2" t="s">
        <v>35</v>
      </c>
      <c r="E1022" s="2">
        <v>1273802</v>
      </c>
      <c r="F1022" s="2">
        <v>907078024</v>
      </c>
      <c r="G1022" s="3">
        <v>37666</v>
      </c>
      <c r="H1022" s="2" t="s">
        <v>358</v>
      </c>
      <c r="I1022" s="2" t="s">
        <v>2307</v>
      </c>
      <c r="J1022" s="2" t="s">
        <v>2227</v>
      </c>
      <c r="K1022" s="2" t="s">
        <v>26</v>
      </c>
      <c r="L1022" s="2" t="s">
        <v>57</v>
      </c>
      <c r="M1022" s="2">
        <v>5340604</v>
      </c>
      <c r="N1022" s="2" t="s">
        <v>354</v>
      </c>
      <c r="O1022" s="2" t="s">
        <v>198</v>
      </c>
      <c r="P1022" s="2" t="s">
        <v>296</v>
      </c>
      <c r="Q1022" s="5">
        <v>44317</v>
      </c>
      <c r="R1022" s="2" t="s">
        <v>93</v>
      </c>
      <c r="S1022" s="2">
        <v>8</v>
      </c>
      <c r="T1022" s="2" t="s">
        <v>33</v>
      </c>
      <c r="U1022" s="2" t="s">
        <v>34</v>
      </c>
      <c r="V1022" s="32">
        <v>10637910</v>
      </c>
      <c r="W1022" s="21">
        <v>5340000</v>
      </c>
      <c r="X1022" s="11" t="s">
        <v>2628</v>
      </c>
      <c r="Y1022" s="30">
        <f t="shared" si="30"/>
        <v>5297910</v>
      </c>
      <c r="Z1022" s="41">
        <f t="shared" si="31"/>
        <v>0.5019783021288956</v>
      </c>
    </row>
    <row r="1023" spans="1:26" ht="15.75">
      <c r="A1023" s="2">
        <v>1021</v>
      </c>
      <c r="B1023" s="2">
        <v>2547114</v>
      </c>
      <c r="C1023" s="2">
        <v>50307026790025</v>
      </c>
      <c r="D1023" s="2" t="s">
        <v>22</v>
      </c>
      <c r="E1023" s="2">
        <v>2542122</v>
      </c>
      <c r="F1023" s="2">
        <v>980003055</v>
      </c>
      <c r="G1023" s="3">
        <v>37440</v>
      </c>
      <c r="H1023" s="2" t="s">
        <v>1949</v>
      </c>
      <c r="I1023" s="2" t="s">
        <v>944</v>
      </c>
      <c r="J1023" s="2" t="s">
        <v>2168</v>
      </c>
      <c r="K1023" s="2" t="s">
        <v>26</v>
      </c>
      <c r="L1023" s="2" t="s">
        <v>27</v>
      </c>
      <c r="M1023" s="2">
        <v>5620400</v>
      </c>
      <c r="N1023" s="2" t="s">
        <v>103</v>
      </c>
      <c r="O1023" s="2" t="s">
        <v>198</v>
      </c>
      <c r="P1023" s="2" t="s">
        <v>105</v>
      </c>
      <c r="Q1023" s="2" t="s">
        <v>972</v>
      </c>
      <c r="R1023" s="2" t="s">
        <v>53</v>
      </c>
      <c r="S1023" s="2">
        <v>8</v>
      </c>
      <c r="T1023" s="2" t="s">
        <v>33</v>
      </c>
      <c r="U1023" s="2" t="s">
        <v>34</v>
      </c>
      <c r="V1023" s="29">
        <v>46170792</v>
      </c>
      <c r="W1023" s="22">
        <v>23086000</v>
      </c>
      <c r="X1023" s="17" t="s">
        <v>2668</v>
      </c>
      <c r="Y1023" s="30">
        <f t="shared" si="30"/>
        <v>23084792</v>
      </c>
      <c r="Z1023" s="41">
        <f t="shared" si="31"/>
        <v>0.50001308186352966</v>
      </c>
    </row>
    <row r="1024" spans="1:26">
      <c r="A1024" s="2">
        <v>1022</v>
      </c>
      <c r="B1024" s="2">
        <v>3356231</v>
      </c>
      <c r="C1024" s="2">
        <v>51408036440014</v>
      </c>
      <c r="D1024" s="2" t="s">
        <v>22</v>
      </c>
      <c r="E1024" s="2">
        <v>2155418</v>
      </c>
      <c r="F1024" s="2">
        <v>995551501</v>
      </c>
      <c r="G1024" s="3">
        <v>37847</v>
      </c>
      <c r="H1024" s="2" t="s">
        <v>63</v>
      </c>
      <c r="I1024" s="2" t="s">
        <v>1565</v>
      </c>
      <c r="J1024" s="2" t="s">
        <v>2308</v>
      </c>
      <c r="K1024" s="2" t="s">
        <v>26</v>
      </c>
      <c r="L1024" s="2" t="s">
        <v>27</v>
      </c>
      <c r="M1024" s="2">
        <v>5230406</v>
      </c>
      <c r="N1024" s="2" t="s">
        <v>635</v>
      </c>
      <c r="O1024" s="2" t="s">
        <v>149</v>
      </c>
      <c r="P1024" s="2" t="s">
        <v>68</v>
      </c>
      <c r="Q1024" s="4">
        <v>22251</v>
      </c>
      <c r="R1024" s="2" t="s">
        <v>134</v>
      </c>
      <c r="S1024" s="2">
        <v>10</v>
      </c>
      <c r="T1024" s="2" t="s">
        <v>33</v>
      </c>
      <c r="U1024" s="2" t="s">
        <v>34</v>
      </c>
      <c r="V1024" s="32">
        <v>91299300</v>
      </c>
      <c r="Y1024" s="30">
        <f t="shared" si="30"/>
        <v>91299300</v>
      </c>
      <c r="Z1024" s="41">
        <f t="shared" si="31"/>
        <v>0</v>
      </c>
    </row>
    <row r="1025" spans="1:27" ht="26.25">
      <c r="A1025" s="2">
        <v>1023</v>
      </c>
      <c r="B1025" s="2">
        <v>3407556</v>
      </c>
      <c r="C1025" s="2">
        <v>52304036720044</v>
      </c>
      <c r="D1025" s="2" t="s">
        <v>22</v>
      </c>
      <c r="E1025" s="2">
        <v>1897880</v>
      </c>
      <c r="F1025" s="2">
        <v>998851413</v>
      </c>
      <c r="G1025" s="3">
        <v>37734</v>
      </c>
      <c r="H1025" s="2" t="s">
        <v>2309</v>
      </c>
      <c r="I1025" s="2" t="s">
        <v>2310</v>
      </c>
      <c r="J1025" s="2" t="s">
        <v>2311</v>
      </c>
      <c r="K1025" s="2" t="s">
        <v>26</v>
      </c>
      <c r="L1025" s="2" t="s">
        <v>27</v>
      </c>
      <c r="M1025" s="2">
        <v>5310601</v>
      </c>
      <c r="N1025" s="2" t="s">
        <v>153</v>
      </c>
      <c r="O1025" s="2" t="s">
        <v>149</v>
      </c>
      <c r="P1025" s="2" t="s">
        <v>584</v>
      </c>
      <c r="Q1025" s="2" t="s">
        <v>124</v>
      </c>
      <c r="R1025" s="2" t="s">
        <v>53</v>
      </c>
      <c r="S1025" s="2">
        <v>8</v>
      </c>
      <c r="T1025" s="2" t="s">
        <v>33</v>
      </c>
      <c r="U1025" s="2" t="s">
        <v>34</v>
      </c>
      <c r="V1025" s="29" t="s">
        <v>2799</v>
      </c>
      <c r="W1025" s="24">
        <v>25660000</v>
      </c>
      <c r="X1025" s="15" t="s">
        <v>2627</v>
      </c>
      <c r="Y1025" s="30">
        <f t="shared" si="30"/>
        <v>20510792</v>
      </c>
      <c r="Z1025" s="41">
        <f t="shared" si="31"/>
        <v>0.55576261286572692</v>
      </c>
      <c r="AA1025" s="42" t="s">
        <v>2798</v>
      </c>
    </row>
    <row r="1026" spans="1:27" ht="26.25">
      <c r="A1026" s="2">
        <v>1024</v>
      </c>
      <c r="B1026" s="2">
        <v>3751475</v>
      </c>
      <c r="C1026" s="2">
        <v>33006921891464</v>
      </c>
      <c r="D1026" s="2" t="s">
        <v>45</v>
      </c>
      <c r="E1026" s="2">
        <v>7083402</v>
      </c>
      <c r="F1026" s="2">
        <v>998520870</v>
      </c>
      <c r="G1026" s="3">
        <v>33785</v>
      </c>
      <c r="H1026" s="2" t="s">
        <v>2312</v>
      </c>
      <c r="I1026" s="2" t="s">
        <v>172</v>
      </c>
      <c r="J1026" s="2" t="s">
        <v>244</v>
      </c>
      <c r="K1026" s="2" t="s">
        <v>39</v>
      </c>
      <c r="L1026" s="2" t="s">
        <v>27</v>
      </c>
      <c r="M1026" s="2">
        <v>5340202</v>
      </c>
      <c r="N1026" s="2" t="s">
        <v>499</v>
      </c>
      <c r="O1026" s="2" t="s">
        <v>219</v>
      </c>
      <c r="P1026" s="2" t="s">
        <v>490</v>
      </c>
      <c r="Q1026" s="5">
        <v>44471</v>
      </c>
      <c r="R1026" s="2" t="s">
        <v>44</v>
      </c>
      <c r="S1026" s="2">
        <v>8</v>
      </c>
      <c r="T1026" s="2" t="s">
        <v>33</v>
      </c>
      <c r="U1026" s="2" t="s">
        <v>34</v>
      </c>
      <c r="V1026" s="32" t="s">
        <v>2726</v>
      </c>
      <c r="Y1026" s="30">
        <f t="shared" si="30"/>
        <v>20549732.5</v>
      </c>
      <c r="Z1026" s="41">
        <f t="shared" si="31"/>
        <v>0</v>
      </c>
    </row>
    <row r="1027" spans="1:27">
      <c r="A1027" s="2">
        <v>1025</v>
      </c>
      <c r="B1027" s="2">
        <v>3543644</v>
      </c>
      <c r="C1027" s="2">
        <v>52205037320014</v>
      </c>
      <c r="D1027" s="2" t="s">
        <v>74</v>
      </c>
      <c r="E1027" s="2">
        <v>41009</v>
      </c>
      <c r="F1027" s="2">
        <v>913921004</v>
      </c>
      <c r="G1027" s="3">
        <v>37763</v>
      </c>
      <c r="H1027" s="2" t="s">
        <v>2313</v>
      </c>
      <c r="I1027" s="2" t="s">
        <v>2314</v>
      </c>
      <c r="J1027" s="2" t="s">
        <v>2249</v>
      </c>
      <c r="K1027" s="2" t="s">
        <v>39</v>
      </c>
      <c r="L1027" s="2" t="s">
        <v>57</v>
      </c>
      <c r="M1027" s="2">
        <v>5620400</v>
      </c>
      <c r="N1027" s="2" t="s">
        <v>103</v>
      </c>
      <c r="O1027" s="2" t="s">
        <v>225</v>
      </c>
      <c r="P1027" s="2" t="s">
        <v>139</v>
      </c>
      <c r="Q1027" s="4">
        <v>43922</v>
      </c>
      <c r="R1027" s="2" t="s">
        <v>62</v>
      </c>
      <c r="S1027" s="2">
        <v>8</v>
      </c>
      <c r="T1027" s="2" t="s">
        <v>33</v>
      </c>
      <c r="U1027" s="2" t="s">
        <v>34</v>
      </c>
      <c r="V1027" s="32">
        <v>59781040</v>
      </c>
      <c r="W1027" s="20">
        <f>30000000+5000000+5000000</f>
        <v>40000000</v>
      </c>
      <c r="X1027" t="s">
        <v>2988</v>
      </c>
      <c r="Y1027" s="30">
        <f t="shared" si="30"/>
        <v>19781040</v>
      </c>
      <c r="Z1027" s="41">
        <f t="shared" si="31"/>
        <v>0.66910846649707001</v>
      </c>
    </row>
    <row r="1028" spans="1:27" ht="26.25">
      <c r="A1028" s="2">
        <v>1026</v>
      </c>
      <c r="B1028" s="2">
        <v>2316810</v>
      </c>
      <c r="C1028" s="2">
        <v>62305025660034</v>
      </c>
      <c r="D1028" s="2" t="s">
        <v>22</v>
      </c>
      <c r="E1028" s="2">
        <v>1510009</v>
      </c>
      <c r="F1028" s="2">
        <v>908641123</v>
      </c>
      <c r="G1028" s="3">
        <v>37399</v>
      </c>
      <c r="H1028" s="2" t="s">
        <v>2315</v>
      </c>
      <c r="I1028" s="2" t="s">
        <v>2316</v>
      </c>
      <c r="J1028" s="2" t="s">
        <v>2317</v>
      </c>
      <c r="K1028" s="2" t="s">
        <v>39</v>
      </c>
      <c r="L1028" s="2" t="s">
        <v>27</v>
      </c>
      <c r="M1028" s="2">
        <v>5330202</v>
      </c>
      <c r="N1028" s="2" t="s">
        <v>164</v>
      </c>
      <c r="O1028" s="2" t="s">
        <v>179</v>
      </c>
      <c r="P1028" s="2" t="s">
        <v>123</v>
      </c>
      <c r="Q1028" s="2" t="s">
        <v>288</v>
      </c>
      <c r="R1028" s="2" t="s">
        <v>44</v>
      </c>
      <c r="S1028" s="2">
        <v>10</v>
      </c>
      <c r="T1028" s="2" t="s">
        <v>33</v>
      </c>
      <c r="U1028" s="2" t="s">
        <v>34</v>
      </c>
      <c r="V1028" s="32">
        <v>82198930</v>
      </c>
      <c r="Y1028" s="30">
        <f t="shared" ref="Y1028:Y1091" si="32">V1028-W1028</f>
        <v>82198930</v>
      </c>
      <c r="Z1028" s="41">
        <f t="shared" ref="Z1028:Z1091" si="33">W1028/V1028</f>
        <v>0</v>
      </c>
    </row>
    <row r="1029" spans="1:27">
      <c r="A1029" s="2">
        <v>1027</v>
      </c>
      <c r="B1029" s="2">
        <v>3406343</v>
      </c>
      <c r="C1029" s="2">
        <v>52210036240030</v>
      </c>
      <c r="D1029" s="2" t="s">
        <v>22</v>
      </c>
      <c r="E1029" s="2">
        <v>2983810</v>
      </c>
      <c r="F1029" s="2">
        <v>937090220</v>
      </c>
      <c r="G1029" s="3">
        <v>37916</v>
      </c>
      <c r="H1029" s="2" t="s">
        <v>112</v>
      </c>
      <c r="I1029" s="2" t="s">
        <v>2318</v>
      </c>
      <c r="J1029" s="2" t="s">
        <v>945</v>
      </c>
      <c r="K1029" s="2" t="s">
        <v>39</v>
      </c>
      <c r="L1029" s="2" t="s">
        <v>27</v>
      </c>
      <c r="M1029" s="2">
        <v>5340603</v>
      </c>
      <c r="N1029" s="2" t="s">
        <v>174</v>
      </c>
      <c r="O1029" s="2" t="s">
        <v>198</v>
      </c>
      <c r="P1029" s="2" t="s">
        <v>175</v>
      </c>
      <c r="Q1029" s="2" t="s">
        <v>277</v>
      </c>
      <c r="R1029" s="2" t="s">
        <v>44</v>
      </c>
      <c r="S1029" s="2">
        <v>8</v>
      </c>
      <c r="T1029" s="2" t="s">
        <v>33</v>
      </c>
      <c r="U1029" s="2" t="s">
        <v>34</v>
      </c>
      <c r="V1029" s="32" t="s">
        <v>2722</v>
      </c>
      <c r="W1029" s="20">
        <v>32880000</v>
      </c>
      <c r="X1029" s="2" t="s">
        <v>2663</v>
      </c>
      <c r="Y1029" s="30">
        <f t="shared" si="32"/>
        <v>26303229.600000001</v>
      </c>
      <c r="Z1029" s="41">
        <f t="shared" si="33"/>
        <v>0.55556278733393083</v>
      </c>
    </row>
    <row r="1030" spans="1:27" ht="26.25">
      <c r="A1030" s="2">
        <v>1028</v>
      </c>
      <c r="B1030" s="2">
        <v>3180874</v>
      </c>
      <c r="C1030" s="2">
        <v>40611826600017</v>
      </c>
      <c r="D1030" s="2" t="s">
        <v>45</v>
      </c>
      <c r="E1030" s="2">
        <v>240155</v>
      </c>
      <c r="F1030" s="2">
        <v>974458699</v>
      </c>
      <c r="G1030" s="3">
        <v>30261</v>
      </c>
      <c r="H1030" s="2" t="s">
        <v>2319</v>
      </c>
      <c r="I1030" s="2" t="s">
        <v>2320</v>
      </c>
      <c r="J1030" s="2" t="s">
        <v>2321</v>
      </c>
      <c r="K1030" s="2" t="s">
        <v>39</v>
      </c>
      <c r="L1030" s="2" t="s">
        <v>27</v>
      </c>
      <c r="M1030" s="2">
        <v>5230902</v>
      </c>
      <c r="N1030" s="2" t="s">
        <v>251</v>
      </c>
      <c r="O1030" s="2" t="s">
        <v>199</v>
      </c>
      <c r="P1030" s="2" t="s">
        <v>252</v>
      </c>
      <c r="Q1030" s="2" t="s">
        <v>775</v>
      </c>
      <c r="R1030" s="2" t="s">
        <v>82</v>
      </c>
      <c r="S1030" s="2">
        <v>10</v>
      </c>
      <c r="T1030" s="2" t="s">
        <v>33</v>
      </c>
      <c r="U1030" s="2" t="s">
        <v>34</v>
      </c>
      <c r="V1030" s="32">
        <v>104616820</v>
      </c>
      <c r="Y1030" s="30">
        <f t="shared" si="32"/>
        <v>104616820</v>
      </c>
      <c r="Z1030" s="41">
        <f t="shared" si="33"/>
        <v>0</v>
      </c>
    </row>
    <row r="1031" spans="1:27" ht="26.25">
      <c r="A1031" s="2">
        <v>1029</v>
      </c>
      <c r="B1031" s="2">
        <v>1160013</v>
      </c>
      <c r="C1031" s="2">
        <v>51605017110012</v>
      </c>
      <c r="D1031" s="2" t="s">
        <v>45</v>
      </c>
      <c r="E1031" s="2">
        <v>6952665</v>
      </c>
      <c r="F1031" s="2">
        <v>992532001</v>
      </c>
      <c r="G1031" s="3">
        <v>37027</v>
      </c>
      <c r="H1031" s="2" t="s">
        <v>1331</v>
      </c>
      <c r="I1031" s="2" t="s">
        <v>2322</v>
      </c>
      <c r="J1031" s="2" t="s">
        <v>2222</v>
      </c>
      <c r="K1031" s="2" t="s">
        <v>39</v>
      </c>
      <c r="L1031" s="2" t="s">
        <v>27</v>
      </c>
      <c r="M1031" s="2">
        <v>5350701</v>
      </c>
      <c r="N1031" s="2" t="s">
        <v>338</v>
      </c>
      <c r="O1031" s="2" t="s">
        <v>194</v>
      </c>
      <c r="P1031" s="2" t="s">
        <v>73</v>
      </c>
      <c r="Q1031" s="4">
        <v>11110</v>
      </c>
      <c r="R1031" s="2" t="s">
        <v>44</v>
      </c>
      <c r="S1031" s="2">
        <v>8</v>
      </c>
      <c r="T1031" s="2" t="s">
        <v>33</v>
      </c>
      <c r="U1031" s="2" t="s">
        <v>34</v>
      </c>
      <c r="V1031" s="32">
        <v>65759144</v>
      </c>
      <c r="Y1031" s="30">
        <f t="shared" si="32"/>
        <v>65759144</v>
      </c>
      <c r="Z1031" s="41">
        <f t="shared" si="33"/>
        <v>0</v>
      </c>
    </row>
    <row r="1032" spans="1:27" ht="26.25">
      <c r="A1032" s="2">
        <v>1030</v>
      </c>
      <c r="B1032" s="2">
        <v>1636446</v>
      </c>
      <c r="C1032" s="2">
        <v>50101006600104</v>
      </c>
      <c r="D1032" s="2" t="s">
        <v>45</v>
      </c>
      <c r="E1032" s="2">
        <v>4690306</v>
      </c>
      <c r="F1032" s="2">
        <v>974245040</v>
      </c>
      <c r="G1032" s="3">
        <v>36526</v>
      </c>
      <c r="H1032" s="2" t="s">
        <v>1052</v>
      </c>
      <c r="I1032" s="2" t="s">
        <v>2323</v>
      </c>
      <c r="J1032" s="2" t="s">
        <v>2324</v>
      </c>
      <c r="K1032" s="2" t="s">
        <v>39</v>
      </c>
      <c r="L1032" s="2" t="s">
        <v>27</v>
      </c>
      <c r="M1032" s="2">
        <v>5320102</v>
      </c>
      <c r="N1032" s="2" t="s">
        <v>138</v>
      </c>
      <c r="O1032" s="2" t="s">
        <v>310</v>
      </c>
      <c r="P1032" s="2" t="s">
        <v>140</v>
      </c>
      <c r="Q1032" s="2" t="s">
        <v>750</v>
      </c>
      <c r="R1032" s="2" t="s">
        <v>62</v>
      </c>
      <c r="S1032" s="2">
        <v>8</v>
      </c>
      <c r="T1032" s="2" t="s">
        <v>33</v>
      </c>
      <c r="U1032" s="2" t="s">
        <v>34</v>
      </c>
      <c r="V1032" s="32">
        <v>119562080</v>
      </c>
      <c r="Y1032" s="30">
        <f t="shared" si="32"/>
        <v>119562080</v>
      </c>
      <c r="Z1032" s="41">
        <f t="shared" si="33"/>
        <v>0</v>
      </c>
    </row>
    <row r="1033" spans="1:27" ht="39">
      <c r="A1033" s="2">
        <v>1031</v>
      </c>
      <c r="B1033" s="2">
        <v>1977999</v>
      </c>
      <c r="C1033" s="2">
        <v>32812940330054</v>
      </c>
      <c r="D1033" s="2" t="s">
        <v>145</v>
      </c>
      <c r="E1033" s="2">
        <v>4177747</v>
      </c>
      <c r="F1033" s="2">
        <v>998891780</v>
      </c>
      <c r="G1033" s="3">
        <v>34696</v>
      </c>
      <c r="H1033" s="2" t="s">
        <v>648</v>
      </c>
      <c r="I1033" s="2" t="s">
        <v>1267</v>
      </c>
      <c r="J1033" s="2" t="s">
        <v>586</v>
      </c>
      <c r="K1033" s="2" t="s">
        <v>39</v>
      </c>
      <c r="L1033" s="2" t="s">
        <v>57</v>
      </c>
      <c r="M1033" s="2">
        <v>5311003</v>
      </c>
      <c r="N1033" s="2" t="s">
        <v>144</v>
      </c>
      <c r="O1033" s="2">
        <v>63</v>
      </c>
      <c r="P1033" s="2" t="s">
        <v>155</v>
      </c>
      <c r="Q1033" s="4">
        <v>14824</v>
      </c>
      <c r="R1033" s="2" t="s">
        <v>62</v>
      </c>
      <c r="S1033" s="2">
        <v>8</v>
      </c>
      <c r="T1033" s="2" t="s">
        <v>33</v>
      </c>
      <c r="U1033" s="2" t="s">
        <v>34</v>
      </c>
      <c r="V1033" s="32">
        <v>59781040</v>
      </c>
      <c r="Y1033" s="30">
        <f t="shared" si="32"/>
        <v>59781040</v>
      </c>
      <c r="Z1033" s="41">
        <f t="shared" si="33"/>
        <v>0</v>
      </c>
    </row>
    <row r="1034" spans="1:27" ht="26.25">
      <c r="A1034" s="2">
        <v>1032</v>
      </c>
      <c r="B1034" s="2">
        <v>3189826</v>
      </c>
      <c r="C1034" s="2">
        <v>41909940460024</v>
      </c>
      <c r="D1034" s="2" t="s">
        <v>45</v>
      </c>
      <c r="E1034" s="2">
        <v>5842649</v>
      </c>
      <c r="F1034" s="2">
        <v>976099919</v>
      </c>
      <c r="G1034" s="3">
        <v>34596</v>
      </c>
      <c r="H1034" s="2" t="s">
        <v>2325</v>
      </c>
      <c r="I1034" s="2" t="s">
        <v>2326</v>
      </c>
      <c r="J1034" s="2" t="s">
        <v>2327</v>
      </c>
      <c r="K1034" s="2" t="s">
        <v>39</v>
      </c>
      <c r="L1034" s="2" t="s">
        <v>27</v>
      </c>
      <c r="M1034" s="2">
        <v>5320102</v>
      </c>
      <c r="N1034" s="2" t="s">
        <v>138</v>
      </c>
      <c r="O1034" s="2" t="s">
        <v>149</v>
      </c>
      <c r="P1034" s="2" t="s">
        <v>140</v>
      </c>
      <c r="Q1034" s="4">
        <v>42064</v>
      </c>
      <c r="R1034" s="2" t="s">
        <v>62</v>
      </c>
      <c r="S1034" s="2">
        <v>8</v>
      </c>
      <c r="T1034" s="2" t="s">
        <v>33</v>
      </c>
      <c r="U1034" s="2" t="s">
        <v>34</v>
      </c>
      <c r="V1034" s="32">
        <v>22417890</v>
      </c>
      <c r="W1034" s="21">
        <f>12420000+5000000</f>
        <v>17420000</v>
      </c>
      <c r="X1034" s="11" t="s">
        <v>2900</v>
      </c>
      <c r="Y1034" s="30">
        <f t="shared" si="32"/>
        <v>4997890</v>
      </c>
      <c r="Z1034" s="41">
        <f t="shared" si="33"/>
        <v>0.77705796575859731</v>
      </c>
    </row>
    <row r="1035" spans="1:27" ht="26.25">
      <c r="A1035" s="2">
        <v>1033</v>
      </c>
      <c r="B1035" s="2">
        <v>1582874</v>
      </c>
      <c r="C1035" s="2">
        <v>32911966300015</v>
      </c>
      <c r="D1035" s="2" t="s">
        <v>145</v>
      </c>
      <c r="E1035" s="2">
        <v>2218242</v>
      </c>
      <c r="F1035" s="2">
        <v>996631996</v>
      </c>
      <c r="G1035" s="3">
        <v>35398</v>
      </c>
      <c r="H1035" s="2" t="s">
        <v>320</v>
      </c>
      <c r="I1035" s="2" t="s">
        <v>204</v>
      </c>
      <c r="J1035" s="2" t="s">
        <v>2328</v>
      </c>
      <c r="K1035" s="2" t="s">
        <v>39</v>
      </c>
      <c r="L1035" s="2" t="s">
        <v>27</v>
      </c>
      <c r="M1035" s="2">
        <v>5350701</v>
      </c>
      <c r="N1035" s="2" t="s">
        <v>338</v>
      </c>
      <c r="O1035" s="2" t="s">
        <v>42</v>
      </c>
      <c r="P1035" s="2" t="s">
        <v>73</v>
      </c>
      <c r="Q1035" s="5">
        <v>44317</v>
      </c>
      <c r="R1035" s="2" t="s">
        <v>44</v>
      </c>
      <c r="S1035" s="2">
        <v>8</v>
      </c>
      <c r="T1035" s="2" t="s">
        <v>33</v>
      </c>
      <c r="U1035" s="2" t="s">
        <v>34</v>
      </c>
      <c r="V1035" s="32" t="s">
        <v>2724</v>
      </c>
      <c r="W1035" s="21">
        <v>6200000</v>
      </c>
      <c r="X1035" s="11" t="s">
        <v>2625</v>
      </c>
      <c r="Y1035" s="30">
        <f t="shared" si="32"/>
        <v>6129839.5</v>
      </c>
      <c r="Z1035" s="41">
        <f t="shared" si="33"/>
        <v>0.50284515057961621</v>
      </c>
    </row>
    <row r="1036" spans="1:27" ht="26.25">
      <c r="A1036" s="2">
        <v>1034</v>
      </c>
      <c r="B1036" s="2">
        <v>1773206</v>
      </c>
      <c r="C1036" s="2">
        <v>31401953090076</v>
      </c>
      <c r="D1036" s="2" t="s">
        <v>145</v>
      </c>
      <c r="E1036" s="2">
        <v>6848147</v>
      </c>
      <c r="F1036" s="2">
        <v>949211122</v>
      </c>
      <c r="G1036" s="3">
        <v>34713</v>
      </c>
      <c r="H1036" s="2" t="s">
        <v>2329</v>
      </c>
      <c r="I1036" s="2" t="s">
        <v>2330</v>
      </c>
      <c r="J1036" s="2" t="s">
        <v>2331</v>
      </c>
      <c r="K1036" s="2" t="s">
        <v>39</v>
      </c>
      <c r="L1036" s="2" t="s">
        <v>27</v>
      </c>
      <c r="M1036" s="2">
        <v>5340605</v>
      </c>
      <c r="N1036" s="2" t="s">
        <v>40</v>
      </c>
      <c r="O1036" s="2" t="s">
        <v>207</v>
      </c>
      <c r="P1036" s="2" t="s">
        <v>42</v>
      </c>
      <c r="Q1036" s="4">
        <v>16681</v>
      </c>
      <c r="R1036" s="2" t="s">
        <v>44</v>
      </c>
      <c r="S1036" s="2">
        <v>8</v>
      </c>
      <c r="T1036" s="2" t="s">
        <v>33</v>
      </c>
      <c r="U1036" s="2" t="s">
        <v>34</v>
      </c>
      <c r="V1036" s="32">
        <v>65759144</v>
      </c>
      <c r="Y1036" s="30">
        <f t="shared" si="32"/>
        <v>65759144</v>
      </c>
      <c r="Z1036" s="41">
        <f t="shared" si="33"/>
        <v>0</v>
      </c>
    </row>
    <row r="1037" spans="1:27" ht="39">
      <c r="A1037" s="2">
        <v>1035</v>
      </c>
      <c r="B1037" s="2">
        <v>1220667</v>
      </c>
      <c r="C1037" s="2">
        <v>31809941580031</v>
      </c>
      <c r="D1037" s="2" t="s">
        <v>145</v>
      </c>
      <c r="E1037" s="2">
        <v>2225818</v>
      </c>
      <c r="F1037" s="2">
        <v>943460278</v>
      </c>
      <c r="G1037" s="3">
        <v>34595</v>
      </c>
      <c r="H1037" s="2" t="s">
        <v>2332</v>
      </c>
      <c r="I1037" s="2" t="s">
        <v>2333</v>
      </c>
      <c r="J1037" s="2" t="s">
        <v>2334</v>
      </c>
      <c r="K1037" s="2" t="s">
        <v>39</v>
      </c>
      <c r="L1037" s="2" t="s">
        <v>27</v>
      </c>
      <c r="M1037" s="2">
        <v>5340401</v>
      </c>
      <c r="N1037" s="2" t="s">
        <v>349</v>
      </c>
      <c r="O1037" s="2" t="s">
        <v>67</v>
      </c>
      <c r="P1037" s="2" t="s">
        <v>350</v>
      </c>
      <c r="Q1037" s="5">
        <v>44317</v>
      </c>
      <c r="R1037" s="2" t="s">
        <v>44</v>
      </c>
      <c r="S1037" s="2">
        <v>8</v>
      </c>
      <c r="T1037" s="2" t="s">
        <v>33</v>
      </c>
      <c r="U1037" s="2" t="s">
        <v>34</v>
      </c>
      <c r="V1037" s="29" t="s">
        <v>2832</v>
      </c>
      <c r="W1037" s="21">
        <f>6165000+2000000</f>
        <v>8165000</v>
      </c>
      <c r="X1037" s="11" t="s">
        <v>2976</v>
      </c>
      <c r="Y1037" s="30">
        <f t="shared" si="32"/>
        <v>2931855.5500000007</v>
      </c>
      <c r="Z1037" s="41">
        <f t="shared" si="33"/>
        <v>0.73579402410081829</v>
      </c>
      <c r="AA1037" s="42" t="s">
        <v>2798</v>
      </c>
    </row>
    <row r="1038" spans="1:27" ht="15.75">
      <c r="A1038" s="2">
        <v>1036</v>
      </c>
      <c r="B1038" s="2">
        <v>1394284</v>
      </c>
      <c r="C1038" s="2">
        <v>30407985480020</v>
      </c>
      <c r="D1038" s="2" t="s">
        <v>45</v>
      </c>
      <c r="E1038" s="2">
        <v>2770694</v>
      </c>
      <c r="F1038" s="2">
        <v>992600098</v>
      </c>
      <c r="G1038" s="3">
        <v>35980</v>
      </c>
      <c r="H1038" s="2" t="s">
        <v>1978</v>
      </c>
      <c r="I1038" s="2" t="s">
        <v>2335</v>
      </c>
      <c r="J1038" s="2" t="s">
        <v>85</v>
      </c>
      <c r="K1038" s="2" t="s">
        <v>39</v>
      </c>
      <c r="L1038" s="2" t="s">
        <v>57</v>
      </c>
      <c r="M1038" s="2">
        <v>5620400</v>
      </c>
      <c r="N1038" s="2" t="s">
        <v>103</v>
      </c>
      <c r="O1038" s="2" t="s">
        <v>154</v>
      </c>
      <c r="P1038" s="2" t="s">
        <v>139</v>
      </c>
      <c r="Q1038" s="5">
        <v>44471</v>
      </c>
      <c r="R1038" s="2" t="s">
        <v>62</v>
      </c>
      <c r="S1038" s="2">
        <v>8</v>
      </c>
      <c r="T1038" s="2" t="s">
        <v>33</v>
      </c>
      <c r="U1038" s="2" t="s">
        <v>34</v>
      </c>
      <c r="V1038" s="32">
        <v>18681575</v>
      </c>
      <c r="W1038" s="21">
        <v>9340787.5</v>
      </c>
      <c r="X1038" s="12" t="s">
        <v>2654</v>
      </c>
      <c r="Y1038" s="30">
        <f t="shared" si="32"/>
        <v>9340787.5</v>
      </c>
      <c r="Z1038" s="41">
        <f t="shared" si="33"/>
        <v>0.5</v>
      </c>
    </row>
    <row r="1039" spans="1:27" ht="26.25">
      <c r="A1039" s="2">
        <v>1037</v>
      </c>
      <c r="B1039" s="2">
        <v>3541502</v>
      </c>
      <c r="C1039" s="2">
        <v>52608046860069</v>
      </c>
      <c r="D1039" s="2" t="s">
        <v>22</v>
      </c>
      <c r="E1039" s="2">
        <v>3068366</v>
      </c>
      <c r="F1039" s="2">
        <v>994630923</v>
      </c>
      <c r="G1039" s="3">
        <v>38225</v>
      </c>
      <c r="H1039" s="2" t="s">
        <v>460</v>
      </c>
      <c r="I1039" s="2" t="s">
        <v>2336</v>
      </c>
      <c r="J1039" s="2" t="s">
        <v>102</v>
      </c>
      <c r="K1039" s="2" t="s">
        <v>39</v>
      </c>
      <c r="L1039" s="2" t="s">
        <v>27</v>
      </c>
      <c r="M1039" s="2">
        <v>5340606</v>
      </c>
      <c r="N1039" s="2" t="s">
        <v>191</v>
      </c>
      <c r="O1039" s="2" t="s">
        <v>350</v>
      </c>
      <c r="P1039" s="2" t="s">
        <v>42</v>
      </c>
      <c r="Q1039" s="5">
        <v>44317</v>
      </c>
      <c r="R1039" s="2" t="s">
        <v>44</v>
      </c>
      <c r="S1039" s="2">
        <v>8</v>
      </c>
      <c r="T1039" s="2" t="s">
        <v>508</v>
      </c>
      <c r="U1039" s="2" t="s">
        <v>34</v>
      </c>
      <c r="V1039" s="32" t="s">
        <v>2724</v>
      </c>
      <c r="Y1039" s="30">
        <f t="shared" si="32"/>
        <v>12329839.5</v>
      </c>
      <c r="Z1039" s="41">
        <f t="shared" si="33"/>
        <v>0</v>
      </c>
    </row>
    <row r="1040" spans="1:27" ht="15.75">
      <c r="A1040" s="2">
        <v>1038</v>
      </c>
      <c r="B1040" s="2">
        <v>3483113</v>
      </c>
      <c r="C1040" s="2">
        <v>52708037130075</v>
      </c>
      <c r="D1040" s="2" t="s">
        <v>74</v>
      </c>
      <c r="E1040" s="2">
        <v>31720</v>
      </c>
      <c r="F1040" s="2">
        <v>990290027</v>
      </c>
      <c r="G1040" s="3">
        <v>37860</v>
      </c>
      <c r="H1040" s="2" t="s">
        <v>731</v>
      </c>
      <c r="I1040" s="2" t="s">
        <v>2337</v>
      </c>
      <c r="J1040" s="2" t="s">
        <v>2338</v>
      </c>
      <c r="K1040" s="2" t="s">
        <v>39</v>
      </c>
      <c r="L1040" s="2" t="s">
        <v>57</v>
      </c>
      <c r="M1040" s="2">
        <v>5310606</v>
      </c>
      <c r="N1040" s="2" t="s">
        <v>72</v>
      </c>
      <c r="O1040" s="2" t="s">
        <v>88</v>
      </c>
      <c r="P1040" s="2" t="s">
        <v>225</v>
      </c>
      <c r="Q1040" s="5">
        <v>44471</v>
      </c>
      <c r="R1040" s="2" t="s">
        <v>62</v>
      </c>
      <c r="S1040" s="2">
        <v>8</v>
      </c>
      <c r="T1040" s="2" t="s">
        <v>33</v>
      </c>
      <c r="U1040" s="2" t="s">
        <v>34</v>
      </c>
      <c r="V1040" s="32">
        <v>18681575</v>
      </c>
      <c r="W1040" s="20">
        <f>9341000+9341000</f>
        <v>18682000</v>
      </c>
      <c r="X1040" s="18" t="s">
        <v>2937</v>
      </c>
      <c r="Y1040" s="30">
        <f t="shared" si="32"/>
        <v>-425</v>
      </c>
      <c r="Z1040" s="41">
        <f t="shared" si="33"/>
        <v>1.0000227496878609</v>
      </c>
    </row>
    <row r="1041" spans="1:27" ht="15.75">
      <c r="A1041" s="2">
        <v>1039</v>
      </c>
      <c r="B1041" s="2">
        <v>3512305</v>
      </c>
      <c r="C1041" s="2">
        <v>51910045290033</v>
      </c>
      <c r="D1041" s="2" t="s">
        <v>74</v>
      </c>
      <c r="E1041" s="2">
        <v>54856</v>
      </c>
      <c r="F1041" s="2">
        <v>982740757</v>
      </c>
      <c r="G1041" s="3">
        <v>38279</v>
      </c>
      <c r="H1041" s="2" t="s">
        <v>2339</v>
      </c>
      <c r="I1041" s="2" t="s">
        <v>1213</v>
      </c>
      <c r="J1041" s="2" t="s">
        <v>1255</v>
      </c>
      <c r="K1041" s="2" t="s">
        <v>39</v>
      </c>
      <c r="L1041" s="2" t="s">
        <v>57</v>
      </c>
      <c r="M1041" s="2">
        <v>5620101</v>
      </c>
      <c r="N1041" s="2" t="s">
        <v>49</v>
      </c>
      <c r="O1041" s="2" t="s">
        <v>198</v>
      </c>
      <c r="P1041" s="2" t="s">
        <v>194</v>
      </c>
      <c r="Q1041" s="2" t="s">
        <v>591</v>
      </c>
      <c r="R1041" s="2" t="s">
        <v>62</v>
      </c>
      <c r="S1041" s="2">
        <v>8</v>
      </c>
      <c r="T1041" s="2" t="s">
        <v>33</v>
      </c>
      <c r="U1041" s="2" t="s">
        <v>34</v>
      </c>
      <c r="V1041" s="32">
        <v>59781040</v>
      </c>
      <c r="W1041" s="21">
        <f>30000000+15000000</f>
        <v>45000000</v>
      </c>
      <c r="X1041" s="10" t="s">
        <v>2874</v>
      </c>
      <c r="Y1041" s="30">
        <f t="shared" si="32"/>
        <v>14781040</v>
      </c>
      <c r="Z1041" s="41">
        <f t="shared" si="33"/>
        <v>0.75274702480920375</v>
      </c>
    </row>
    <row r="1042" spans="1:27">
      <c r="A1042" s="2">
        <v>1040</v>
      </c>
      <c r="B1042" s="2">
        <v>2412823</v>
      </c>
      <c r="C1042" s="2">
        <v>32712873840047</v>
      </c>
      <c r="D1042" s="2" t="s">
        <v>145</v>
      </c>
      <c r="E1042" s="2">
        <v>584450</v>
      </c>
      <c r="F1042" s="2">
        <v>974030947</v>
      </c>
      <c r="G1042" s="3">
        <v>32138</v>
      </c>
      <c r="H1042" s="2" t="s">
        <v>563</v>
      </c>
      <c r="I1042" s="2" t="s">
        <v>2340</v>
      </c>
      <c r="J1042" s="2" t="s">
        <v>2341</v>
      </c>
      <c r="K1042" s="2" t="s">
        <v>39</v>
      </c>
      <c r="L1042" s="2" t="s">
        <v>57</v>
      </c>
      <c r="M1042" s="2">
        <v>5310400</v>
      </c>
      <c r="N1042" s="2" t="s">
        <v>232</v>
      </c>
      <c r="O1042" s="2" t="s">
        <v>99</v>
      </c>
      <c r="P1042" s="2" t="s">
        <v>139</v>
      </c>
      <c r="Q1042" s="5">
        <v>44492</v>
      </c>
      <c r="R1042" s="2" t="s">
        <v>62</v>
      </c>
      <c r="S1042" s="2">
        <v>8</v>
      </c>
      <c r="T1042" s="2" t="s">
        <v>33</v>
      </c>
      <c r="U1042" s="2" t="s">
        <v>34</v>
      </c>
      <c r="V1042" s="32">
        <v>119562080</v>
      </c>
      <c r="Y1042" s="30">
        <f t="shared" si="32"/>
        <v>119562080</v>
      </c>
      <c r="Z1042" s="41">
        <f t="shared" si="33"/>
        <v>0</v>
      </c>
    </row>
    <row r="1043" spans="1:27" ht="26.25">
      <c r="A1043" s="2">
        <v>1041</v>
      </c>
      <c r="B1043" s="2">
        <v>3548621</v>
      </c>
      <c r="C1043" s="2">
        <v>51311047020035</v>
      </c>
      <c r="D1043" s="2" t="s">
        <v>22</v>
      </c>
      <c r="E1043" s="2">
        <v>3170626</v>
      </c>
      <c r="F1043" s="2">
        <v>916952114</v>
      </c>
      <c r="G1043" s="3">
        <v>38304</v>
      </c>
      <c r="H1043" s="2" t="s">
        <v>2342</v>
      </c>
      <c r="I1043" s="2" t="s">
        <v>2336</v>
      </c>
      <c r="J1043" s="2" t="s">
        <v>2343</v>
      </c>
      <c r="K1043" s="2" t="s">
        <v>39</v>
      </c>
      <c r="L1043" s="2" t="s">
        <v>27</v>
      </c>
      <c r="M1043" s="2">
        <v>5640202</v>
      </c>
      <c r="N1043" s="2" t="s">
        <v>240</v>
      </c>
      <c r="O1043" s="2" t="s">
        <v>42</v>
      </c>
      <c r="P1043" s="2" t="s">
        <v>241</v>
      </c>
      <c r="Q1043" s="4">
        <v>42064</v>
      </c>
      <c r="R1043" s="2" t="s">
        <v>62</v>
      </c>
      <c r="S1043" s="2">
        <v>8</v>
      </c>
      <c r="T1043" s="2" t="s">
        <v>33</v>
      </c>
      <c r="U1043" s="2" t="s">
        <v>34</v>
      </c>
      <c r="V1043" s="29">
        <v>20176101</v>
      </c>
      <c r="W1043" s="21">
        <f>11400000+8000000</f>
        <v>19400000</v>
      </c>
      <c r="X1043" s="11" t="s">
        <v>2952</v>
      </c>
      <c r="Y1043" s="30">
        <f t="shared" si="32"/>
        <v>776101</v>
      </c>
      <c r="Z1043" s="41">
        <f t="shared" si="33"/>
        <v>0.96153364815134501</v>
      </c>
    </row>
    <row r="1044" spans="1:27" ht="26.25">
      <c r="A1044" s="2">
        <v>1042</v>
      </c>
      <c r="B1044" s="2">
        <v>3322174</v>
      </c>
      <c r="C1044" s="2">
        <v>31406976770015</v>
      </c>
      <c r="D1044" s="2" t="s">
        <v>45</v>
      </c>
      <c r="E1044" s="2">
        <v>6540770</v>
      </c>
      <c r="F1044" s="2">
        <v>943612414</v>
      </c>
      <c r="G1044" s="3">
        <v>35595</v>
      </c>
      <c r="H1044" s="2" t="s">
        <v>2191</v>
      </c>
      <c r="I1044" s="2" t="s">
        <v>2344</v>
      </c>
      <c r="J1044" s="2" t="s">
        <v>1440</v>
      </c>
      <c r="K1044" s="2" t="s">
        <v>39</v>
      </c>
      <c r="L1044" s="2" t="s">
        <v>27</v>
      </c>
      <c r="M1044" s="2">
        <v>5340605</v>
      </c>
      <c r="N1044" s="2" t="s">
        <v>40</v>
      </c>
      <c r="O1044" s="2" t="s">
        <v>350</v>
      </c>
      <c r="P1044" s="2" t="s">
        <v>42</v>
      </c>
      <c r="Q1044" s="5">
        <v>44317</v>
      </c>
      <c r="R1044" s="2" t="s">
        <v>44</v>
      </c>
      <c r="S1044" s="2">
        <v>8</v>
      </c>
      <c r="T1044" s="2" t="s">
        <v>33</v>
      </c>
      <c r="U1044" s="2" t="s">
        <v>34</v>
      </c>
      <c r="V1044" s="32" t="s">
        <v>2724</v>
      </c>
      <c r="W1044" s="21">
        <v>6165000</v>
      </c>
      <c r="X1044" s="11" t="s">
        <v>2643</v>
      </c>
      <c r="Y1044" s="30">
        <f t="shared" si="32"/>
        <v>6164839.5</v>
      </c>
      <c r="Z1044" s="41">
        <f t="shared" si="33"/>
        <v>0.50000650860053775</v>
      </c>
    </row>
    <row r="1045" spans="1:27" ht="26.25">
      <c r="A1045" s="2">
        <v>1043</v>
      </c>
      <c r="B1045" s="2">
        <v>3125420</v>
      </c>
      <c r="C1045" s="2">
        <v>30908975820023</v>
      </c>
      <c r="D1045" s="2" t="s">
        <v>145</v>
      </c>
      <c r="E1045" s="2">
        <v>2738992</v>
      </c>
      <c r="F1045" s="2">
        <v>997543162</v>
      </c>
      <c r="G1045" s="3">
        <v>35651</v>
      </c>
      <c r="H1045" s="2" t="s">
        <v>422</v>
      </c>
      <c r="I1045" s="2" t="s">
        <v>999</v>
      </c>
      <c r="J1045" s="2" t="s">
        <v>2345</v>
      </c>
      <c r="K1045" s="2" t="s">
        <v>39</v>
      </c>
      <c r="L1045" s="2" t="s">
        <v>27</v>
      </c>
      <c r="M1045" s="2">
        <v>5320102</v>
      </c>
      <c r="N1045" s="2" t="s">
        <v>138</v>
      </c>
      <c r="O1045" s="2" t="s">
        <v>194</v>
      </c>
      <c r="P1045" s="2" t="s">
        <v>140</v>
      </c>
      <c r="Q1045" s="5">
        <v>44471</v>
      </c>
      <c r="R1045" s="2" t="s">
        <v>62</v>
      </c>
      <c r="S1045" s="2">
        <v>8</v>
      </c>
      <c r="T1045" s="2" t="s">
        <v>33</v>
      </c>
      <c r="U1045" s="2" t="s">
        <v>34</v>
      </c>
      <c r="V1045" s="29">
        <v>16813417.5</v>
      </c>
      <c r="W1045" s="21">
        <f>9340787.5+3800000</f>
        <v>13140787.5</v>
      </c>
      <c r="X1045" s="11" t="s">
        <v>2936</v>
      </c>
      <c r="Y1045" s="30">
        <f t="shared" si="32"/>
        <v>3672630</v>
      </c>
      <c r="Z1045" s="41">
        <f t="shared" si="33"/>
        <v>0.78156552646123256</v>
      </c>
    </row>
    <row r="1046" spans="1:27" ht="39">
      <c r="A1046" s="2">
        <v>1044</v>
      </c>
      <c r="B1046" s="2">
        <v>2407463</v>
      </c>
      <c r="C1046" s="2">
        <v>52411015480021</v>
      </c>
      <c r="D1046" s="2" t="s">
        <v>45</v>
      </c>
      <c r="E1046" s="2">
        <v>8705594</v>
      </c>
      <c r="F1046" s="2">
        <v>932902781</v>
      </c>
      <c r="G1046" s="3">
        <v>37219</v>
      </c>
      <c r="H1046" s="2" t="s">
        <v>2346</v>
      </c>
      <c r="I1046" s="2" t="s">
        <v>2347</v>
      </c>
      <c r="J1046" s="2" t="s">
        <v>643</v>
      </c>
      <c r="K1046" s="2" t="s">
        <v>39</v>
      </c>
      <c r="L1046" s="2" t="s">
        <v>27</v>
      </c>
      <c r="M1046" s="2">
        <v>5340401</v>
      </c>
      <c r="N1046" s="2" t="s">
        <v>349</v>
      </c>
      <c r="O1046" s="2" t="s">
        <v>155</v>
      </c>
      <c r="P1046" s="2" t="s">
        <v>350</v>
      </c>
      <c r="Q1046" s="4">
        <v>11110</v>
      </c>
      <c r="R1046" s="2" t="s">
        <v>44</v>
      </c>
      <c r="S1046" s="2">
        <v>8</v>
      </c>
      <c r="T1046" s="2" t="s">
        <v>33</v>
      </c>
      <c r="U1046" s="2" t="s">
        <v>34</v>
      </c>
      <c r="V1046" s="32">
        <v>65759144</v>
      </c>
      <c r="Y1046" s="30">
        <f t="shared" si="32"/>
        <v>65759144</v>
      </c>
      <c r="Z1046" s="41">
        <f t="shared" si="33"/>
        <v>0</v>
      </c>
    </row>
    <row r="1047" spans="1:27" ht="26.25">
      <c r="A1047" s="2">
        <v>1045</v>
      </c>
      <c r="B1047" s="2">
        <v>3039708</v>
      </c>
      <c r="C1047" s="2">
        <v>32305861080080</v>
      </c>
      <c r="D1047" s="2" t="s">
        <v>145</v>
      </c>
      <c r="E1047" s="2">
        <v>5082597</v>
      </c>
      <c r="F1047" s="2">
        <v>941214646</v>
      </c>
      <c r="G1047" s="3">
        <v>31555</v>
      </c>
      <c r="H1047" s="2" t="s">
        <v>1936</v>
      </c>
      <c r="I1047" s="2" t="s">
        <v>811</v>
      </c>
      <c r="J1047" s="2" t="s">
        <v>2348</v>
      </c>
      <c r="K1047" s="2" t="s">
        <v>39</v>
      </c>
      <c r="L1047" s="2" t="s">
        <v>27</v>
      </c>
      <c r="M1047" s="2">
        <v>5640202</v>
      </c>
      <c r="N1047" s="2" t="s">
        <v>240</v>
      </c>
      <c r="O1047" s="2" t="s">
        <v>155</v>
      </c>
      <c r="P1047" s="2" t="s">
        <v>241</v>
      </c>
      <c r="Q1047" s="4">
        <v>18537</v>
      </c>
      <c r="R1047" s="2" t="s">
        <v>62</v>
      </c>
      <c r="S1047" s="2">
        <v>8</v>
      </c>
      <c r="T1047" s="2" t="s">
        <v>33</v>
      </c>
      <c r="U1047" s="2" t="s">
        <v>34</v>
      </c>
      <c r="V1047" s="32">
        <v>59781040</v>
      </c>
      <c r="Y1047" s="30">
        <f t="shared" si="32"/>
        <v>59781040</v>
      </c>
      <c r="Z1047" s="41">
        <f t="shared" si="33"/>
        <v>0</v>
      </c>
    </row>
    <row r="1048" spans="1:27" ht="26.25">
      <c r="A1048" s="2">
        <v>1046</v>
      </c>
      <c r="B1048" s="2">
        <v>2230368</v>
      </c>
      <c r="C1048" s="2">
        <v>61703017050028</v>
      </c>
      <c r="D1048" s="2" t="s">
        <v>45</v>
      </c>
      <c r="E1048" s="2">
        <v>9455424</v>
      </c>
      <c r="F1048" s="2">
        <v>907627272</v>
      </c>
      <c r="G1048" s="3">
        <v>36967</v>
      </c>
      <c r="H1048" s="2" t="s">
        <v>2349</v>
      </c>
      <c r="I1048" s="2" t="s">
        <v>2350</v>
      </c>
      <c r="J1048" s="2" t="s">
        <v>2351</v>
      </c>
      <c r="K1048" s="2" t="s">
        <v>39</v>
      </c>
      <c r="L1048" s="2" t="s">
        <v>27</v>
      </c>
      <c r="M1048" s="2">
        <v>5230902</v>
      </c>
      <c r="N1048" s="2" t="s">
        <v>251</v>
      </c>
      <c r="O1048" s="2" t="s">
        <v>123</v>
      </c>
      <c r="P1048" s="2" t="s">
        <v>252</v>
      </c>
      <c r="Q1048" s="4">
        <v>20394</v>
      </c>
      <c r="R1048" s="2" t="s">
        <v>82</v>
      </c>
      <c r="S1048" s="2">
        <v>10</v>
      </c>
      <c r="T1048" s="2" t="s">
        <v>33</v>
      </c>
      <c r="U1048" s="2" t="s">
        <v>34</v>
      </c>
      <c r="V1048" s="32">
        <v>104616820</v>
      </c>
      <c r="Y1048" s="30">
        <f t="shared" si="32"/>
        <v>104616820</v>
      </c>
      <c r="Z1048" s="41">
        <f t="shared" si="33"/>
        <v>0</v>
      </c>
    </row>
    <row r="1049" spans="1:27" ht="26.25">
      <c r="A1049" s="2">
        <v>1047</v>
      </c>
      <c r="B1049" s="2">
        <v>1146713</v>
      </c>
      <c r="C1049" s="2">
        <v>60801015440045</v>
      </c>
      <c r="D1049" s="2" t="s">
        <v>45</v>
      </c>
      <c r="E1049" s="2">
        <v>8987215</v>
      </c>
      <c r="F1049" s="2">
        <v>938224348</v>
      </c>
      <c r="G1049" s="3">
        <v>36899</v>
      </c>
      <c r="H1049" s="2" t="s">
        <v>176</v>
      </c>
      <c r="I1049" s="2" t="s">
        <v>2352</v>
      </c>
      <c r="J1049" s="2" t="s">
        <v>2353</v>
      </c>
      <c r="K1049" s="2" t="s">
        <v>39</v>
      </c>
      <c r="L1049" s="2" t="s">
        <v>27</v>
      </c>
      <c r="M1049" s="2">
        <v>5340602</v>
      </c>
      <c r="N1049" s="2" t="s">
        <v>628</v>
      </c>
      <c r="O1049" s="2" t="s">
        <v>73</v>
      </c>
      <c r="P1049" s="2" t="s">
        <v>629</v>
      </c>
      <c r="Q1049" s="5">
        <v>44317</v>
      </c>
      <c r="R1049" s="2" t="s">
        <v>44</v>
      </c>
      <c r="S1049" s="2">
        <v>8</v>
      </c>
      <c r="T1049" s="2" t="s">
        <v>33</v>
      </c>
      <c r="U1049" s="2" t="s">
        <v>34</v>
      </c>
      <c r="V1049" s="32" t="s">
        <v>2724</v>
      </c>
      <c r="W1049" s="20">
        <v>6165000</v>
      </c>
      <c r="X1049" s="2" t="s">
        <v>2631</v>
      </c>
      <c r="Y1049" s="30">
        <f t="shared" si="32"/>
        <v>6164839.5</v>
      </c>
      <c r="Z1049" s="41">
        <f t="shared" si="33"/>
        <v>0.50000650860053775</v>
      </c>
    </row>
    <row r="1050" spans="1:27" ht="26.25">
      <c r="A1050" s="2">
        <v>1048</v>
      </c>
      <c r="B1050" s="2">
        <v>3263305</v>
      </c>
      <c r="C1050" s="2">
        <v>62806046520030</v>
      </c>
      <c r="D1050" s="2" t="s">
        <v>22</v>
      </c>
      <c r="E1050" s="2">
        <v>2851788</v>
      </c>
      <c r="F1050" s="2">
        <v>971665004</v>
      </c>
      <c r="G1050" s="3">
        <v>38166</v>
      </c>
      <c r="H1050" s="2" t="s">
        <v>2354</v>
      </c>
      <c r="I1050" s="2" t="s">
        <v>2355</v>
      </c>
      <c r="J1050" s="2" t="s">
        <v>2356</v>
      </c>
      <c r="K1050" s="2" t="s">
        <v>39</v>
      </c>
      <c r="L1050" s="2" t="s">
        <v>27</v>
      </c>
      <c r="M1050" s="2">
        <v>5340202</v>
      </c>
      <c r="N1050" s="2" t="s">
        <v>499</v>
      </c>
      <c r="O1050" s="2" t="s">
        <v>345</v>
      </c>
      <c r="P1050" s="2" t="s">
        <v>490</v>
      </c>
      <c r="Q1050" s="4">
        <v>43922</v>
      </c>
      <c r="R1050" s="2" t="s">
        <v>44</v>
      </c>
      <c r="S1050" s="2">
        <v>8</v>
      </c>
      <c r="T1050" s="2" t="s">
        <v>33</v>
      </c>
      <c r="U1050" s="2" t="s">
        <v>34</v>
      </c>
      <c r="V1050" s="32">
        <v>65759144</v>
      </c>
      <c r="Y1050" s="30">
        <f t="shared" si="32"/>
        <v>65759144</v>
      </c>
      <c r="Z1050" s="41">
        <f t="shared" si="33"/>
        <v>0</v>
      </c>
    </row>
    <row r="1051" spans="1:27" ht="26.25">
      <c r="A1051" s="2">
        <v>1049</v>
      </c>
      <c r="B1051" s="2">
        <v>2432108</v>
      </c>
      <c r="C1051" s="2">
        <v>51612026540019</v>
      </c>
      <c r="D1051" s="2" t="s">
        <v>22</v>
      </c>
      <c r="E1051" s="2">
        <v>1526627</v>
      </c>
      <c r="F1051" s="2">
        <v>974467872</v>
      </c>
      <c r="G1051" s="3">
        <v>37606</v>
      </c>
      <c r="H1051" s="2" t="s">
        <v>2357</v>
      </c>
      <c r="I1051" s="2" t="s">
        <v>1975</v>
      </c>
      <c r="J1051" s="2" t="s">
        <v>2358</v>
      </c>
      <c r="K1051" s="2" t="s">
        <v>39</v>
      </c>
      <c r="L1051" s="2" t="s">
        <v>27</v>
      </c>
      <c r="M1051" s="2">
        <v>5640202</v>
      </c>
      <c r="N1051" s="2" t="s">
        <v>240</v>
      </c>
      <c r="O1051" s="2" t="s">
        <v>629</v>
      </c>
      <c r="P1051" s="2" t="s">
        <v>241</v>
      </c>
      <c r="Q1051" s="5">
        <v>44317</v>
      </c>
      <c r="R1051" s="2" t="s">
        <v>62</v>
      </c>
      <c r="S1051" s="2">
        <v>8</v>
      </c>
      <c r="T1051" s="2" t="s">
        <v>33</v>
      </c>
      <c r="U1051" s="2" t="s">
        <v>34</v>
      </c>
      <c r="V1051" s="32">
        <v>11208945</v>
      </c>
      <c r="W1051" s="21">
        <v>6209000</v>
      </c>
      <c r="X1051" s="11" t="s">
        <v>2642</v>
      </c>
      <c r="Y1051" s="30">
        <f t="shared" si="32"/>
        <v>4999945</v>
      </c>
      <c r="Z1051" s="41">
        <f t="shared" si="33"/>
        <v>0.55393259579737431</v>
      </c>
    </row>
    <row r="1052" spans="1:27">
      <c r="A1052" s="2">
        <v>1050</v>
      </c>
      <c r="B1052" s="2">
        <v>2301501</v>
      </c>
      <c r="C1052" s="2">
        <v>51711026280067</v>
      </c>
      <c r="D1052" s="2" t="s">
        <v>22</v>
      </c>
      <c r="E1052" s="2">
        <v>2305866</v>
      </c>
      <c r="F1052" s="2">
        <v>944668464</v>
      </c>
      <c r="G1052" s="3">
        <v>37577</v>
      </c>
      <c r="H1052" s="2" t="s">
        <v>457</v>
      </c>
      <c r="I1052" s="2" t="s">
        <v>2359</v>
      </c>
      <c r="J1052" s="2" t="s">
        <v>2014</v>
      </c>
      <c r="K1052" s="2" t="s">
        <v>39</v>
      </c>
      <c r="L1052" s="2" t="s">
        <v>27</v>
      </c>
      <c r="M1052" s="2">
        <v>5620400</v>
      </c>
      <c r="N1052" s="2" t="s">
        <v>103</v>
      </c>
      <c r="O1052" s="2" t="s">
        <v>122</v>
      </c>
      <c r="P1052" s="2" t="s">
        <v>123</v>
      </c>
      <c r="Q1052" s="2" t="s">
        <v>124</v>
      </c>
      <c r="R1052" s="2" t="s">
        <v>62</v>
      </c>
      <c r="S1052" s="2">
        <v>8</v>
      </c>
      <c r="T1052" s="2" t="s">
        <v>33</v>
      </c>
      <c r="U1052" s="2" t="s">
        <v>34</v>
      </c>
      <c r="V1052" s="32">
        <v>53802936</v>
      </c>
      <c r="W1052" s="20">
        <v>27000000</v>
      </c>
      <c r="X1052" s="2" t="s">
        <v>2687</v>
      </c>
      <c r="Y1052" s="30">
        <f t="shared" si="32"/>
        <v>26802936</v>
      </c>
      <c r="Z1052" s="41">
        <f t="shared" si="33"/>
        <v>0.50183134987280253</v>
      </c>
    </row>
    <row r="1053" spans="1:27" ht="39">
      <c r="A1053" s="2">
        <v>1051</v>
      </c>
      <c r="B1053" s="2">
        <v>2046513</v>
      </c>
      <c r="C1053" s="2">
        <v>31003950530058</v>
      </c>
      <c r="D1053" s="2" t="s">
        <v>145</v>
      </c>
      <c r="E1053" s="2">
        <v>6695798</v>
      </c>
      <c r="F1053" s="2">
        <v>998630975</v>
      </c>
      <c r="G1053" s="3">
        <v>34768</v>
      </c>
      <c r="H1053" s="2" t="s">
        <v>625</v>
      </c>
      <c r="I1053" s="2" t="s">
        <v>788</v>
      </c>
      <c r="J1053" s="2" t="s">
        <v>2360</v>
      </c>
      <c r="K1053" s="2" t="s">
        <v>39</v>
      </c>
      <c r="L1053" s="2" t="s">
        <v>57</v>
      </c>
      <c r="M1053" s="2">
        <v>5311003</v>
      </c>
      <c r="N1053" s="2" t="s">
        <v>144</v>
      </c>
      <c r="O1053" s="2" t="s">
        <v>198</v>
      </c>
      <c r="P1053" s="2" t="s">
        <v>155</v>
      </c>
      <c r="Q1053" s="4">
        <v>22251</v>
      </c>
      <c r="R1053" s="2" t="s">
        <v>62</v>
      </c>
      <c r="S1053" s="2">
        <v>8</v>
      </c>
      <c r="T1053" s="2" t="s">
        <v>33</v>
      </c>
      <c r="U1053" s="2" t="s">
        <v>34</v>
      </c>
      <c r="V1053" s="32">
        <v>53802936</v>
      </c>
      <c r="W1053" s="21">
        <v>30000000</v>
      </c>
      <c r="X1053" s="11" t="s">
        <v>2626</v>
      </c>
      <c r="Y1053" s="30">
        <f t="shared" si="32"/>
        <v>23802936</v>
      </c>
      <c r="Z1053" s="41">
        <f t="shared" si="33"/>
        <v>0.55759038874755829</v>
      </c>
    </row>
    <row r="1054" spans="1:27" ht="26.25">
      <c r="A1054" s="2">
        <v>1052</v>
      </c>
      <c r="B1054" s="2">
        <v>2423047</v>
      </c>
      <c r="C1054" s="2">
        <v>32505995850021</v>
      </c>
      <c r="D1054" s="2" t="s">
        <v>45</v>
      </c>
      <c r="E1054" s="2">
        <v>754172</v>
      </c>
      <c r="F1054" s="2">
        <v>919807455</v>
      </c>
      <c r="G1054" s="3">
        <v>36305</v>
      </c>
      <c r="H1054" s="2" t="s">
        <v>2361</v>
      </c>
      <c r="I1054" s="2" t="s">
        <v>147</v>
      </c>
      <c r="J1054" s="2" t="s">
        <v>2362</v>
      </c>
      <c r="K1054" s="2" t="s">
        <v>39</v>
      </c>
      <c r="L1054" s="2" t="s">
        <v>57</v>
      </c>
      <c r="M1054" s="2">
        <v>5310701</v>
      </c>
      <c r="N1054" s="2" t="s">
        <v>118</v>
      </c>
      <c r="O1054" s="2">
        <v>63</v>
      </c>
      <c r="P1054" s="2" t="s">
        <v>207</v>
      </c>
      <c r="Q1054" s="4">
        <v>11110</v>
      </c>
      <c r="R1054" s="2" t="s">
        <v>62</v>
      </c>
      <c r="S1054" s="2">
        <v>8</v>
      </c>
      <c r="T1054" s="2" t="s">
        <v>33</v>
      </c>
      <c r="U1054" s="2" t="s">
        <v>34</v>
      </c>
      <c r="V1054" s="32">
        <v>59781040</v>
      </c>
      <c r="Y1054" s="30">
        <f t="shared" si="32"/>
        <v>59781040</v>
      </c>
      <c r="Z1054" s="41">
        <f t="shared" si="33"/>
        <v>0</v>
      </c>
    </row>
    <row r="1055" spans="1:27" ht="51.75">
      <c r="A1055" s="2">
        <v>1053</v>
      </c>
      <c r="B1055" s="2">
        <v>1855413</v>
      </c>
      <c r="C1055" s="2">
        <v>31005965820014</v>
      </c>
      <c r="D1055" s="2" t="s">
        <v>145</v>
      </c>
      <c r="E1055" s="2">
        <v>640660</v>
      </c>
      <c r="F1055" s="2">
        <v>934305542</v>
      </c>
      <c r="G1055" s="3">
        <v>35195</v>
      </c>
      <c r="H1055" s="2" t="s">
        <v>54</v>
      </c>
      <c r="I1055" s="2" t="s">
        <v>1686</v>
      </c>
      <c r="J1055" s="2" t="s">
        <v>727</v>
      </c>
      <c r="K1055" s="2" t="s">
        <v>39</v>
      </c>
      <c r="L1055" s="2" t="s">
        <v>27</v>
      </c>
      <c r="M1055" s="2">
        <v>5320102</v>
      </c>
      <c r="N1055" s="2" t="s">
        <v>138</v>
      </c>
      <c r="O1055" s="2" t="s">
        <v>194</v>
      </c>
      <c r="P1055" s="2" t="s">
        <v>140</v>
      </c>
      <c r="Q1055" s="5">
        <v>44471</v>
      </c>
      <c r="R1055" s="2" t="s">
        <v>62</v>
      </c>
      <c r="S1055" s="2">
        <v>8</v>
      </c>
      <c r="T1055" s="2" t="s">
        <v>33</v>
      </c>
      <c r="U1055" s="2" t="s">
        <v>34</v>
      </c>
      <c r="V1055" s="29" t="s">
        <v>2792</v>
      </c>
      <c r="W1055" s="20">
        <f>9341000+2900000+1100000+5341000</f>
        <v>18682000</v>
      </c>
      <c r="X1055" s="2" t="s">
        <v>2930</v>
      </c>
      <c r="Y1055" s="30">
        <f t="shared" si="32"/>
        <v>-1868582.5</v>
      </c>
      <c r="Z1055" s="41">
        <f t="shared" si="33"/>
        <v>1.1111363885420678</v>
      </c>
      <c r="AA1055" s="42" t="s">
        <v>2798</v>
      </c>
    </row>
    <row r="1056" spans="1:27" ht="26.25">
      <c r="A1056" s="2">
        <v>1054</v>
      </c>
      <c r="B1056" s="2">
        <v>2632186</v>
      </c>
      <c r="C1056" s="2">
        <v>32912883470067</v>
      </c>
      <c r="D1056" s="2" t="s">
        <v>35</v>
      </c>
      <c r="E1056" s="2">
        <v>121020</v>
      </c>
      <c r="F1056" s="2">
        <v>913825029</v>
      </c>
      <c r="G1056" s="3">
        <v>32506</v>
      </c>
      <c r="H1056" s="2" t="s">
        <v>2363</v>
      </c>
      <c r="I1056" s="2" t="s">
        <v>2364</v>
      </c>
      <c r="J1056" s="2" t="s">
        <v>2365</v>
      </c>
      <c r="K1056" s="2" t="s">
        <v>39</v>
      </c>
      <c r="L1056" s="2" t="s">
        <v>57</v>
      </c>
      <c r="M1056" s="2">
        <v>5310605</v>
      </c>
      <c r="N1056" s="2" t="s">
        <v>97</v>
      </c>
      <c r="O1056" s="2" t="s">
        <v>41</v>
      </c>
      <c r="P1056" s="2" t="s">
        <v>154</v>
      </c>
      <c r="Q1056" s="4">
        <v>42064</v>
      </c>
      <c r="R1056" s="2" t="s">
        <v>62</v>
      </c>
      <c r="S1056" s="2">
        <v>8</v>
      </c>
      <c r="T1056" s="2" t="s">
        <v>33</v>
      </c>
      <c r="U1056" s="2" t="s">
        <v>34</v>
      </c>
      <c r="V1056" s="29" t="s">
        <v>2801</v>
      </c>
      <c r="W1056" s="21">
        <v>11208945</v>
      </c>
      <c r="X1056" s="11" t="s">
        <v>2643</v>
      </c>
      <c r="Y1056" s="30">
        <f t="shared" si="32"/>
        <v>8967156</v>
      </c>
      <c r="Z1056" s="41">
        <f t="shared" si="33"/>
        <v>0.55555555555555558</v>
      </c>
      <c r="AA1056" s="42" t="s">
        <v>2798</v>
      </c>
    </row>
    <row r="1057" spans="1:27" ht="39">
      <c r="A1057" s="2">
        <v>1055</v>
      </c>
      <c r="B1057" s="2">
        <v>3693809</v>
      </c>
      <c r="C1057" s="2">
        <v>61410037230025</v>
      </c>
      <c r="D1057" s="2" t="s">
        <v>74</v>
      </c>
      <c r="E1057" s="2">
        <v>202176</v>
      </c>
      <c r="F1057" s="2">
        <v>949096830</v>
      </c>
      <c r="G1057" s="3">
        <v>37908</v>
      </c>
      <c r="H1057" s="2" t="s">
        <v>2366</v>
      </c>
      <c r="I1057" s="2" t="s">
        <v>2367</v>
      </c>
      <c r="J1057" s="2" t="s">
        <v>2368</v>
      </c>
      <c r="K1057" s="2" t="s">
        <v>39</v>
      </c>
      <c r="L1057" s="2" t="s">
        <v>27</v>
      </c>
      <c r="M1057" s="2">
        <v>5340401</v>
      </c>
      <c r="N1057" s="2" t="s">
        <v>349</v>
      </c>
      <c r="O1057" s="2" t="s">
        <v>149</v>
      </c>
      <c r="P1057" s="2" t="s">
        <v>350</v>
      </c>
      <c r="Q1057" s="4">
        <v>45778</v>
      </c>
      <c r="R1057" s="2" t="s">
        <v>44</v>
      </c>
      <c r="S1057" s="2">
        <v>8</v>
      </c>
      <c r="T1057" s="2" t="s">
        <v>33</v>
      </c>
      <c r="U1057" s="2" t="s">
        <v>34</v>
      </c>
      <c r="V1057" s="32">
        <v>65759144</v>
      </c>
      <c r="Y1057" s="30">
        <f t="shared" si="32"/>
        <v>65759144</v>
      </c>
      <c r="Z1057" s="41">
        <f t="shared" si="33"/>
        <v>0</v>
      </c>
    </row>
    <row r="1058" spans="1:27" ht="26.25">
      <c r="A1058" s="2">
        <v>1056</v>
      </c>
      <c r="B1058" s="2">
        <v>1413920</v>
      </c>
      <c r="C1058" s="2">
        <v>52307006810015</v>
      </c>
      <c r="D1058" s="2" t="s">
        <v>45</v>
      </c>
      <c r="E1058" s="2">
        <v>4801207</v>
      </c>
      <c r="F1058" s="2">
        <v>931850221</v>
      </c>
      <c r="G1058" s="3">
        <v>36730</v>
      </c>
      <c r="H1058" s="2" t="s">
        <v>2369</v>
      </c>
      <c r="I1058" s="2" t="s">
        <v>1044</v>
      </c>
      <c r="J1058" s="2" t="s">
        <v>1927</v>
      </c>
      <c r="K1058" s="2" t="s">
        <v>39</v>
      </c>
      <c r="L1058" s="2" t="s">
        <v>27</v>
      </c>
      <c r="M1058" s="2">
        <v>5320102</v>
      </c>
      <c r="N1058" s="2" t="s">
        <v>138</v>
      </c>
      <c r="O1058" s="2" t="s">
        <v>175</v>
      </c>
      <c r="P1058" s="2" t="s">
        <v>140</v>
      </c>
      <c r="Q1058" s="5">
        <v>44317</v>
      </c>
      <c r="R1058" s="2" t="s">
        <v>62</v>
      </c>
      <c r="S1058" s="2">
        <v>8</v>
      </c>
      <c r="T1058" s="2" t="s">
        <v>33</v>
      </c>
      <c r="U1058" s="2" t="s">
        <v>34</v>
      </c>
      <c r="V1058" s="29" t="s">
        <v>2813</v>
      </c>
      <c r="W1058" s="21">
        <v>5605000</v>
      </c>
      <c r="X1058" s="11" t="s">
        <v>2646</v>
      </c>
      <c r="Y1058" s="30">
        <f t="shared" si="32"/>
        <v>4483050.5</v>
      </c>
      <c r="Z1058" s="41">
        <f t="shared" si="33"/>
        <v>0.55560784514312256</v>
      </c>
      <c r="AA1058" s="42" t="s">
        <v>2798</v>
      </c>
    </row>
    <row r="1059" spans="1:27">
      <c r="A1059" s="2">
        <v>1057</v>
      </c>
      <c r="B1059" s="2">
        <v>3208540</v>
      </c>
      <c r="C1059" s="2">
        <v>42803854180072</v>
      </c>
      <c r="D1059" s="2" t="s">
        <v>145</v>
      </c>
      <c r="E1059" s="2">
        <v>5305612</v>
      </c>
      <c r="F1059" s="2">
        <v>998035414</v>
      </c>
      <c r="G1059" s="3">
        <v>31134</v>
      </c>
      <c r="H1059" s="2" t="s">
        <v>2370</v>
      </c>
      <c r="I1059" s="2" t="s">
        <v>2371</v>
      </c>
      <c r="J1059" s="2" t="s">
        <v>2372</v>
      </c>
      <c r="K1059" s="2" t="s">
        <v>39</v>
      </c>
      <c r="L1059" s="2" t="s">
        <v>27</v>
      </c>
      <c r="M1059" s="2">
        <v>5620101</v>
      </c>
      <c r="N1059" s="2" t="s">
        <v>49</v>
      </c>
      <c r="O1059" s="2" t="s">
        <v>223</v>
      </c>
      <c r="P1059" s="2" t="s">
        <v>264</v>
      </c>
      <c r="Q1059" s="2" t="s">
        <v>2175</v>
      </c>
      <c r="R1059" s="2" t="s">
        <v>62</v>
      </c>
      <c r="S1059" s="2">
        <v>8</v>
      </c>
      <c r="T1059" s="2" t="s">
        <v>33</v>
      </c>
      <c r="U1059" s="2" t="s">
        <v>34</v>
      </c>
      <c r="V1059" s="32">
        <v>119562080</v>
      </c>
      <c r="Y1059" s="30">
        <f t="shared" si="32"/>
        <v>119562080</v>
      </c>
      <c r="Z1059" s="41">
        <f t="shared" si="33"/>
        <v>0</v>
      </c>
    </row>
    <row r="1060" spans="1:27" ht="26.25">
      <c r="A1060" s="2">
        <v>1058</v>
      </c>
      <c r="B1060" s="2">
        <v>1182363</v>
      </c>
      <c r="C1060" s="2">
        <v>50608006130029</v>
      </c>
      <c r="D1060" s="2" t="s">
        <v>45</v>
      </c>
      <c r="E1060" s="2">
        <v>4785314</v>
      </c>
      <c r="F1060" s="2">
        <v>901036368</v>
      </c>
      <c r="G1060" s="3">
        <v>36744</v>
      </c>
      <c r="H1060" s="2" t="s">
        <v>2373</v>
      </c>
      <c r="I1060" s="2" t="s">
        <v>2374</v>
      </c>
      <c r="J1060" s="2" t="s">
        <v>2375</v>
      </c>
      <c r="K1060" s="2" t="s">
        <v>39</v>
      </c>
      <c r="L1060" s="2" t="s">
        <v>27</v>
      </c>
      <c r="M1060" s="2">
        <v>5340602</v>
      </c>
      <c r="N1060" s="2" t="s">
        <v>628</v>
      </c>
      <c r="O1060" s="2" t="s">
        <v>122</v>
      </c>
      <c r="P1060" s="2" t="s">
        <v>629</v>
      </c>
      <c r="Q1060" s="2" t="s">
        <v>111</v>
      </c>
      <c r="R1060" s="2" t="s">
        <v>44</v>
      </c>
      <c r="S1060" s="2">
        <v>8</v>
      </c>
      <c r="T1060" s="2" t="s">
        <v>33</v>
      </c>
      <c r="U1060" s="2" t="s">
        <v>34</v>
      </c>
      <c r="V1060" s="32" t="s">
        <v>2722</v>
      </c>
      <c r="W1060" s="20">
        <v>32000000</v>
      </c>
      <c r="X1060" s="2" t="s">
        <v>2663</v>
      </c>
      <c r="Y1060" s="30">
        <f t="shared" si="32"/>
        <v>27183229.600000001</v>
      </c>
      <c r="Z1060" s="41">
        <f t="shared" si="33"/>
        <v>0.5406937103006626</v>
      </c>
    </row>
    <row r="1061" spans="1:27" ht="15.75">
      <c r="A1061" s="2">
        <v>1059</v>
      </c>
      <c r="B1061" s="2">
        <v>2235269</v>
      </c>
      <c r="C1061" s="2">
        <v>51012015310010</v>
      </c>
      <c r="D1061" s="2" t="s">
        <v>45</v>
      </c>
      <c r="E1061" s="2">
        <v>8692707</v>
      </c>
      <c r="F1061" s="2">
        <v>912450450</v>
      </c>
      <c r="G1061" s="3">
        <v>37235</v>
      </c>
      <c r="H1061" s="2" t="s">
        <v>1673</v>
      </c>
      <c r="I1061" s="2" t="s">
        <v>838</v>
      </c>
      <c r="J1061" s="2" t="s">
        <v>2376</v>
      </c>
      <c r="K1061" s="2" t="s">
        <v>39</v>
      </c>
      <c r="L1061" s="2" t="s">
        <v>27</v>
      </c>
      <c r="M1061" s="2">
        <v>5310606</v>
      </c>
      <c r="N1061" s="2" t="s">
        <v>72</v>
      </c>
      <c r="O1061" s="2" t="s">
        <v>350</v>
      </c>
      <c r="P1061" s="2" t="s">
        <v>73</v>
      </c>
      <c r="Q1061" s="5">
        <v>44471</v>
      </c>
      <c r="R1061" s="2" t="s">
        <v>62</v>
      </c>
      <c r="S1061" s="2">
        <v>8</v>
      </c>
      <c r="T1061" s="2" t="s">
        <v>33</v>
      </c>
      <c r="U1061" s="2" t="s">
        <v>34</v>
      </c>
      <c r="V1061" s="32">
        <v>18681575</v>
      </c>
      <c r="W1061" s="21">
        <v>9341000</v>
      </c>
      <c r="X1061" s="10" t="s">
        <v>2625</v>
      </c>
      <c r="Y1061" s="30">
        <f t="shared" si="32"/>
        <v>9340575</v>
      </c>
      <c r="Z1061" s="41">
        <f t="shared" si="33"/>
        <v>0.50001137484393043</v>
      </c>
    </row>
    <row r="1062" spans="1:27" ht="39">
      <c r="A1062" s="2">
        <v>1060</v>
      </c>
      <c r="B1062" s="2">
        <v>2152896</v>
      </c>
      <c r="C1062" s="2">
        <v>52503015790038</v>
      </c>
      <c r="D1062" s="2" t="s">
        <v>45</v>
      </c>
      <c r="E1062" s="2">
        <v>8615696</v>
      </c>
      <c r="F1062" s="2">
        <v>900801341</v>
      </c>
      <c r="G1062" s="3">
        <v>36975</v>
      </c>
      <c r="H1062" s="2" t="s">
        <v>1678</v>
      </c>
      <c r="I1062" s="2" t="s">
        <v>2377</v>
      </c>
      <c r="J1062" s="2" t="s">
        <v>465</v>
      </c>
      <c r="K1062" s="2" t="s">
        <v>39</v>
      </c>
      <c r="L1062" s="2" t="s">
        <v>27</v>
      </c>
      <c r="M1062" s="2">
        <v>5340401</v>
      </c>
      <c r="N1062" s="2" t="s">
        <v>349</v>
      </c>
      <c r="O1062" s="2" t="s">
        <v>140</v>
      </c>
      <c r="P1062" s="2" t="s">
        <v>350</v>
      </c>
      <c r="Q1062" s="5">
        <v>44471</v>
      </c>
      <c r="R1062" s="2" t="s">
        <v>44</v>
      </c>
      <c r="S1062" s="2">
        <v>8</v>
      </c>
      <c r="T1062" s="2" t="s">
        <v>33</v>
      </c>
      <c r="U1062" s="2" t="s">
        <v>34</v>
      </c>
      <c r="V1062" s="29" t="s">
        <v>2893</v>
      </c>
      <c r="W1062" s="21">
        <v>15000000</v>
      </c>
      <c r="X1062" s="11" t="s">
        <v>2642</v>
      </c>
      <c r="Y1062" s="30">
        <f t="shared" si="32"/>
        <v>3494759.25</v>
      </c>
      <c r="Z1062" s="41">
        <f t="shared" si="33"/>
        <v>0.8110405654509939</v>
      </c>
      <c r="AA1062" s="42" t="s">
        <v>2798</v>
      </c>
    </row>
    <row r="1063" spans="1:27" ht="26.25">
      <c r="A1063" s="2">
        <v>1061</v>
      </c>
      <c r="B1063" s="2">
        <v>1884637</v>
      </c>
      <c r="C1063" s="2">
        <v>32710810500119</v>
      </c>
      <c r="D1063" s="2" t="s">
        <v>22</v>
      </c>
      <c r="E1063" s="2">
        <v>49979</v>
      </c>
      <c r="F1063" s="2">
        <v>994054474</v>
      </c>
      <c r="G1063" s="3">
        <v>29886</v>
      </c>
      <c r="H1063" s="2" t="s">
        <v>1090</v>
      </c>
      <c r="I1063" s="2" t="s">
        <v>2378</v>
      </c>
      <c r="J1063" s="2" t="s">
        <v>2379</v>
      </c>
      <c r="K1063" s="2" t="s">
        <v>39</v>
      </c>
      <c r="L1063" s="2" t="s">
        <v>27</v>
      </c>
      <c r="M1063" s="2">
        <v>5340202</v>
      </c>
      <c r="N1063" s="2" t="s">
        <v>499</v>
      </c>
      <c r="O1063" s="2" t="s">
        <v>207</v>
      </c>
      <c r="P1063" s="2" t="s">
        <v>490</v>
      </c>
      <c r="Q1063" s="2" t="s">
        <v>549</v>
      </c>
      <c r="R1063" s="2" t="s">
        <v>44</v>
      </c>
      <c r="S1063" s="2">
        <v>8</v>
      </c>
      <c r="T1063" s="2" t="s">
        <v>33</v>
      </c>
      <c r="U1063" s="2" t="s">
        <v>34</v>
      </c>
      <c r="V1063" s="29" t="s">
        <v>2722</v>
      </c>
      <c r="W1063" s="22">
        <v>29592000</v>
      </c>
      <c r="X1063" s="17" t="s">
        <v>2671</v>
      </c>
      <c r="Y1063" s="30">
        <f t="shared" si="32"/>
        <v>29591229.600000001</v>
      </c>
      <c r="Z1063" s="41">
        <f t="shared" si="33"/>
        <v>0.50000650860053775</v>
      </c>
    </row>
    <row r="1064" spans="1:27" ht="39">
      <c r="A1064" s="2">
        <v>1062</v>
      </c>
      <c r="B1064" s="2">
        <v>3306423</v>
      </c>
      <c r="C1064" s="2">
        <v>61505045300018</v>
      </c>
      <c r="D1064" s="2" t="s">
        <v>22</v>
      </c>
      <c r="E1064" s="2">
        <v>2954469</v>
      </c>
      <c r="F1064" s="2">
        <v>943283505</v>
      </c>
      <c r="G1064" s="3">
        <v>38122</v>
      </c>
      <c r="H1064" s="2" t="s">
        <v>734</v>
      </c>
      <c r="I1064" s="2" t="s">
        <v>2380</v>
      </c>
      <c r="J1064" s="2" t="s">
        <v>2381</v>
      </c>
      <c r="K1064" s="2" t="s">
        <v>39</v>
      </c>
      <c r="L1064" s="2" t="s">
        <v>27</v>
      </c>
      <c r="M1064" s="2">
        <v>5340401</v>
      </c>
      <c r="N1064" s="2" t="s">
        <v>349</v>
      </c>
      <c r="O1064" s="2" t="s">
        <v>67</v>
      </c>
      <c r="P1064" s="2" t="s">
        <v>350</v>
      </c>
      <c r="Q1064" s="5">
        <v>44317</v>
      </c>
      <c r="R1064" s="2" t="s">
        <v>44</v>
      </c>
      <c r="S1064" s="2">
        <v>8</v>
      </c>
      <c r="T1064" s="2" t="s">
        <v>33</v>
      </c>
      <c r="U1064" s="2" t="s">
        <v>34</v>
      </c>
      <c r="V1064" s="32" t="s">
        <v>2724</v>
      </c>
      <c r="W1064" s="21">
        <f>2565000+3650000</f>
        <v>6215000</v>
      </c>
      <c r="X1064" s="11" t="s">
        <v>2747</v>
      </c>
      <c r="Y1064" s="30">
        <f t="shared" si="32"/>
        <v>6114839.5</v>
      </c>
      <c r="Z1064" s="41">
        <f t="shared" si="33"/>
        <v>0.50406171142779277</v>
      </c>
    </row>
    <row r="1065" spans="1:27" ht="26.25">
      <c r="A1065" s="2">
        <v>1063</v>
      </c>
      <c r="B1065" s="2">
        <v>2795746</v>
      </c>
      <c r="C1065" s="2">
        <v>41603910450032</v>
      </c>
      <c r="D1065" s="2" t="s">
        <v>145</v>
      </c>
      <c r="E1065" s="2">
        <v>8379563</v>
      </c>
      <c r="F1065" s="2">
        <v>903348060</v>
      </c>
      <c r="G1065" s="3">
        <v>33313</v>
      </c>
      <c r="H1065" s="2" t="s">
        <v>176</v>
      </c>
      <c r="I1065" s="2" t="s">
        <v>2382</v>
      </c>
      <c r="J1065" s="2" t="s">
        <v>2383</v>
      </c>
      <c r="K1065" s="2" t="s">
        <v>39</v>
      </c>
      <c r="L1065" s="2" t="s">
        <v>57</v>
      </c>
      <c r="M1065" s="2">
        <v>5310701</v>
      </c>
      <c r="N1065" s="2" t="s">
        <v>118</v>
      </c>
      <c r="O1065" s="2" t="s">
        <v>154</v>
      </c>
      <c r="P1065" s="2" t="s">
        <v>207</v>
      </c>
      <c r="Q1065" s="5">
        <v>44317</v>
      </c>
      <c r="R1065" s="2" t="s">
        <v>62</v>
      </c>
      <c r="S1065" s="2">
        <v>8</v>
      </c>
      <c r="T1065" s="2" t="s">
        <v>33</v>
      </c>
      <c r="U1065" s="2" t="s">
        <v>34</v>
      </c>
      <c r="V1065" s="29" t="s">
        <v>2813</v>
      </c>
      <c r="W1065" s="21">
        <f>5609000+3000000</f>
        <v>8609000</v>
      </c>
      <c r="X1065" s="11" t="s">
        <v>2921</v>
      </c>
      <c r="Y1065" s="30">
        <f t="shared" si="32"/>
        <v>1479050.5</v>
      </c>
      <c r="Z1065" s="41">
        <f t="shared" si="33"/>
        <v>0.85338589452937419</v>
      </c>
      <c r="AA1065" s="42" t="s">
        <v>2798</v>
      </c>
    </row>
    <row r="1066" spans="1:27" ht="26.25">
      <c r="A1066" s="2">
        <v>1064</v>
      </c>
      <c r="B1066" s="2">
        <v>3163748</v>
      </c>
      <c r="C1066" s="2">
        <v>42409930240012</v>
      </c>
      <c r="D1066" s="2" t="s">
        <v>45</v>
      </c>
      <c r="E1066" s="2">
        <v>1999679</v>
      </c>
      <c r="F1066" s="2">
        <v>911910166</v>
      </c>
      <c r="G1066" s="3">
        <v>34236</v>
      </c>
      <c r="H1066" s="2" t="s">
        <v>2384</v>
      </c>
      <c r="I1066" s="2" t="s">
        <v>2385</v>
      </c>
      <c r="J1066" s="2" t="s">
        <v>2386</v>
      </c>
      <c r="K1066" s="2" t="s">
        <v>39</v>
      </c>
      <c r="L1066" s="2" t="s">
        <v>27</v>
      </c>
      <c r="M1066" s="2">
        <v>5230903</v>
      </c>
      <c r="N1066" s="2" t="s">
        <v>314</v>
      </c>
      <c r="O1066" s="2" t="s">
        <v>41</v>
      </c>
      <c r="P1066" s="2" t="s">
        <v>298</v>
      </c>
      <c r="Q1066" s="2" t="s">
        <v>421</v>
      </c>
      <c r="R1066" s="2" t="s">
        <v>82</v>
      </c>
      <c r="S1066" s="2">
        <v>10</v>
      </c>
      <c r="T1066" s="2" t="s">
        <v>33</v>
      </c>
      <c r="U1066" s="2" t="s">
        <v>34</v>
      </c>
      <c r="V1066" s="32">
        <v>104616820</v>
      </c>
      <c r="Y1066" s="30">
        <f t="shared" si="32"/>
        <v>104616820</v>
      </c>
      <c r="Z1066" s="41">
        <f t="shared" si="33"/>
        <v>0</v>
      </c>
    </row>
    <row r="1067" spans="1:27" ht="26.25">
      <c r="A1067" s="2">
        <v>1065</v>
      </c>
      <c r="B1067" s="2">
        <v>2791192</v>
      </c>
      <c r="C1067" s="2">
        <v>31510996560058</v>
      </c>
      <c r="D1067" s="2" t="s">
        <v>45</v>
      </c>
      <c r="E1067" s="2">
        <v>4560545</v>
      </c>
      <c r="F1067" s="2">
        <v>998380438</v>
      </c>
      <c r="G1067" s="3">
        <v>36448</v>
      </c>
      <c r="H1067" s="2" t="s">
        <v>358</v>
      </c>
      <c r="I1067" s="2" t="s">
        <v>2387</v>
      </c>
      <c r="J1067" s="2" t="s">
        <v>2388</v>
      </c>
      <c r="K1067" s="2" t="s">
        <v>39</v>
      </c>
      <c r="L1067" s="2" t="s">
        <v>27</v>
      </c>
      <c r="M1067" s="2">
        <v>5320102</v>
      </c>
      <c r="N1067" s="2" t="s">
        <v>138</v>
      </c>
      <c r="O1067" s="2" t="s">
        <v>175</v>
      </c>
      <c r="P1067" s="2" t="s">
        <v>140</v>
      </c>
      <c r="Q1067" s="5">
        <v>44317</v>
      </c>
      <c r="R1067" s="2" t="s">
        <v>62</v>
      </c>
      <c r="S1067" s="2">
        <v>8</v>
      </c>
      <c r="T1067" s="2" t="s">
        <v>33</v>
      </c>
      <c r="U1067" s="2" t="s">
        <v>34</v>
      </c>
      <c r="V1067" s="32">
        <v>11208945</v>
      </c>
      <c r="W1067" s="21">
        <v>5605000</v>
      </c>
      <c r="X1067" s="11" t="s">
        <v>2626</v>
      </c>
      <c r="Y1067" s="30">
        <f t="shared" si="32"/>
        <v>5603945</v>
      </c>
      <c r="Z1067" s="41">
        <f t="shared" si="33"/>
        <v>0.50004706062881032</v>
      </c>
    </row>
    <row r="1068" spans="1:27" ht="26.25">
      <c r="A1068" s="2">
        <v>1066</v>
      </c>
      <c r="B1068" s="2">
        <v>3504882</v>
      </c>
      <c r="C1068" s="2">
        <v>50309016130071</v>
      </c>
      <c r="D1068" s="2" t="s">
        <v>45</v>
      </c>
      <c r="E1068" s="2">
        <v>7843074</v>
      </c>
      <c r="F1068" s="2">
        <v>979101511</v>
      </c>
      <c r="G1068" s="3">
        <v>37137</v>
      </c>
      <c r="H1068" s="2" t="s">
        <v>2389</v>
      </c>
      <c r="I1068" s="2" t="s">
        <v>2390</v>
      </c>
      <c r="J1068" s="2" t="s">
        <v>419</v>
      </c>
      <c r="K1068" s="2" t="s">
        <v>39</v>
      </c>
      <c r="L1068" s="2" t="s">
        <v>57</v>
      </c>
      <c r="M1068" s="2">
        <v>5310605</v>
      </c>
      <c r="N1068" s="2" t="s">
        <v>97</v>
      </c>
      <c r="O1068" s="2" t="s">
        <v>225</v>
      </c>
      <c r="P1068" s="2" t="s">
        <v>154</v>
      </c>
      <c r="Q1068" s="5">
        <v>44471</v>
      </c>
      <c r="R1068" s="2" t="s">
        <v>62</v>
      </c>
      <c r="S1068" s="2">
        <v>8</v>
      </c>
      <c r="T1068" s="2" t="s">
        <v>33</v>
      </c>
      <c r="U1068" s="2" t="s">
        <v>34</v>
      </c>
      <c r="V1068" s="29" t="s">
        <v>2792</v>
      </c>
      <c r="W1068" s="22">
        <f>9340787.5+2955000</f>
        <v>12295787.5</v>
      </c>
      <c r="X1068" s="17" t="s">
        <v>2960</v>
      </c>
      <c r="Y1068" s="30">
        <f t="shared" si="32"/>
        <v>4517630</v>
      </c>
      <c r="Z1068" s="41">
        <f t="shared" si="33"/>
        <v>0.73130804608878597</v>
      </c>
      <c r="AA1068" s="42" t="s">
        <v>2798</v>
      </c>
    </row>
    <row r="1069" spans="1:27" ht="26.25">
      <c r="A1069" s="2">
        <v>1067</v>
      </c>
      <c r="B1069" s="2">
        <v>3323288</v>
      </c>
      <c r="C1069" s="2">
        <v>32411987310021</v>
      </c>
      <c r="D1069" s="2" t="s">
        <v>35</v>
      </c>
      <c r="E1069" s="2">
        <v>517754</v>
      </c>
      <c r="F1069" s="2">
        <v>931210333</v>
      </c>
      <c r="G1069" s="3">
        <v>36123</v>
      </c>
      <c r="H1069" s="2" t="s">
        <v>2391</v>
      </c>
      <c r="I1069" s="2" t="s">
        <v>1219</v>
      </c>
      <c r="J1069" s="2" t="s">
        <v>2392</v>
      </c>
      <c r="K1069" s="2" t="s">
        <v>39</v>
      </c>
      <c r="L1069" s="2" t="s">
        <v>27</v>
      </c>
      <c r="M1069" s="2">
        <v>5340605</v>
      </c>
      <c r="N1069" s="2" t="s">
        <v>40</v>
      </c>
      <c r="O1069" s="2" t="s">
        <v>198</v>
      </c>
      <c r="P1069" s="2" t="s">
        <v>42</v>
      </c>
      <c r="Q1069" s="2" t="s">
        <v>775</v>
      </c>
      <c r="R1069" s="2" t="s">
        <v>44</v>
      </c>
      <c r="S1069" s="2">
        <v>8</v>
      </c>
      <c r="T1069" s="2" t="s">
        <v>33</v>
      </c>
      <c r="U1069" s="2" t="s">
        <v>34</v>
      </c>
      <c r="V1069" s="32">
        <v>65759144</v>
      </c>
      <c r="Y1069" s="30">
        <f t="shared" si="32"/>
        <v>65759144</v>
      </c>
      <c r="Z1069" s="41">
        <f t="shared" si="33"/>
        <v>0</v>
      </c>
    </row>
    <row r="1070" spans="1:27">
      <c r="A1070" s="2">
        <v>1068</v>
      </c>
      <c r="B1070" s="2">
        <v>2442999</v>
      </c>
      <c r="C1070" s="2">
        <v>30611930230048</v>
      </c>
      <c r="D1070" s="2" t="s">
        <v>74</v>
      </c>
      <c r="E1070" s="2">
        <v>405302</v>
      </c>
      <c r="F1070" s="2">
        <v>935683378</v>
      </c>
      <c r="G1070" s="3">
        <v>34279</v>
      </c>
      <c r="H1070" s="2" t="s">
        <v>46</v>
      </c>
      <c r="I1070" s="2" t="s">
        <v>505</v>
      </c>
      <c r="J1070" s="2" t="s">
        <v>1128</v>
      </c>
      <c r="K1070" s="2" t="s">
        <v>39</v>
      </c>
      <c r="L1070" s="2" t="s">
        <v>27</v>
      </c>
      <c r="M1070" s="2">
        <v>5314000</v>
      </c>
      <c r="N1070" s="2" t="s">
        <v>522</v>
      </c>
      <c r="O1070" s="2" t="s">
        <v>198</v>
      </c>
      <c r="P1070" s="2" t="s">
        <v>523</v>
      </c>
      <c r="Q1070" s="2" t="s">
        <v>2393</v>
      </c>
      <c r="R1070" s="2" t="s">
        <v>62</v>
      </c>
      <c r="S1070" s="2">
        <v>8</v>
      </c>
      <c r="T1070" s="2" t="s">
        <v>33</v>
      </c>
      <c r="U1070" s="2" t="s">
        <v>34</v>
      </c>
      <c r="V1070" s="32">
        <v>59781040</v>
      </c>
      <c r="Y1070" s="30">
        <f t="shared" si="32"/>
        <v>59781040</v>
      </c>
      <c r="Z1070" s="41">
        <f t="shared" si="33"/>
        <v>0</v>
      </c>
    </row>
    <row r="1071" spans="1:27" ht="26.25">
      <c r="A1071" s="2">
        <v>1069</v>
      </c>
      <c r="B1071" s="2">
        <v>2485665</v>
      </c>
      <c r="C1071" s="2">
        <v>52909026670028</v>
      </c>
      <c r="D1071" s="2" t="s">
        <v>22</v>
      </c>
      <c r="E1071" s="2">
        <v>236373</v>
      </c>
      <c r="F1071" s="2">
        <v>901390275</v>
      </c>
      <c r="G1071" s="3">
        <v>37528</v>
      </c>
      <c r="H1071" s="2" t="s">
        <v>1521</v>
      </c>
      <c r="I1071" s="2" t="s">
        <v>2288</v>
      </c>
      <c r="J1071" s="2" t="s">
        <v>2394</v>
      </c>
      <c r="K1071" s="2" t="s">
        <v>39</v>
      </c>
      <c r="L1071" s="2" t="s">
        <v>27</v>
      </c>
      <c r="M1071" s="2">
        <v>5320102</v>
      </c>
      <c r="N1071" s="2" t="s">
        <v>138</v>
      </c>
      <c r="O1071" s="2" t="s">
        <v>194</v>
      </c>
      <c r="P1071" s="2" t="s">
        <v>140</v>
      </c>
      <c r="Q1071" s="5">
        <v>44471</v>
      </c>
      <c r="R1071" s="2" t="s">
        <v>62</v>
      </c>
      <c r="S1071" s="2">
        <v>8</v>
      </c>
      <c r="T1071" s="2" t="s">
        <v>33</v>
      </c>
      <c r="U1071" s="2" t="s">
        <v>34</v>
      </c>
      <c r="V1071" s="32">
        <v>18681575</v>
      </c>
      <c r="Y1071" s="30">
        <f t="shared" si="32"/>
        <v>18681575</v>
      </c>
      <c r="Z1071" s="41">
        <f t="shared" si="33"/>
        <v>0</v>
      </c>
    </row>
    <row r="1072" spans="1:27">
      <c r="A1072" s="2">
        <v>1070</v>
      </c>
      <c r="B1072" s="2">
        <v>3509720</v>
      </c>
      <c r="C1072" s="2">
        <v>50108045650035</v>
      </c>
      <c r="D1072" s="2" t="s">
        <v>74</v>
      </c>
      <c r="E1072" s="2">
        <v>11977</v>
      </c>
      <c r="F1072" s="2">
        <v>908673577</v>
      </c>
      <c r="G1072" s="3">
        <v>38200</v>
      </c>
      <c r="H1072" s="2" t="s">
        <v>94</v>
      </c>
      <c r="I1072" s="2" t="s">
        <v>2395</v>
      </c>
      <c r="J1072" s="2" t="s">
        <v>2396</v>
      </c>
      <c r="K1072" s="2" t="s">
        <v>39</v>
      </c>
      <c r="L1072" s="2" t="s">
        <v>57</v>
      </c>
      <c r="M1072" s="2">
        <v>5310202</v>
      </c>
      <c r="N1072" s="2" t="s">
        <v>86</v>
      </c>
      <c r="O1072" s="2" t="s">
        <v>198</v>
      </c>
      <c r="P1072" s="2" t="s">
        <v>154</v>
      </c>
      <c r="Q1072" s="4">
        <v>16681</v>
      </c>
      <c r="R1072" s="2" t="s">
        <v>62</v>
      </c>
      <c r="S1072" s="2">
        <v>8</v>
      </c>
      <c r="T1072" s="2" t="s">
        <v>33</v>
      </c>
      <c r="U1072" s="2" t="s">
        <v>34</v>
      </c>
      <c r="V1072" s="32">
        <v>59781040</v>
      </c>
      <c r="Y1072" s="30">
        <f t="shared" si="32"/>
        <v>59781040</v>
      </c>
      <c r="Z1072" s="41">
        <f t="shared" si="33"/>
        <v>0</v>
      </c>
    </row>
    <row r="1073" spans="1:27" ht="26.25">
      <c r="A1073" s="2">
        <v>1071</v>
      </c>
      <c r="B1073" s="2">
        <v>2429415</v>
      </c>
      <c r="C1073" s="2">
        <v>41412976520041</v>
      </c>
      <c r="D1073" s="2" t="s">
        <v>145</v>
      </c>
      <c r="E1073" s="2">
        <v>3961136</v>
      </c>
      <c r="F1073" s="2">
        <v>998157281</v>
      </c>
      <c r="G1073" s="3">
        <v>35778</v>
      </c>
      <c r="H1073" s="2" t="s">
        <v>1818</v>
      </c>
      <c r="I1073" s="2" t="s">
        <v>2061</v>
      </c>
      <c r="J1073" s="2" t="s">
        <v>2397</v>
      </c>
      <c r="K1073" s="2" t="s">
        <v>39</v>
      </c>
      <c r="L1073" s="2" t="s">
        <v>27</v>
      </c>
      <c r="M1073" s="2">
        <v>5230903</v>
      </c>
      <c r="N1073" s="2" t="s">
        <v>314</v>
      </c>
      <c r="O1073" s="2" t="s">
        <v>219</v>
      </c>
      <c r="P1073" s="2" t="s">
        <v>298</v>
      </c>
      <c r="Q1073" s="4">
        <v>42064</v>
      </c>
      <c r="R1073" s="2" t="s">
        <v>82</v>
      </c>
      <c r="S1073" s="2">
        <v>10</v>
      </c>
      <c r="T1073" s="2" t="s">
        <v>33</v>
      </c>
      <c r="U1073" s="2" t="s">
        <v>34</v>
      </c>
      <c r="V1073" s="29" t="s">
        <v>2734</v>
      </c>
      <c r="W1073" s="21">
        <v>15700000</v>
      </c>
      <c r="X1073" s="12" t="s">
        <v>2670</v>
      </c>
      <c r="Y1073" s="30">
        <f t="shared" si="32"/>
        <v>12546541.399999999</v>
      </c>
      <c r="Z1073" s="41">
        <f t="shared" si="33"/>
        <v>0.5558202605293121</v>
      </c>
    </row>
    <row r="1074" spans="1:27" ht="26.25">
      <c r="A1074" s="2">
        <v>1072</v>
      </c>
      <c r="B1074" s="2">
        <v>3317827</v>
      </c>
      <c r="C1074" s="2">
        <v>51302047050056</v>
      </c>
      <c r="D1074" s="2" t="s">
        <v>74</v>
      </c>
      <c r="E1074" s="2">
        <v>139466</v>
      </c>
      <c r="F1074" s="2">
        <v>883309900</v>
      </c>
      <c r="G1074" s="3">
        <v>38030</v>
      </c>
      <c r="H1074" s="2" t="s">
        <v>2398</v>
      </c>
      <c r="I1074" s="2" t="s">
        <v>90</v>
      </c>
      <c r="J1074" s="2" t="s">
        <v>2399</v>
      </c>
      <c r="K1074" s="2" t="s">
        <v>39</v>
      </c>
      <c r="L1074" s="2" t="s">
        <v>57</v>
      </c>
      <c r="M1074" s="2">
        <v>5350701</v>
      </c>
      <c r="N1074" s="2" t="s">
        <v>338</v>
      </c>
      <c r="O1074" s="2" t="s">
        <v>296</v>
      </c>
      <c r="P1074" s="2" t="s">
        <v>104</v>
      </c>
      <c r="Q1074" s="4">
        <v>12966</v>
      </c>
      <c r="R1074" s="2" t="s">
        <v>44</v>
      </c>
      <c r="S1074" s="2">
        <v>8</v>
      </c>
      <c r="T1074" s="2" t="s">
        <v>33</v>
      </c>
      <c r="U1074" s="2" t="s">
        <v>34</v>
      </c>
      <c r="V1074" s="32">
        <v>65759144</v>
      </c>
      <c r="Y1074" s="30">
        <f t="shared" si="32"/>
        <v>65759144</v>
      </c>
      <c r="Z1074" s="41">
        <f t="shared" si="33"/>
        <v>0</v>
      </c>
    </row>
    <row r="1075" spans="1:27" ht="39">
      <c r="A1075" s="2">
        <v>1073</v>
      </c>
      <c r="B1075" s="2">
        <v>3200183</v>
      </c>
      <c r="C1075" s="2">
        <v>32211853120075</v>
      </c>
      <c r="D1075" s="2" t="s">
        <v>22</v>
      </c>
      <c r="E1075" s="2">
        <v>2512875</v>
      </c>
      <c r="F1075" s="2">
        <v>974593037</v>
      </c>
      <c r="G1075" s="3">
        <v>31373</v>
      </c>
      <c r="H1075" s="2" t="s">
        <v>2400</v>
      </c>
      <c r="I1075" s="2" t="s">
        <v>2401</v>
      </c>
      <c r="J1075" s="2" t="s">
        <v>2402</v>
      </c>
      <c r="K1075" s="2" t="s">
        <v>39</v>
      </c>
      <c r="L1075" s="2" t="s">
        <v>27</v>
      </c>
      <c r="M1075" s="2">
        <v>5320200</v>
      </c>
      <c r="N1075" s="2" t="s">
        <v>66</v>
      </c>
      <c r="O1075" s="2" t="s">
        <v>104</v>
      </c>
      <c r="P1075" s="2" t="s">
        <v>68</v>
      </c>
      <c r="Q1075" s="2" t="s">
        <v>81</v>
      </c>
      <c r="R1075" s="2" t="s">
        <v>62</v>
      </c>
      <c r="S1075" s="2">
        <v>8</v>
      </c>
      <c r="T1075" s="2" t="s">
        <v>33</v>
      </c>
      <c r="U1075" s="2" t="s">
        <v>34</v>
      </c>
      <c r="V1075" s="32">
        <v>59781040</v>
      </c>
      <c r="W1075" s="26">
        <v>30000000</v>
      </c>
      <c r="X1075" s="27" t="s">
        <v>2716</v>
      </c>
      <c r="Y1075" s="30">
        <f t="shared" si="32"/>
        <v>29781040</v>
      </c>
      <c r="Z1075" s="41">
        <f t="shared" si="33"/>
        <v>0.50183134987280253</v>
      </c>
    </row>
    <row r="1076" spans="1:27" ht="26.25">
      <c r="A1076" s="2">
        <v>1074</v>
      </c>
      <c r="B1076" s="2">
        <v>1735878</v>
      </c>
      <c r="C1076" s="2">
        <v>50205027150058</v>
      </c>
      <c r="D1076" s="2" t="s">
        <v>22</v>
      </c>
      <c r="E1076" s="2">
        <v>314956</v>
      </c>
      <c r="F1076" s="2">
        <v>996709818</v>
      </c>
      <c r="G1076" s="3">
        <v>37378</v>
      </c>
      <c r="H1076" s="2" t="s">
        <v>1114</v>
      </c>
      <c r="I1076" s="2" t="s">
        <v>2322</v>
      </c>
      <c r="J1076" s="2" t="s">
        <v>945</v>
      </c>
      <c r="K1076" s="2" t="s">
        <v>39</v>
      </c>
      <c r="L1076" s="2" t="s">
        <v>27</v>
      </c>
      <c r="M1076" s="2">
        <v>5310701</v>
      </c>
      <c r="N1076" s="2" t="s">
        <v>118</v>
      </c>
      <c r="O1076" s="2" t="s">
        <v>2403</v>
      </c>
      <c r="P1076" s="2" t="s">
        <v>123</v>
      </c>
      <c r="Q1076" s="2" t="s">
        <v>2404</v>
      </c>
      <c r="R1076" s="2" t="s">
        <v>62</v>
      </c>
      <c r="S1076" s="2">
        <v>8</v>
      </c>
      <c r="T1076" s="2" t="s">
        <v>508</v>
      </c>
      <c r="U1076" s="2" t="s">
        <v>34</v>
      </c>
      <c r="V1076" s="32">
        <v>11208945</v>
      </c>
      <c r="W1076" s="20">
        <v>5800000</v>
      </c>
      <c r="X1076" s="2" t="s">
        <v>2630</v>
      </c>
      <c r="Y1076" s="30">
        <f t="shared" si="32"/>
        <v>5408945</v>
      </c>
      <c r="Z1076" s="41">
        <f t="shared" si="33"/>
        <v>0.51744388075773406</v>
      </c>
      <c r="AA1076" s="36" t="s">
        <v>2743</v>
      </c>
    </row>
    <row r="1077" spans="1:27" ht="26.25">
      <c r="A1077" s="2">
        <v>1075</v>
      </c>
      <c r="B1077" s="2">
        <v>1212756</v>
      </c>
      <c r="C1077" s="2">
        <v>51308017230013</v>
      </c>
      <c r="D1077" s="2" t="s">
        <v>35</v>
      </c>
      <c r="E1077" s="2">
        <v>1101137</v>
      </c>
      <c r="F1077" s="2">
        <v>930782351</v>
      </c>
      <c r="G1077" s="3">
        <v>37116</v>
      </c>
      <c r="H1077" s="2" t="s">
        <v>195</v>
      </c>
      <c r="I1077" s="2" t="s">
        <v>1970</v>
      </c>
      <c r="J1077" s="2" t="s">
        <v>2405</v>
      </c>
      <c r="K1077" s="2" t="s">
        <v>39</v>
      </c>
      <c r="L1077" s="2" t="s">
        <v>27</v>
      </c>
      <c r="M1077" s="2">
        <v>5340605</v>
      </c>
      <c r="N1077" s="2" t="s">
        <v>40</v>
      </c>
      <c r="O1077" s="2" t="s">
        <v>179</v>
      </c>
      <c r="P1077" s="2" t="s">
        <v>42</v>
      </c>
      <c r="Q1077" s="2" t="s">
        <v>363</v>
      </c>
      <c r="R1077" s="2" t="s">
        <v>44</v>
      </c>
      <c r="S1077" s="2">
        <v>8</v>
      </c>
      <c r="T1077" s="2" t="s">
        <v>33</v>
      </c>
      <c r="U1077" s="2" t="s">
        <v>34</v>
      </c>
      <c r="V1077" s="32" t="s">
        <v>2722</v>
      </c>
      <c r="W1077" s="21">
        <v>30000000</v>
      </c>
      <c r="X1077" s="11" t="s">
        <v>2626</v>
      </c>
      <c r="Y1077" s="30">
        <f t="shared" si="32"/>
        <v>29183229.600000001</v>
      </c>
      <c r="Z1077" s="41">
        <f t="shared" si="33"/>
        <v>0.50690035340687123</v>
      </c>
    </row>
    <row r="1078" spans="1:27" ht="26.25">
      <c r="A1078" s="2">
        <v>1076</v>
      </c>
      <c r="B1078" s="2">
        <v>1239354</v>
      </c>
      <c r="C1078" s="2">
        <v>31301966960031</v>
      </c>
      <c r="D1078" s="2" t="s">
        <v>145</v>
      </c>
      <c r="E1078" s="2">
        <v>2622052</v>
      </c>
      <c r="F1078" s="2">
        <v>904073388</v>
      </c>
      <c r="G1078" s="3">
        <v>35077</v>
      </c>
      <c r="H1078" s="2" t="s">
        <v>685</v>
      </c>
      <c r="I1078" s="2" t="s">
        <v>517</v>
      </c>
      <c r="J1078" s="2" t="s">
        <v>2406</v>
      </c>
      <c r="K1078" s="2" t="s">
        <v>39</v>
      </c>
      <c r="L1078" s="2" t="s">
        <v>27</v>
      </c>
      <c r="M1078" s="2">
        <v>5620701</v>
      </c>
      <c r="N1078" s="2" t="s">
        <v>218</v>
      </c>
      <c r="O1078" s="2">
        <v>84</v>
      </c>
      <c r="P1078" s="2" t="s">
        <v>219</v>
      </c>
      <c r="Q1078" s="2" t="s">
        <v>43</v>
      </c>
      <c r="R1078" s="2" t="s">
        <v>62</v>
      </c>
      <c r="S1078" s="2">
        <v>8</v>
      </c>
      <c r="T1078" s="2" t="s">
        <v>508</v>
      </c>
      <c r="U1078" s="2" t="s">
        <v>34</v>
      </c>
      <c r="V1078" s="32">
        <v>59781040</v>
      </c>
      <c r="Y1078" s="30">
        <f t="shared" si="32"/>
        <v>59781040</v>
      </c>
      <c r="Z1078" s="41">
        <f t="shared" si="33"/>
        <v>0</v>
      </c>
    </row>
    <row r="1079" spans="1:27" ht="15.75">
      <c r="A1079" s="2">
        <v>1077</v>
      </c>
      <c r="B1079" s="2">
        <v>3544031</v>
      </c>
      <c r="C1079" s="2">
        <v>19026277857642</v>
      </c>
      <c r="D1079" s="2" t="s">
        <v>644</v>
      </c>
      <c r="E1079" s="2">
        <v>228136</v>
      </c>
      <c r="F1079" s="2">
        <v>931661805</v>
      </c>
      <c r="G1079" s="3">
        <v>37731</v>
      </c>
      <c r="H1079" s="2" t="s">
        <v>2407</v>
      </c>
      <c r="I1079" s="2" t="s">
        <v>2408</v>
      </c>
      <c r="J1079" s="2" t="s">
        <v>2409</v>
      </c>
      <c r="K1079" s="2" t="s">
        <v>39</v>
      </c>
      <c r="L1079" s="2" t="s">
        <v>57</v>
      </c>
      <c r="M1079" s="2">
        <v>5310202</v>
      </c>
      <c r="N1079" s="2" t="s">
        <v>86</v>
      </c>
      <c r="O1079" s="2" t="s">
        <v>225</v>
      </c>
      <c r="P1079" s="2" t="s">
        <v>154</v>
      </c>
      <c r="Q1079" s="5">
        <v>44471</v>
      </c>
      <c r="R1079" s="2" t="s">
        <v>62</v>
      </c>
      <c r="S1079" s="2">
        <v>8</v>
      </c>
      <c r="T1079" s="2" t="s">
        <v>33</v>
      </c>
      <c r="U1079" s="2" t="s">
        <v>34</v>
      </c>
      <c r="V1079" s="32">
        <v>18681575</v>
      </c>
      <c r="W1079" s="21">
        <f>9340787.5+8600000</f>
        <v>17940787.5</v>
      </c>
      <c r="X1079" s="11" t="s">
        <v>2935</v>
      </c>
      <c r="Y1079" s="30">
        <f t="shared" si="32"/>
        <v>740787.5</v>
      </c>
      <c r="Z1079" s="41">
        <f t="shared" si="33"/>
        <v>0.96034662494998413</v>
      </c>
    </row>
    <row r="1080" spans="1:27">
      <c r="A1080" s="2">
        <v>1078</v>
      </c>
      <c r="B1080" s="2">
        <v>3404577</v>
      </c>
      <c r="C1080" s="2">
        <v>30611913490030</v>
      </c>
      <c r="D1080" s="2" t="s">
        <v>35</v>
      </c>
      <c r="E1080" s="2">
        <v>576213</v>
      </c>
      <c r="F1080" s="2">
        <v>905775948</v>
      </c>
      <c r="G1080" s="3">
        <v>33548</v>
      </c>
      <c r="H1080" s="2" t="s">
        <v>2410</v>
      </c>
      <c r="I1080" s="2" t="s">
        <v>2411</v>
      </c>
      <c r="J1080" s="2" t="s">
        <v>2412</v>
      </c>
      <c r="K1080" s="2" t="s">
        <v>39</v>
      </c>
      <c r="L1080" s="2" t="s">
        <v>27</v>
      </c>
      <c r="M1080" s="2">
        <v>5310606</v>
      </c>
      <c r="N1080" s="2" t="s">
        <v>72</v>
      </c>
      <c r="O1080" s="2" t="s">
        <v>155</v>
      </c>
      <c r="P1080" s="2" t="s">
        <v>73</v>
      </c>
      <c r="Q1080" s="4">
        <v>14824</v>
      </c>
      <c r="R1080" s="2" t="s">
        <v>62</v>
      </c>
      <c r="S1080" s="2">
        <v>8</v>
      </c>
      <c r="T1080" s="2" t="s">
        <v>33</v>
      </c>
      <c r="U1080" s="2" t="s">
        <v>34</v>
      </c>
      <c r="V1080" s="32">
        <v>59781040</v>
      </c>
      <c r="Y1080" s="30">
        <f t="shared" si="32"/>
        <v>59781040</v>
      </c>
      <c r="Z1080" s="41">
        <f t="shared" si="33"/>
        <v>0</v>
      </c>
    </row>
    <row r="1081" spans="1:27" ht="26.25">
      <c r="A1081" s="2">
        <v>1079</v>
      </c>
      <c r="B1081" s="2">
        <v>2005268</v>
      </c>
      <c r="C1081" s="2">
        <v>32611955470012</v>
      </c>
      <c r="D1081" s="2" t="s">
        <v>145</v>
      </c>
      <c r="E1081" s="2">
        <v>487414</v>
      </c>
      <c r="F1081" s="2">
        <v>933059414</v>
      </c>
      <c r="G1081" s="3">
        <v>35029</v>
      </c>
      <c r="H1081" s="2" t="s">
        <v>2413</v>
      </c>
      <c r="I1081" s="2" t="s">
        <v>2414</v>
      </c>
      <c r="J1081" s="2" t="s">
        <v>2222</v>
      </c>
      <c r="K1081" s="2" t="s">
        <v>39</v>
      </c>
      <c r="L1081" s="2" t="s">
        <v>57</v>
      </c>
      <c r="M1081" s="2">
        <v>5620702</v>
      </c>
      <c r="N1081" s="2" t="s">
        <v>159</v>
      </c>
      <c r="O1081" s="2" t="s">
        <v>225</v>
      </c>
      <c r="P1081" s="2" t="s">
        <v>139</v>
      </c>
      <c r="Q1081" s="4">
        <v>43922</v>
      </c>
      <c r="R1081" s="2" t="s">
        <v>62</v>
      </c>
      <c r="S1081" s="2">
        <v>8</v>
      </c>
      <c r="T1081" s="2" t="s">
        <v>33</v>
      </c>
      <c r="U1081" s="2" t="s">
        <v>34</v>
      </c>
      <c r="V1081" s="32">
        <v>59781040</v>
      </c>
      <c r="Y1081" s="30">
        <f t="shared" si="32"/>
        <v>59781040</v>
      </c>
      <c r="Z1081" s="41">
        <f t="shared" si="33"/>
        <v>0</v>
      </c>
    </row>
    <row r="1082" spans="1:27" ht="26.25">
      <c r="A1082" s="2">
        <v>1080</v>
      </c>
      <c r="B1082" s="2">
        <v>3624139</v>
      </c>
      <c r="C1082" s="2">
        <v>42804860440013</v>
      </c>
      <c r="D1082" s="2" t="s">
        <v>145</v>
      </c>
      <c r="E1082" s="2">
        <v>9692461</v>
      </c>
      <c r="F1082" s="2">
        <v>999130127</v>
      </c>
      <c r="G1082" s="3">
        <v>31530</v>
      </c>
      <c r="H1082" s="2" t="s">
        <v>1336</v>
      </c>
      <c r="I1082" s="2" t="s">
        <v>2415</v>
      </c>
      <c r="J1082" s="2" t="s">
        <v>2416</v>
      </c>
      <c r="K1082" s="2" t="s">
        <v>39</v>
      </c>
      <c r="L1082" s="2" t="s">
        <v>27</v>
      </c>
      <c r="M1082" s="2">
        <v>5320102</v>
      </c>
      <c r="N1082" s="2" t="s">
        <v>138</v>
      </c>
      <c r="O1082" s="2" t="s">
        <v>155</v>
      </c>
      <c r="P1082" s="2" t="s">
        <v>140</v>
      </c>
      <c r="Q1082" s="4">
        <v>43922</v>
      </c>
      <c r="R1082" s="2" t="s">
        <v>62</v>
      </c>
      <c r="S1082" s="2">
        <v>8</v>
      </c>
      <c r="T1082" s="2" t="s">
        <v>33</v>
      </c>
      <c r="U1082" s="2" t="s">
        <v>34</v>
      </c>
      <c r="V1082" s="32">
        <v>59781040</v>
      </c>
      <c r="Y1082" s="30">
        <f t="shared" si="32"/>
        <v>59781040</v>
      </c>
      <c r="Z1082" s="41">
        <f t="shared" si="33"/>
        <v>0</v>
      </c>
    </row>
    <row r="1083" spans="1:27">
      <c r="A1083" s="2">
        <v>1081</v>
      </c>
      <c r="B1083" s="2">
        <v>3748544</v>
      </c>
      <c r="C1083" s="2">
        <v>30206910270781</v>
      </c>
      <c r="D1083" s="2" t="s">
        <v>45</v>
      </c>
      <c r="E1083" s="2">
        <v>2071567</v>
      </c>
      <c r="F1083" s="2">
        <v>974644544</v>
      </c>
      <c r="G1083" s="3">
        <v>33391</v>
      </c>
      <c r="H1083" s="2" t="s">
        <v>135</v>
      </c>
      <c r="I1083" s="2" t="s">
        <v>2417</v>
      </c>
      <c r="J1083" s="2" t="s">
        <v>2418</v>
      </c>
      <c r="K1083" s="2" t="s">
        <v>39</v>
      </c>
      <c r="L1083" s="2" t="s">
        <v>57</v>
      </c>
      <c r="M1083" s="2">
        <v>5310400</v>
      </c>
      <c r="N1083" s="2" t="s">
        <v>232</v>
      </c>
      <c r="O1083" s="2" t="s">
        <v>207</v>
      </c>
      <c r="P1083" s="2" t="s">
        <v>139</v>
      </c>
      <c r="Q1083" s="5">
        <v>44317</v>
      </c>
      <c r="R1083" s="2" t="s">
        <v>62</v>
      </c>
      <c r="S1083" s="2">
        <v>8</v>
      </c>
      <c r="T1083" s="2" t="s">
        <v>33</v>
      </c>
      <c r="U1083" s="2" t="s">
        <v>34</v>
      </c>
      <c r="V1083" s="32">
        <v>11208945</v>
      </c>
      <c r="W1083" s="20">
        <f>7473000+7473000</f>
        <v>14946000</v>
      </c>
      <c r="X1083" t="s">
        <v>2889</v>
      </c>
      <c r="Y1083" s="30">
        <f t="shared" si="32"/>
        <v>-3737055</v>
      </c>
      <c r="Z1083" s="41">
        <f t="shared" si="33"/>
        <v>1.3333993520353611</v>
      </c>
    </row>
    <row r="1084" spans="1:27" ht="26.25">
      <c r="A1084" s="2">
        <v>1082</v>
      </c>
      <c r="B1084" s="2">
        <v>2453987</v>
      </c>
      <c r="C1084" s="2">
        <v>52203036560015</v>
      </c>
      <c r="D1084" s="2" t="s">
        <v>22</v>
      </c>
      <c r="E1084" s="2">
        <v>1787167</v>
      </c>
      <c r="F1084" s="2">
        <v>935959438</v>
      </c>
      <c r="G1084" s="3">
        <v>37702</v>
      </c>
      <c r="H1084" s="2" t="s">
        <v>1087</v>
      </c>
      <c r="I1084" s="2" t="s">
        <v>2419</v>
      </c>
      <c r="J1084" s="2" t="s">
        <v>2420</v>
      </c>
      <c r="K1084" s="2" t="s">
        <v>39</v>
      </c>
      <c r="L1084" s="2" t="s">
        <v>27</v>
      </c>
      <c r="M1084" s="2">
        <v>5230902</v>
      </c>
      <c r="N1084" s="2" t="s">
        <v>251</v>
      </c>
      <c r="O1084" s="2" t="s">
        <v>584</v>
      </c>
      <c r="P1084" s="2" t="s">
        <v>252</v>
      </c>
      <c r="Q1084" s="5">
        <v>44317</v>
      </c>
      <c r="R1084" s="2" t="s">
        <v>82</v>
      </c>
      <c r="S1084" s="2">
        <v>10</v>
      </c>
      <c r="T1084" s="2" t="s">
        <v>508</v>
      </c>
      <c r="U1084" s="2" t="s">
        <v>34</v>
      </c>
      <c r="V1084" s="32">
        <v>15692523</v>
      </c>
      <c r="Y1084" s="30">
        <f t="shared" si="32"/>
        <v>15692523</v>
      </c>
      <c r="Z1084" s="41">
        <f t="shared" si="33"/>
        <v>0</v>
      </c>
    </row>
    <row r="1085" spans="1:27" ht="26.25">
      <c r="A1085" s="2">
        <v>1083</v>
      </c>
      <c r="B1085" s="2">
        <v>3326414</v>
      </c>
      <c r="C1085" s="2">
        <v>50211035630086</v>
      </c>
      <c r="D1085" s="2" t="s">
        <v>74</v>
      </c>
      <c r="E1085" s="2">
        <v>265161</v>
      </c>
      <c r="F1085" s="2">
        <v>992191446</v>
      </c>
      <c r="G1085" s="3">
        <v>37927</v>
      </c>
      <c r="H1085" s="2" t="s">
        <v>1555</v>
      </c>
      <c r="I1085" s="2" t="s">
        <v>1813</v>
      </c>
      <c r="J1085" s="2" t="s">
        <v>586</v>
      </c>
      <c r="K1085" s="2" t="s">
        <v>26</v>
      </c>
      <c r="L1085" s="2" t="s">
        <v>27</v>
      </c>
      <c r="M1085" s="2">
        <v>5320102</v>
      </c>
      <c r="N1085" s="2" t="s">
        <v>138</v>
      </c>
      <c r="O1085" s="2" t="s">
        <v>104</v>
      </c>
      <c r="P1085" s="2" t="s">
        <v>154</v>
      </c>
      <c r="Q1085" s="5">
        <v>44317</v>
      </c>
      <c r="R1085" s="2" t="s">
        <v>53</v>
      </c>
      <c r="S1085" s="2">
        <v>8</v>
      </c>
      <c r="T1085" s="2" t="s">
        <v>33</v>
      </c>
      <c r="U1085" s="2" t="s">
        <v>34</v>
      </c>
      <c r="V1085" s="32">
        <v>9618915</v>
      </c>
      <c r="W1085" s="21">
        <v>4810000</v>
      </c>
      <c r="X1085" s="11" t="s">
        <v>2660</v>
      </c>
      <c r="Y1085" s="30">
        <f t="shared" si="32"/>
        <v>4808915</v>
      </c>
      <c r="Z1085" s="41">
        <f t="shared" si="33"/>
        <v>0.50005639929243584</v>
      </c>
    </row>
    <row r="1086" spans="1:27">
      <c r="A1086" s="2">
        <v>1084</v>
      </c>
      <c r="B1086" s="2">
        <v>2292496</v>
      </c>
      <c r="C1086" s="2">
        <v>51402017000020</v>
      </c>
      <c r="D1086" s="2" t="s">
        <v>45</v>
      </c>
      <c r="E1086" s="2">
        <v>7901924</v>
      </c>
      <c r="F1086" s="2">
        <v>916838186</v>
      </c>
      <c r="G1086" s="3">
        <v>36936</v>
      </c>
      <c r="H1086" s="2" t="s">
        <v>89</v>
      </c>
      <c r="I1086" s="2" t="s">
        <v>423</v>
      </c>
      <c r="J1086" s="2" t="s">
        <v>1956</v>
      </c>
      <c r="K1086" s="2" t="s">
        <v>39</v>
      </c>
      <c r="L1086" s="2" t="s">
        <v>27</v>
      </c>
      <c r="M1086" s="2">
        <v>5310202</v>
      </c>
      <c r="N1086" s="2" t="s">
        <v>86</v>
      </c>
      <c r="O1086" s="2" t="s">
        <v>42</v>
      </c>
      <c r="P1086" s="2" t="s">
        <v>219</v>
      </c>
      <c r="Q1086" s="2" t="s">
        <v>111</v>
      </c>
      <c r="R1086" s="2" t="s">
        <v>62</v>
      </c>
      <c r="S1086" s="2">
        <v>8</v>
      </c>
      <c r="T1086" s="2" t="s">
        <v>33</v>
      </c>
      <c r="U1086" s="2" t="s">
        <v>34</v>
      </c>
      <c r="V1086" s="32">
        <v>59781040</v>
      </c>
      <c r="Y1086" s="30">
        <f t="shared" si="32"/>
        <v>59781040</v>
      </c>
      <c r="Z1086" s="41">
        <f t="shared" si="33"/>
        <v>0</v>
      </c>
    </row>
    <row r="1087" spans="1:27">
      <c r="A1087" s="2">
        <v>1085</v>
      </c>
      <c r="B1087" s="2">
        <v>2304888</v>
      </c>
      <c r="C1087" s="2">
        <v>33012923440021</v>
      </c>
      <c r="D1087" s="2" t="s">
        <v>35</v>
      </c>
      <c r="E1087" s="2">
        <v>538442</v>
      </c>
      <c r="F1087" s="2">
        <v>993191918</v>
      </c>
      <c r="G1087" s="3">
        <v>33968</v>
      </c>
      <c r="H1087" s="2" t="s">
        <v>2421</v>
      </c>
      <c r="I1087" s="2" t="s">
        <v>2422</v>
      </c>
      <c r="J1087" s="2" t="s">
        <v>2423</v>
      </c>
      <c r="K1087" s="2" t="s">
        <v>39</v>
      </c>
      <c r="L1087" s="2" t="s">
        <v>27</v>
      </c>
      <c r="M1087" s="2">
        <v>5340603</v>
      </c>
      <c r="N1087" s="2" t="s">
        <v>174</v>
      </c>
      <c r="O1087" s="2" t="s">
        <v>104</v>
      </c>
      <c r="P1087" s="2" t="s">
        <v>175</v>
      </c>
      <c r="Q1087" s="4">
        <v>12966</v>
      </c>
      <c r="R1087" s="2" t="s">
        <v>44</v>
      </c>
      <c r="S1087" s="2">
        <v>8</v>
      </c>
      <c r="T1087" s="2" t="s">
        <v>33</v>
      </c>
      <c r="U1087" s="2" t="s">
        <v>34</v>
      </c>
      <c r="V1087" s="32">
        <v>65759144</v>
      </c>
      <c r="Y1087" s="30">
        <f t="shared" si="32"/>
        <v>65759144</v>
      </c>
      <c r="Z1087" s="41">
        <f t="shared" si="33"/>
        <v>0</v>
      </c>
    </row>
    <row r="1088" spans="1:27" ht="26.25">
      <c r="A1088" s="2">
        <v>1086</v>
      </c>
      <c r="B1088" s="2">
        <v>3771092</v>
      </c>
      <c r="C1088" s="2">
        <v>32703950460027</v>
      </c>
      <c r="D1088" s="2" t="s">
        <v>45</v>
      </c>
      <c r="E1088" s="2">
        <v>206062</v>
      </c>
      <c r="F1088" s="2">
        <v>974467808</v>
      </c>
      <c r="G1088" s="3">
        <v>34785</v>
      </c>
      <c r="H1088" s="2" t="s">
        <v>1442</v>
      </c>
      <c r="I1088" s="2" t="s">
        <v>352</v>
      </c>
      <c r="J1088" s="2" t="s">
        <v>2424</v>
      </c>
      <c r="K1088" s="2" t="s">
        <v>39</v>
      </c>
      <c r="L1088" s="2" t="s">
        <v>27</v>
      </c>
      <c r="M1088" s="2">
        <v>5310601</v>
      </c>
      <c r="N1088" s="2" t="s">
        <v>153</v>
      </c>
      <c r="O1088" s="2" t="s">
        <v>179</v>
      </c>
      <c r="P1088" s="2" t="s">
        <v>79</v>
      </c>
      <c r="Q1088" s="2" t="s">
        <v>253</v>
      </c>
      <c r="R1088" s="2" t="s">
        <v>62</v>
      </c>
      <c r="S1088" s="2">
        <v>8</v>
      </c>
      <c r="T1088" s="2" t="s">
        <v>33</v>
      </c>
      <c r="U1088" s="2" t="s">
        <v>34</v>
      </c>
      <c r="V1088" s="32">
        <v>59781040</v>
      </c>
      <c r="Y1088" s="30">
        <f t="shared" si="32"/>
        <v>59781040</v>
      </c>
      <c r="Z1088" s="41">
        <f t="shared" si="33"/>
        <v>0</v>
      </c>
    </row>
    <row r="1089" spans="1:26" ht="26.25">
      <c r="A1089" s="2">
        <v>1087</v>
      </c>
      <c r="B1089" s="2">
        <v>3356249</v>
      </c>
      <c r="C1089" s="2">
        <v>51408046960058</v>
      </c>
      <c r="D1089" s="2" t="s">
        <v>74</v>
      </c>
      <c r="E1089" s="2">
        <v>191445</v>
      </c>
      <c r="F1089" s="2" t="s">
        <v>2008</v>
      </c>
      <c r="G1089" s="3">
        <v>38213</v>
      </c>
      <c r="H1089" s="2" t="s">
        <v>278</v>
      </c>
      <c r="I1089" s="2" t="s">
        <v>2425</v>
      </c>
      <c r="J1089" s="2" t="s">
        <v>348</v>
      </c>
      <c r="K1089" s="2" t="s">
        <v>39</v>
      </c>
      <c r="L1089" s="2" t="s">
        <v>27</v>
      </c>
      <c r="M1089" s="2">
        <v>5310701</v>
      </c>
      <c r="N1089" s="2" t="s">
        <v>118</v>
      </c>
      <c r="O1089" s="2" t="s">
        <v>433</v>
      </c>
      <c r="P1089" s="2" t="s">
        <v>123</v>
      </c>
      <c r="Q1089" s="2" t="s">
        <v>166</v>
      </c>
      <c r="R1089" s="2" t="s">
        <v>62</v>
      </c>
      <c r="S1089" s="2">
        <v>8</v>
      </c>
      <c r="T1089" s="2" t="s">
        <v>33</v>
      </c>
      <c r="U1089" s="2" t="s">
        <v>34</v>
      </c>
      <c r="V1089" s="32">
        <v>119562080</v>
      </c>
      <c r="Y1089" s="30">
        <f t="shared" si="32"/>
        <v>119562080</v>
      </c>
      <c r="Z1089" s="41">
        <f t="shared" si="33"/>
        <v>0</v>
      </c>
    </row>
    <row r="1090" spans="1:26">
      <c r="A1090" s="2">
        <v>1088</v>
      </c>
      <c r="B1090" s="2">
        <v>2536159</v>
      </c>
      <c r="C1090" s="2">
        <v>52001026040042</v>
      </c>
      <c r="D1090" s="2" t="s">
        <v>45</v>
      </c>
      <c r="E1090" s="2">
        <v>9443537</v>
      </c>
      <c r="F1090" s="2" t="s">
        <v>2008</v>
      </c>
      <c r="G1090" s="3">
        <v>37276</v>
      </c>
      <c r="H1090" s="2" t="s">
        <v>1617</v>
      </c>
      <c r="I1090" s="2" t="s">
        <v>2426</v>
      </c>
      <c r="J1090" s="2" t="s">
        <v>2427</v>
      </c>
      <c r="K1090" s="2" t="s">
        <v>39</v>
      </c>
      <c r="L1090" s="2" t="s">
        <v>27</v>
      </c>
      <c r="M1090" s="2">
        <v>5620400</v>
      </c>
      <c r="N1090" s="2" t="s">
        <v>103</v>
      </c>
      <c r="O1090" s="2" t="s">
        <v>225</v>
      </c>
      <c r="P1090" s="2" t="s">
        <v>123</v>
      </c>
      <c r="Q1090" s="2" t="s">
        <v>440</v>
      </c>
      <c r="R1090" s="2" t="s">
        <v>62</v>
      </c>
      <c r="S1090" s="2">
        <v>8</v>
      </c>
      <c r="T1090" s="2" t="s">
        <v>33</v>
      </c>
      <c r="U1090" s="2" t="s">
        <v>34</v>
      </c>
      <c r="V1090" s="32">
        <v>59781040</v>
      </c>
      <c r="Y1090" s="30">
        <f t="shared" si="32"/>
        <v>59781040</v>
      </c>
      <c r="Z1090" s="41">
        <f t="shared" si="33"/>
        <v>0</v>
      </c>
    </row>
    <row r="1091" spans="1:26" ht="26.25">
      <c r="A1091" s="2">
        <v>1089</v>
      </c>
      <c r="B1091" s="2">
        <v>2105526</v>
      </c>
      <c r="C1091" s="2">
        <v>30208953880028</v>
      </c>
      <c r="D1091" s="2" t="s">
        <v>145</v>
      </c>
      <c r="E1091" s="2">
        <v>6001452</v>
      </c>
      <c r="F1091" s="2">
        <v>990219607</v>
      </c>
      <c r="G1091" s="3">
        <v>34913</v>
      </c>
      <c r="H1091" s="2" t="s">
        <v>2428</v>
      </c>
      <c r="I1091" s="2" t="s">
        <v>2429</v>
      </c>
      <c r="J1091" s="2" t="s">
        <v>2430</v>
      </c>
      <c r="K1091" s="2" t="s">
        <v>39</v>
      </c>
      <c r="L1091" s="2" t="s">
        <v>27</v>
      </c>
      <c r="M1091" s="2">
        <v>5340604</v>
      </c>
      <c r="N1091" s="2" t="s">
        <v>354</v>
      </c>
      <c r="O1091" s="2" t="s">
        <v>155</v>
      </c>
      <c r="P1091" s="2" t="s">
        <v>42</v>
      </c>
      <c r="Q1091" s="4">
        <v>12966</v>
      </c>
      <c r="R1091" s="2" t="s">
        <v>44</v>
      </c>
      <c r="S1091" s="2">
        <v>8</v>
      </c>
      <c r="T1091" s="2" t="s">
        <v>33</v>
      </c>
      <c r="U1091" s="2" t="s">
        <v>34</v>
      </c>
      <c r="V1091" s="32">
        <v>65759144</v>
      </c>
      <c r="Y1091" s="30">
        <f t="shared" si="32"/>
        <v>65759144</v>
      </c>
      <c r="Z1091" s="41">
        <f t="shared" si="33"/>
        <v>0</v>
      </c>
    </row>
    <row r="1092" spans="1:26">
      <c r="A1092" s="2">
        <v>1090</v>
      </c>
      <c r="B1092" s="2">
        <v>1792048</v>
      </c>
      <c r="C1092" s="2">
        <v>30609936610012</v>
      </c>
      <c r="D1092" s="2" t="s">
        <v>145</v>
      </c>
      <c r="E1092" s="2">
        <v>39992</v>
      </c>
      <c r="F1092" s="2">
        <v>946661131</v>
      </c>
      <c r="G1092" s="3">
        <v>34218</v>
      </c>
      <c r="H1092" s="2" t="s">
        <v>444</v>
      </c>
      <c r="I1092" s="2" t="s">
        <v>2431</v>
      </c>
      <c r="J1092" s="2" t="s">
        <v>1333</v>
      </c>
      <c r="K1092" s="2" t="s">
        <v>39</v>
      </c>
      <c r="L1092" s="2" t="s">
        <v>27</v>
      </c>
      <c r="M1092" s="2">
        <v>5620400</v>
      </c>
      <c r="N1092" s="2" t="s">
        <v>103</v>
      </c>
      <c r="O1092" s="2" t="s">
        <v>88</v>
      </c>
      <c r="P1092" s="2" t="s">
        <v>123</v>
      </c>
      <c r="Q1092" s="2" t="s">
        <v>500</v>
      </c>
      <c r="R1092" s="2" t="s">
        <v>62</v>
      </c>
      <c r="S1092" s="2">
        <v>8</v>
      </c>
      <c r="T1092" s="2" t="s">
        <v>33</v>
      </c>
      <c r="U1092" s="2" t="s">
        <v>34</v>
      </c>
      <c r="V1092" s="32">
        <v>53802936</v>
      </c>
      <c r="W1092" s="20">
        <v>30000000</v>
      </c>
      <c r="X1092" s="2" t="s">
        <v>2686</v>
      </c>
      <c r="Y1092" s="30">
        <f t="shared" ref="Y1092:Y1155" si="34">V1092-W1092</f>
        <v>23802936</v>
      </c>
      <c r="Z1092" s="41">
        <f t="shared" ref="Z1092:Z1155" si="35">W1092/V1092</f>
        <v>0.55759038874755829</v>
      </c>
    </row>
    <row r="1093" spans="1:26" ht="26.25">
      <c r="A1093" s="2">
        <v>1091</v>
      </c>
      <c r="B1093" s="2">
        <v>3649896</v>
      </c>
      <c r="C1093" s="2">
        <v>30401975770014</v>
      </c>
      <c r="D1093" s="2" t="s">
        <v>145</v>
      </c>
      <c r="E1093" s="2">
        <v>1097839</v>
      </c>
      <c r="F1093" s="2">
        <v>937585857</v>
      </c>
      <c r="G1093" s="3">
        <v>35434</v>
      </c>
      <c r="H1093" s="2" t="s">
        <v>183</v>
      </c>
      <c r="I1093" s="2" t="s">
        <v>811</v>
      </c>
      <c r="J1093" s="2" t="s">
        <v>2432</v>
      </c>
      <c r="K1093" s="2" t="s">
        <v>39</v>
      </c>
      <c r="L1093" s="2" t="s">
        <v>57</v>
      </c>
      <c r="M1093" s="2">
        <v>5310601</v>
      </c>
      <c r="N1093" s="2" t="s">
        <v>153</v>
      </c>
      <c r="O1093" s="2" t="s">
        <v>60</v>
      </c>
      <c r="P1093" s="2" t="s">
        <v>155</v>
      </c>
      <c r="Q1093" s="2" t="s">
        <v>591</v>
      </c>
      <c r="R1093" s="2" t="s">
        <v>62</v>
      </c>
      <c r="S1093" s="2">
        <v>8</v>
      </c>
      <c r="T1093" s="2" t="s">
        <v>33</v>
      </c>
      <c r="U1093" s="2" t="s">
        <v>34</v>
      </c>
      <c r="V1093" s="32">
        <v>59781040</v>
      </c>
      <c r="Y1093" s="30">
        <f t="shared" si="34"/>
        <v>59781040</v>
      </c>
      <c r="Z1093" s="41">
        <f t="shared" si="35"/>
        <v>0</v>
      </c>
    </row>
    <row r="1094" spans="1:26">
      <c r="A1094" s="2">
        <v>1092</v>
      </c>
      <c r="B1094" s="2">
        <v>3689355</v>
      </c>
      <c r="C1094" s="2">
        <v>30604952140039</v>
      </c>
      <c r="D1094" s="2" t="s">
        <v>145</v>
      </c>
      <c r="E1094" s="2">
        <v>8502064</v>
      </c>
      <c r="F1094" s="2" t="s">
        <v>2008</v>
      </c>
      <c r="G1094" s="3">
        <v>34795</v>
      </c>
      <c r="H1094" s="2" t="s">
        <v>2433</v>
      </c>
      <c r="I1094" s="2" t="s">
        <v>2434</v>
      </c>
      <c r="J1094" s="2" t="s">
        <v>2435</v>
      </c>
      <c r="K1094" s="2" t="s">
        <v>39</v>
      </c>
      <c r="L1094" s="2" t="s">
        <v>27</v>
      </c>
      <c r="M1094" s="2">
        <v>5620400</v>
      </c>
      <c r="N1094" s="2" t="s">
        <v>103</v>
      </c>
      <c r="O1094" s="2" t="s">
        <v>281</v>
      </c>
      <c r="P1094" s="2" t="s">
        <v>123</v>
      </c>
      <c r="Q1094" s="2" t="s">
        <v>421</v>
      </c>
      <c r="R1094" s="2" t="s">
        <v>62</v>
      </c>
      <c r="S1094" s="2">
        <v>8</v>
      </c>
      <c r="T1094" s="2" t="s">
        <v>33</v>
      </c>
      <c r="U1094" s="2" t="s">
        <v>34</v>
      </c>
      <c r="V1094" s="32">
        <v>119562080</v>
      </c>
      <c r="Y1094" s="30">
        <f t="shared" si="34"/>
        <v>119562080</v>
      </c>
      <c r="Z1094" s="41">
        <f t="shared" si="35"/>
        <v>0</v>
      </c>
    </row>
    <row r="1095" spans="1:26">
      <c r="A1095" s="2">
        <v>1093</v>
      </c>
      <c r="B1095" s="2">
        <v>2084099</v>
      </c>
      <c r="C1095" s="2">
        <v>31704956080025</v>
      </c>
      <c r="D1095" s="2" t="s">
        <v>145</v>
      </c>
      <c r="E1095" s="2">
        <v>4192045</v>
      </c>
      <c r="F1095" s="2" t="s">
        <v>2008</v>
      </c>
      <c r="G1095" s="3">
        <v>34806</v>
      </c>
      <c r="H1095" s="2" t="s">
        <v>606</v>
      </c>
      <c r="I1095" s="2" t="s">
        <v>2436</v>
      </c>
      <c r="J1095" s="2" t="s">
        <v>1300</v>
      </c>
      <c r="K1095" s="2" t="s">
        <v>39</v>
      </c>
      <c r="L1095" s="2" t="s">
        <v>27</v>
      </c>
      <c r="M1095" s="2">
        <v>5620400</v>
      </c>
      <c r="N1095" s="2" t="s">
        <v>103</v>
      </c>
      <c r="O1095" s="2" t="s">
        <v>139</v>
      </c>
      <c r="P1095" s="2" t="s">
        <v>123</v>
      </c>
      <c r="Q1095" s="2" t="s">
        <v>363</v>
      </c>
      <c r="R1095" s="2" t="s">
        <v>62</v>
      </c>
      <c r="S1095" s="2">
        <v>8</v>
      </c>
      <c r="T1095" s="2" t="s">
        <v>33</v>
      </c>
      <c r="U1095" s="2" t="s">
        <v>34</v>
      </c>
      <c r="V1095" s="32">
        <v>59781040</v>
      </c>
      <c r="Y1095" s="30">
        <f t="shared" si="34"/>
        <v>59781040</v>
      </c>
      <c r="Z1095" s="41">
        <f t="shared" si="35"/>
        <v>0</v>
      </c>
    </row>
    <row r="1096" spans="1:26" ht="26.25">
      <c r="A1096" s="2">
        <v>1094</v>
      </c>
      <c r="B1096" s="2">
        <v>3460420</v>
      </c>
      <c r="C1096" s="2">
        <v>32803962170025</v>
      </c>
      <c r="D1096" s="2" t="s">
        <v>22</v>
      </c>
      <c r="E1096" s="2">
        <v>2338942</v>
      </c>
      <c r="F1096" s="2">
        <v>881230021</v>
      </c>
      <c r="G1096" s="3">
        <v>35152</v>
      </c>
      <c r="H1096" s="2" t="s">
        <v>2437</v>
      </c>
      <c r="I1096" s="2" t="s">
        <v>451</v>
      </c>
      <c r="J1096" s="2" t="s">
        <v>2438</v>
      </c>
      <c r="K1096" s="2" t="s">
        <v>39</v>
      </c>
      <c r="L1096" s="2" t="s">
        <v>57</v>
      </c>
      <c r="M1096" s="2">
        <v>5310701</v>
      </c>
      <c r="N1096" s="2" t="s">
        <v>118</v>
      </c>
      <c r="O1096" s="2" t="s">
        <v>41</v>
      </c>
      <c r="P1096" s="2" t="s">
        <v>207</v>
      </c>
      <c r="Q1096" s="4">
        <v>43922</v>
      </c>
      <c r="R1096" s="2" t="s">
        <v>62</v>
      </c>
      <c r="S1096" s="2">
        <v>8</v>
      </c>
      <c r="T1096" s="2" t="s">
        <v>33</v>
      </c>
      <c r="U1096" s="2" t="s">
        <v>34</v>
      </c>
      <c r="V1096" s="32">
        <v>59781040</v>
      </c>
      <c r="Y1096" s="30">
        <f t="shared" si="34"/>
        <v>59781040</v>
      </c>
      <c r="Z1096" s="41">
        <f t="shared" si="35"/>
        <v>0</v>
      </c>
    </row>
    <row r="1097" spans="1:26" ht="26.25">
      <c r="A1097" s="2">
        <v>1095</v>
      </c>
      <c r="B1097" s="2">
        <v>1977808</v>
      </c>
      <c r="C1097" s="2">
        <v>52604006700042</v>
      </c>
      <c r="D1097" s="2" t="s">
        <v>45</v>
      </c>
      <c r="E1097" s="2">
        <v>8095633</v>
      </c>
      <c r="F1097" s="2">
        <v>942180663</v>
      </c>
      <c r="G1097" s="3">
        <v>36642</v>
      </c>
      <c r="H1097" s="2" t="s">
        <v>1957</v>
      </c>
      <c r="I1097" s="2" t="s">
        <v>2439</v>
      </c>
      <c r="J1097" s="2" t="s">
        <v>2440</v>
      </c>
      <c r="K1097" s="2" t="s">
        <v>39</v>
      </c>
      <c r="L1097" s="2" t="s">
        <v>57</v>
      </c>
      <c r="M1097" s="2">
        <v>5310701</v>
      </c>
      <c r="N1097" s="2" t="s">
        <v>118</v>
      </c>
      <c r="O1097" s="2" t="s">
        <v>455</v>
      </c>
      <c r="P1097" s="2" t="s">
        <v>207</v>
      </c>
      <c r="Q1097" s="2" t="s">
        <v>124</v>
      </c>
      <c r="R1097" s="2" t="s">
        <v>62</v>
      </c>
      <c r="S1097" s="2">
        <v>8</v>
      </c>
      <c r="T1097" s="2" t="s">
        <v>33</v>
      </c>
      <c r="U1097" s="2" t="s">
        <v>34</v>
      </c>
      <c r="V1097" s="32">
        <v>119562080</v>
      </c>
      <c r="Y1097" s="30">
        <f t="shared" si="34"/>
        <v>119562080</v>
      </c>
      <c r="Z1097" s="41">
        <f t="shared" si="35"/>
        <v>0</v>
      </c>
    </row>
    <row r="1098" spans="1:26" ht="26.25">
      <c r="A1098" s="2">
        <v>1096</v>
      </c>
      <c r="B1098" s="2">
        <v>1625840</v>
      </c>
      <c r="C1098" s="2">
        <v>52510008660029</v>
      </c>
      <c r="D1098" s="2" t="s">
        <v>45</v>
      </c>
      <c r="E1098" s="2">
        <v>5467861</v>
      </c>
      <c r="F1098" s="2">
        <v>998932518</v>
      </c>
      <c r="G1098" s="3">
        <v>36824</v>
      </c>
      <c r="H1098" s="2" t="s">
        <v>2441</v>
      </c>
      <c r="I1098" s="2" t="s">
        <v>2442</v>
      </c>
      <c r="J1098" s="2" t="s">
        <v>2443</v>
      </c>
      <c r="K1098" s="2" t="s">
        <v>39</v>
      </c>
      <c r="L1098" s="2" t="s">
        <v>57</v>
      </c>
      <c r="M1098" s="2">
        <v>5350701</v>
      </c>
      <c r="N1098" s="2" t="s">
        <v>338</v>
      </c>
      <c r="O1098" s="2" t="s">
        <v>225</v>
      </c>
      <c r="P1098" s="2" t="s">
        <v>104</v>
      </c>
      <c r="Q1098" s="5">
        <v>44317</v>
      </c>
      <c r="R1098" s="2" t="s">
        <v>44</v>
      </c>
      <c r="S1098" s="2">
        <v>8</v>
      </c>
      <c r="T1098" s="2" t="s">
        <v>33</v>
      </c>
      <c r="U1098" s="2" t="s">
        <v>34</v>
      </c>
      <c r="V1098" s="32" t="s">
        <v>2724</v>
      </c>
      <c r="W1098" s="21">
        <v>15040000</v>
      </c>
      <c r="X1098" s="10" t="s">
        <v>2658</v>
      </c>
      <c r="Y1098" s="30">
        <f t="shared" si="34"/>
        <v>-2710160.5</v>
      </c>
      <c r="Z1098" s="41">
        <f t="shared" si="35"/>
        <v>1.2198050104382949</v>
      </c>
    </row>
    <row r="1099" spans="1:26">
      <c r="A1099" s="2">
        <v>1097</v>
      </c>
      <c r="B1099" s="2">
        <v>3007147</v>
      </c>
      <c r="C1099" s="2">
        <v>33007975730057</v>
      </c>
      <c r="D1099" s="2" t="s">
        <v>145</v>
      </c>
      <c r="E1099" s="2">
        <v>4473646</v>
      </c>
      <c r="F1099" s="2" t="s">
        <v>2008</v>
      </c>
      <c r="G1099" s="3">
        <v>35641</v>
      </c>
      <c r="H1099" s="2" t="s">
        <v>119</v>
      </c>
      <c r="I1099" s="2" t="s">
        <v>84</v>
      </c>
      <c r="J1099" s="2" t="s">
        <v>2444</v>
      </c>
      <c r="K1099" s="2" t="s">
        <v>39</v>
      </c>
      <c r="L1099" s="2" t="s">
        <v>27</v>
      </c>
      <c r="M1099" s="2">
        <v>5314000</v>
      </c>
      <c r="N1099" s="2" t="s">
        <v>522</v>
      </c>
      <c r="O1099" s="2" t="s">
        <v>122</v>
      </c>
      <c r="P1099" s="2" t="s">
        <v>523</v>
      </c>
      <c r="Q1099" s="2" t="s">
        <v>2445</v>
      </c>
      <c r="R1099" s="2" t="s">
        <v>62</v>
      </c>
      <c r="S1099" s="2">
        <v>8</v>
      </c>
      <c r="T1099" s="2" t="s">
        <v>33</v>
      </c>
      <c r="U1099" s="2" t="s">
        <v>34</v>
      </c>
      <c r="V1099" s="32">
        <v>59781040</v>
      </c>
      <c r="Y1099" s="30">
        <f t="shared" si="34"/>
        <v>59781040</v>
      </c>
      <c r="Z1099" s="41">
        <f t="shared" si="35"/>
        <v>0</v>
      </c>
    </row>
    <row r="1100" spans="1:26" ht="15.75">
      <c r="A1100" s="2">
        <v>1098</v>
      </c>
      <c r="B1100" s="2">
        <v>1140194</v>
      </c>
      <c r="C1100" s="2">
        <v>30706996560065</v>
      </c>
      <c r="D1100" s="2" t="s">
        <v>22</v>
      </c>
      <c r="E1100" s="2">
        <v>994901</v>
      </c>
      <c r="F1100" s="2" t="s">
        <v>2008</v>
      </c>
      <c r="G1100" s="3">
        <v>36318</v>
      </c>
      <c r="H1100" s="2" t="s">
        <v>595</v>
      </c>
      <c r="I1100" s="2" t="s">
        <v>2446</v>
      </c>
      <c r="J1100" s="2" t="s">
        <v>2447</v>
      </c>
      <c r="K1100" s="2" t="s">
        <v>39</v>
      </c>
      <c r="L1100" s="2" t="s">
        <v>57</v>
      </c>
      <c r="M1100" s="2">
        <v>5310202</v>
      </c>
      <c r="N1100" s="2" t="s">
        <v>86</v>
      </c>
      <c r="O1100" s="2" t="s">
        <v>225</v>
      </c>
      <c r="P1100" s="2" t="s">
        <v>154</v>
      </c>
      <c r="Q1100" s="5">
        <v>44471</v>
      </c>
      <c r="R1100" s="2" t="s">
        <v>62</v>
      </c>
      <c r="S1100" s="2">
        <v>8</v>
      </c>
      <c r="T1100" s="2" t="s">
        <v>33</v>
      </c>
      <c r="U1100" s="2" t="s">
        <v>34</v>
      </c>
      <c r="V1100" s="32">
        <v>18681575</v>
      </c>
      <c r="W1100" s="21">
        <v>18682000</v>
      </c>
      <c r="X1100" s="10" t="s">
        <v>2657</v>
      </c>
      <c r="Y1100" s="30">
        <f t="shared" si="34"/>
        <v>-425</v>
      </c>
      <c r="Z1100" s="41">
        <f t="shared" si="35"/>
        <v>1.0000227496878609</v>
      </c>
    </row>
    <row r="1101" spans="1:26">
      <c r="A1101" s="2">
        <v>1099</v>
      </c>
      <c r="B1101" s="2">
        <v>3082219</v>
      </c>
      <c r="C1101" s="2">
        <v>30110922870029</v>
      </c>
      <c r="D1101" s="2" t="s">
        <v>145</v>
      </c>
      <c r="E1101" s="2">
        <v>5975430</v>
      </c>
      <c r="F1101" s="2">
        <v>943519297</v>
      </c>
      <c r="G1101" s="3">
        <v>33878</v>
      </c>
      <c r="H1101" s="2" t="s">
        <v>1244</v>
      </c>
      <c r="I1101" s="2" t="s">
        <v>1037</v>
      </c>
      <c r="J1101" s="2" t="s">
        <v>2448</v>
      </c>
      <c r="K1101" s="2" t="s">
        <v>39</v>
      </c>
      <c r="L1101" s="2" t="s">
        <v>27</v>
      </c>
      <c r="M1101" s="2">
        <v>5340603</v>
      </c>
      <c r="N1101" s="2" t="s">
        <v>174</v>
      </c>
      <c r="O1101" s="2" t="s">
        <v>154</v>
      </c>
      <c r="P1101" s="2" t="s">
        <v>175</v>
      </c>
      <c r="Q1101" s="4">
        <v>11110</v>
      </c>
      <c r="R1101" s="2" t="s">
        <v>44</v>
      </c>
      <c r="S1101" s="2">
        <v>8</v>
      </c>
      <c r="T1101" s="2" t="s">
        <v>33</v>
      </c>
      <c r="U1101" s="2" t="s">
        <v>34</v>
      </c>
      <c r="V1101" s="32" t="s">
        <v>2722</v>
      </c>
      <c r="W1101" s="20">
        <v>29600400</v>
      </c>
      <c r="X1101" s="2" t="s">
        <v>2678</v>
      </c>
      <c r="Y1101" s="30">
        <f t="shared" si="34"/>
        <v>29582829.600000001</v>
      </c>
      <c r="Z1101" s="41">
        <f t="shared" si="35"/>
        <v>0.5001484406994916</v>
      </c>
    </row>
    <row r="1102" spans="1:26">
      <c r="A1102" s="2">
        <v>1100</v>
      </c>
      <c r="B1102" s="2">
        <v>1815375</v>
      </c>
      <c r="C1102" s="2">
        <v>52811007210030</v>
      </c>
      <c r="D1102" s="2" t="s">
        <v>45</v>
      </c>
      <c r="E1102" s="2">
        <v>6064895</v>
      </c>
      <c r="F1102" s="2" t="s">
        <v>2008</v>
      </c>
      <c r="G1102" s="3">
        <v>36858</v>
      </c>
      <c r="H1102" s="2" t="s">
        <v>2449</v>
      </c>
      <c r="I1102" s="2" t="s">
        <v>2450</v>
      </c>
      <c r="J1102" s="2" t="s">
        <v>2451</v>
      </c>
      <c r="K1102" s="2" t="s">
        <v>39</v>
      </c>
      <c r="L1102" s="2" t="s">
        <v>27</v>
      </c>
      <c r="M1102" s="2">
        <v>5620400</v>
      </c>
      <c r="N1102" s="2" t="s">
        <v>103</v>
      </c>
      <c r="O1102" s="2" t="s">
        <v>154</v>
      </c>
      <c r="P1102" s="2" t="s">
        <v>123</v>
      </c>
      <c r="Q1102" s="5">
        <v>44492</v>
      </c>
      <c r="R1102" s="2" t="s">
        <v>62</v>
      </c>
      <c r="S1102" s="2">
        <v>8</v>
      </c>
      <c r="T1102" s="2" t="s">
        <v>33</v>
      </c>
      <c r="U1102" s="2" t="s">
        <v>34</v>
      </c>
      <c r="V1102" s="32">
        <v>59781040</v>
      </c>
      <c r="Y1102" s="30">
        <f t="shared" si="34"/>
        <v>59781040</v>
      </c>
      <c r="Z1102" s="41">
        <f t="shared" si="35"/>
        <v>0</v>
      </c>
    </row>
    <row r="1103" spans="1:26" ht="26.25">
      <c r="A1103" s="2">
        <v>1101</v>
      </c>
      <c r="B1103" s="2">
        <v>1096323</v>
      </c>
      <c r="C1103" s="2">
        <v>51611016290028</v>
      </c>
      <c r="D1103" s="2" t="s">
        <v>22</v>
      </c>
      <c r="E1103" s="2">
        <v>1557932</v>
      </c>
      <c r="F1103" s="2" t="s">
        <v>2008</v>
      </c>
      <c r="G1103" s="3">
        <v>37211</v>
      </c>
      <c r="H1103" s="2" t="s">
        <v>622</v>
      </c>
      <c r="I1103" s="2" t="s">
        <v>2452</v>
      </c>
      <c r="J1103" s="2" t="s">
        <v>383</v>
      </c>
      <c r="K1103" s="2" t="s">
        <v>39</v>
      </c>
      <c r="L1103" s="2" t="s">
        <v>27</v>
      </c>
      <c r="M1103" s="2">
        <v>5350701</v>
      </c>
      <c r="N1103" s="2" t="s">
        <v>338</v>
      </c>
      <c r="O1103" s="2" t="s">
        <v>41</v>
      </c>
      <c r="P1103" s="2" t="s">
        <v>73</v>
      </c>
      <c r="Q1103" s="2" t="s">
        <v>591</v>
      </c>
      <c r="R1103" s="2" t="s">
        <v>44</v>
      </c>
      <c r="S1103" s="2">
        <v>8</v>
      </c>
      <c r="T1103" s="2" t="s">
        <v>33</v>
      </c>
      <c r="U1103" s="2" t="s">
        <v>34</v>
      </c>
      <c r="V1103" s="32">
        <v>65759144</v>
      </c>
      <c r="Y1103" s="30">
        <f t="shared" si="34"/>
        <v>65759144</v>
      </c>
      <c r="Z1103" s="41">
        <f t="shared" si="35"/>
        <v>0</v>
      </c>
    </row>
    <row r="1104" spans="1:26" ht="15.75">
      <c r="A1104" s="2">
        <v>1102</v>
      </c>
      <c r="B1104" s="2">
        <v>2081766</v>
      </c>
      <c r="C1104" s="2">
        <v>51906015280043</v>
      </c>
      <c r="D1104" s="2" t="s">
        <v>45</v>
      </c>
      <c r="E1104" s="2">
        <v>7157328</v>
      </c>
      <c r="F1104" s="2" t="s">
        <v>2008</v>
      </c>
      <c r="G1104" s="3">
        <v>37061</v>
      </c>
      <c r="H1104" s="2" t="s">
        <v>2453</v>
      </c>
      <c r="I1104" s="2" t="s">
        <v>2454</v>
      </c>
      <c r="J1104" s="2" t="s">
        <v>117</v>
      </c>
      <c r="K1104" s="2" t="s">
        <v>39</v>
      </c>
      <c r="L1104" s="2" t="s">
        <v>27</v>
      </c>
      <c r="M1104" s="2">
        <v>5340603</v>
      </c>
      <c r="N1104" s="2" t="s">
        <v>174</v>
      </c>
      <c r="O1104" s="2" t="s">
        <v>194</v>
      </c>
      <c r="P1104" s="2" t="s">
        <v>175</v>
      </c>
      <c r="Q1104" s="5">
        <v>44317</v>
      </c>
      <c r="R1104" s="2" t="s">
        <v>44</v>
      </c>
      <c r="S1104" s="2">
        <v>8</v>
      </c>
      <c r="T1104" s="2" t="s">
        <v>33</v>
      </c>
      <c r="U1104" s="2" t="s">
        <v>34</v>
      </c>
      <c r="V1104" s="32" t="s">
        <v>2724</v>
      </c>
      <c r="W1104" s="21">
        <v>8220000</v>
      </c>
      <c r="X1104" s="10" t="s">
        <v>2661</v>
      </c>
      <c r="Y1104" s="30">
        <f t="shared" si="34"/>
        <v>4109839.5</v>
      </c>
      <c r="Z1104" s="41">
        <f t="shared" si="35"/>
        <v>0.666675344800717</v>
      </c>
    </row>
    <row r="1105" spans="1:27" ht="26.25">
      <c r="A1105" s="2">
        <v>1103</v>
      </c>
      <c r="B1105" s="2">
        <v>3452353</v>
      </c>
      <c r="C1105" s="2">
        <v>52003035480013</v>
      </c>
      <c r="D1105" s="2" t="s">
        <v>22</v>
      </c>
      <c r="E1105" s="2">
        <v>1867195</v>
      </c>
      <c r="F1105" s="2">
        <v>942419666</v>
      </c>
      <c r="G1105" s="3">
        <v>37700</v>
      </c>
      <c r="H1105" s="2" t="s">
        <v>242</v>
      </c>
      <c r="I1105" s="2" t="s">
        <v>2455</v>
      </c>
      <c r="J1105" s="2" t="s">
        <v>1767</v>
      </c>
      <c r="K1105" s="2" t="s">
        <v>39</v>
      </c>
      <c r="L1105" s="2" t="s">
        <v>27</v>
      </c>
      <c r="M1105" s="2">
        <v>5350701</v>
      </c>
      <c r="N1105" s="2" t="s">
        <v>338</v>
      </c>
      <c r="O1105" s="2" t="s">
        <v>42</v>
      </c>
      <c r="P1105" s="2" t="s">
        <v>73</v>
      </c>
      <c r="Q1105" s="5">
        <v>44317</v>
      </c>
      <c r="R1105" s="2" t="s">
        <v>44</v>
      </c>
      <c r="S1105" s="2">
        <v>8</v>
      </c>
      <c r="T1105" s="2" t="s">
        <v>33</v>
      </c>
      <c r="U1105" s="2" t="s">
        <v>34</v>
      </c>
      <c r="V1105" s="32" t="s">
        <v>2724</v>
      </c>
      <c r="Y1105" s="30">
        <f t="shared" si="34"/>
        <v>12329839.5</v>
      </c>
      <c r="Z1105" s="41">
        <f t="shared" si="35"/>
        <v>0</v>
      </c>
    </row>
    <row r="1106" spans="1:27" ht="39">
      <c r="A1106" s="2">
        <v>1104</v>
      </c>
      <c r="B1106" s="2">
        <v>3558926</v>
      </c>
      <c r="C1106" s="2">
        <v>50811035340017</v>
      </c>
      <c r="D1106" s="2" t="s">
        <v>22</v>
      </c>
      <c r="E1106" s="2">
        <v>2284588</v>
      </c>
      <c r="F1106" s="2">
        <v>999502231</v>
      </c>
      <c r="G1106" s="3">
        <v>37933</v>
      </c>
      <c r="H1106" s="2" t="s">
        <v>2456</v>
      </c>
      <c r="I1106" s="2" t="s">
        <v>372</v>
      </c>
      <c r="J1106" s="2" t="s">
        <v>117</v>
      </c>
      <c r="K1106" s="2" t="s">
        <v>39</v>
      </c>
      <c r="L1106" s="2" t="s">
        <v>27</v>
      </c>
      <c r="M1106" s="2">
        <v>5620400</v>
      </c>
      <c r="N1106" s="2" t="s">
        <v>103</v>
      </c>
      <c r="O1106" s="2" t="s">
        <v>67</v>
      </c>
      <c r="P1106" s="2" t="s">
        <v>123</v>
      </c>
      <c r="Q1106" s="2" t="s">
        <v>591</v>
      </c>
      <c r="R1106" s="2" t="s">
        <v>62</v>
      </c>
      <c r="S1106" s="2">
        <v>8</v>
      </c>
      <c r="T1106" s="2" t="s">
        <v>33</v>
      </c>
      <c r="U1106" s="2" t="s">
        <v>34</v>
      </c>
      <c r="V1106" s="32">
        <v>59781040</v>
      </c>
      <c r="W1106" s="20">
        <f>30000000+15000000+4500000</f>
        <v>49500000</v>
      </c>
      <c r="X1106" s="2" t="s">
        <v>2985</v>
      </c>
      <c r="Y1106" s="30">
        <f t="shared" si="34"/>
        <v>10281040</v>
      </c>
      <c r="Z1106" s="41">
        <f t="shared" si="35"/>
        <v>0.82802172729012413</v>
      </c>
    </row>
    <row r="1107" spans="1:27" ht="39">
      <c r="A1107" s="2">
        <v>1105</v>
      </c>
      <c r="B1107" s="2">
        <v>1571903</v>
      </c>
      <c r="C1107" s="2">
        <v>51709017100025</v>
      </c>
      <c r="D1107" s="2" t="s">
        <v>45</v>
      </c>
      <c r="E1107" s="2">
        <v>8923511</v>
      </c>
      <c r="F1107" s="2">
        <v>975114006</v>
      </c>
      <c r="G1107" s="3">
        <v>37151</v>
      </c>
      <c r="H1107" s="2" t="s">
        <v>183</v>
      </c>
      <c r="I1107" s="2" t="s">
        <v>2337</v>
      </c>
      <c r="J1107" s="2" t="s">
        <v>2457</v>
      </c>
      <c r="K1107" s="2" t="s">
        <v>39</v>
      </c>
      <c r="L1107" s="2" t="s">
        <v>57</v>
      </c>
      <c r="M1107" s="2">
        <v>5311003</v>
      </c>
      <c r="N1107" s="2" t="s">
        <v>144</v>
      </c>
      <c r="O1107" s="2" t="s">
        <v>455</v>
      </c>
      <c r="P1107" s="2" t="s">
        <v>155</v>
      </c>
      <c r="Q1107" s="2" t="s">
        <v>395</v>
      </c>
      <c r="R1107" s="2" t="s">
        <v>62</v>
      </c>
      <c r="S1107" s="2">
        <v>8</v>
      </c>
      <c r="T1107" s="2" t="s">
        <v>33</v>
      </c>
      <c r="U1107" s="2" t="s">
        <v>34</v>
      </c>
      <c r="V1107" s="32">
        <v>107605872</v>
      </c>
      <c r="W1107" s="21">
        <f>70000000+5000000+6700000</f>
        <v>81700000</v>
      </c>
      <c r="X1107" s="11" t="s">
        <v>2983</v>
      </c>
      <c r="Y1107" s="30">
        <f t="shared" si="34"/>
        <v>25905872</v>
      </c>
      <c r="Z1107" s="41">
        <f t="shared" si="35"/>
        <v>0.75925224601125851</v>
      </c>
    </row>
    <row r="1108" spans="1:27" ht="26.25">
      <c r="A1108" s="2">
        <v>1106</v>
      </c>
      <c r="B1108" s="2">
        <v>3575030</v>
      </c>
      <c r="C1108" s="2">
        <v>30603986860016</v>
      </c>
      <c r="D1108" s="2" t="s">
        <v>145</v>
      </c>
      <c r="E1108" s="2">
        <v>4585171</v>
      </c>
      <c r="F1108" s="2">
        <v>915861623</v>
      </c>
      <c r="G1108" s="3">
        <v>35860</v>
      </c>
      <c r="H1108" s="2" t="s">
        <v>2458</v>
      </c>
      <c r="I1108" s="2" t="s">
        <v>1267</v>
      </c>
      <c r="J1108" s="2" t="s">
        <v>2459</v>
      </c>
      <c r="K1108" s="2" t="s">
        <v>39</v>
      </c>
      <c r="L1108" s="2" t="s">
        <v>27</v>
      </c>
      <c r="M1108" s="2">
        <v>5310605</v>
      </c>
      <c r="N1108" s="2" t="s">
        <v>97</v>
      </c>
      <c r="O1108" s="2" t="s">
        <v>154</v>
      </c>
      <c r="P1108" s="2" t="s">
        <v>79</v>
      </c>
      <c r="Q1108" s="2" t="s">
        <v>81</v>
      </c>
      <c r="R1108" s="2" t="s">
        <v>62</v>
      </c>
      <c r="S1108" s="2">
        <v>8</v>
      </c>
      <c r="T1108" s="2" t="s">
        <v>33</v>
      </c>
      <c r="U1108" s="2" t="s">
        <v>34</v>
      </c>
      <c r="V1108" s="32">
        <v>53802936</v>
      </c>
      <c r="W1108" s="21">
        <v>53000000</v>
      </c>
      <c r="X1108" s="10" t="s">
        <v>2628</v>
      </c>
      <c r="Y1108" s="30">
        <f t="shared" si="34"/>
        <v>802936</v>
      </c>
      <c r="Z1108" s="41">
        <f t="shared" si="35"/>
        <v>0.98507635345401967</v>
      </c>
    </row>
    <row r="1109" spans="1:27" ht="15.75">
      <c r="A1109" s="2">
        <v>1107</v>
      </c>
      <c r="B1109" s="2">
        <v>1252272</v>
      </c>
      <c r="C1109" s="2">
        <v>32603962400027</v>
      </c>
      <c r="D1109" s="2" t="s">
        <v>45</v>
      </c>
      <c r="E1109" s="2">
        <v>457525</v>
      </c>
      <c r="F1109" s="2">
        <v>933126766</v>
      </c>
      <c r="G1109" s="3">
        <v>35150</v>
      </c>
      <c r="H1109" s="2" t="s">
        <v>2460</v>
      </c>
      <c r="I1109" s="2" t="s">
        <v>853</v>
      </c>
      <c r="J1109" s="2" t="s">
        <v>2461</v>
      </c>
      <c r="K1109" s="2" t="s">
        <v>39</v>
      </c>
      <c r="L1109" s="2" t="s">
        <v>57</v>
      </c>
      <c r="M1109" s="2">
        <v>5310606</v>
      </c>
      <c r="N1109" s="2" t="s">
        <v>72</v>
      </c>
      <c r="O1109" s="2" t="s">
        <v>41</v>
      </c>
      <c r="P1109" s="2" t="s">
        <v>225</v>
      </c>
      <c r="Q1109" s="5">
        <v>44317</v>
      </c>
      <c r="R1109" s="2" t="s">
        <v>62</v>
      </c>
      <c r="S1109" s="2">
        <v>8</v>
      </c>
      <c r="T1109" s="2" t="s">
        <v>33</v>
      </c>
      <c r="U1109" s="2" t="s">
        <v>34</v>
      </c>
      <c r="V1109" s="29" t="s">
        <v>2813</v>
      </c>
      <c r="W1109" s="21">
        <f>5604472.5+3400000+2250000</f>
        <v>11254472.5</v>
      </c>
      <c r="X1109" s="11" t="s">
        <v>2812</v>
      </c>
      <c r="Y1109" s="30">
        <f t="shared" si="34"/>
        <v>-1166422</v>
      </c>
      <c r="Z1109" s="41">
        <f t="shared" si="35"/>
        <v>1.1156241238086586</v>
      </c>
      <c r="AA1109" s="42" t="s">
        <v>2798</v>
      </c>
    </row>
    <row r="1110" spans="1:27" ht="26.25">
      <c r="A1110" s="2">
        <v>1108</v>
      </c>
      <c r="B1110" s="2">
        <v>2853225</v>
      </c>
      <c r="C1110" s="2">
        <v>50108016670024</v>
      </c>
      <c r="D1110" s="2" t="s">
        <v>45</v>
      </c>
      <c r="E1110" s="2">
        <v>7369797</v>
      </c>
      <c r="F1110" s="2">
        <v>998925543</v>
      </c>
      <c r="G1110" s="3">
        <v>37104</v>
      </c>
      <c r="H1110" s="2" t="s">
        <v>2462</v>
      </c>
      <c r="I1110" s="2" t="s">
        <v>2463</v>
      </c>
      <c r="J1110" s="2" t="s">
        <v>878</v>
      </c>
      <c r="K1110" s="2" t="s">
        <v>39</v>
      </c>
      <c r="L1110" s="2" t="s">
        <v>27</v>
      </c>
      <c r="M1110" s="2">
        <v>5340202</v>
      </c>
      <c r="N1110" s="2" t="s">
        <v>499</v>
      </c>
      <c r="O1110" s="2" t="s">
        <v>339</v>
      </c>
      <c r="P1110" s="2" t="s">
        <v>490</v>
      </c>
      <c r="Q1110" s="4">
        <v>42064</v>
      </c>
      <c r="R1110" s="2" t="s">
        <v>44</v>
      </c>
      <c r="S1110" s="2">
        <v>8</v>
      </c>
      <c r="T1110" s="2" t="s">
        <v>33</v>
      </c>
      <c r="U1110" s="2" t="s">
        <v>34</v>
      </c>
      <c r="V1110" s="32">
        <v>24659679</v>
      </c>
      <c r="W1110" s="21">
        <f>12660000+6000000</f>
        <v>18660000</v>
      </c>
      <c r="X1110" s="12" t="s">
        <v>2916</v>
      </c>
      <c r="Y1110" s="30">
        <f t="shared" si="34"/>
        <v>5999679</v>
      </c>
      <c r="Z1110" s="41">
        <f t="shared" si="35"/>
        <v>0.75670084756577727</v>
      </c>
    </row>
    <row r="1111" spans="1:27" ht="39">
      <c r="A1111" s="2">
        <v>1109</v>
      </c>
      <c r="B1111" s="2">
        <v>1931948</v>
      </c>
      <c r="C1111" s="2">
        <v>51904015450017</v>
      </c>
      <c r="D1111" s="2" t="s">
        <v>45</v>
      </c>
      <c r="E1111" s="2">
        <v>6724648</v>
      </c>
      <c r="F1111" s="2">
        <v>911942989</v>
      </c>
      <c r="G1111" s="3">
        <v>37000</v>
      </c>
      <c r="H1111" s="2" t="s">
        <v>731</v>
      </c>
      <c r="I1111" s="2" t="s">
        <v>2464</v>
      </c>
      <c r="J1111" s="2" t="s">
        <v>1333</v>
      </c>
      <c r="K1111" s="2" t="s">
        <v>26</v>
      </c>
      <c r="L1111" s="2" t="s">
        <v>27</v>
      </c>
      <c r="M1111" s="2">
        <v>5340401</v>
      </c>
      <c r="N1111" s="2" t="s">
        <v>349</v>
      </c>
      <c r="O1111" s="2" t="s">
        <v>41</v>
      </c>
      <c r="P1111" s="2" t="s">
        <v>629</v>
      </c>
      <c r="Q1111" s="2" t="s">
        <v>277</v>
      </c>
      <c r="R1111" s="2" t="s">
        <v>93</v>
      </c>
      <c r="S1111" s="2">
        <v>8</v>
      </c>
      <c r="T1111" s="2" t="s">
        <v>33</v>
      </c>
      <c r="U1111" s="2" t="s">
        <v>34</v>
      </c>
      <c r="V1111" s="32">
        <v>56735520</v>
      </c>
      <c r="W1111" s="22">
        <v>28368700</v>
      </c>
      <c r="X1111" s="18" t="s">
        <v>2688</v>
      </c>
      <c r="Y1111" s="30">
        <f t="shared" si="34"/>
        <v>28366820</v>
      </c>
      <c r="Z1111" s="41">
        <f t="shared" si="35"/>
        <v>0.50001656810407302</v>
      </c>
    </row>
    <row r="1112" spans="1:27" ht="26.25">
      <c r="A1112" s="2">
        <v>1110</v>
      </c>
      <c r="B1112" s="2">
        <v>3346280</v>
      </c>
      <c r="C1112" s="2">
        <v>31503986080069</v>
      </c>
      <c r="D1112" s="2" t="s">
        <v>45</v>
      </c>
      <c r="E1112" s="2">
        <v>2738180</v>
      </c>
      <c r="F1112" s="2">
        <v>991234398</v>
      </c>
      <c r="G1112" s="3">
        <v>35869</v>
      </c>
      <c r="H1112" s="2" t="s">
        <v>2465</v>
      </c>
      <c r="I1112" s="2" t="s">
        <v>678</v>
      </c>
      <c r="J1112" s="2" t="s">
        <v>2466</v>
      </c>
      <c r="K1112" s="2" t="s">
        <v>39</v>
      </c>
      <c r="L1112" s="2" t="s">
        <v>27</v>
      </c>
      <c r="M1112" s="2">
        <v>5310701</v>
      </c>
      <c r="N1112" s="2" t="s">
        <v>118</v>
      </c>
      <c r="O1112" s="2" t="s">
        <v>41</v>
      </c>
      <c r="P1112" s="2" t="s">
        <v>123</v>
      </c>
      <c r="Q1112" s="2" t="s">
        <v>133</v>
      </c>
      <c r="R1112" s="2" t="s">
        <v>62</v>
      </c>
      <c r="S1112" s="2">
        <v>8</v>
      </c>
      <c r="T1112" s="2" t="s">
        <v>33</v>
      </c>
      <c r="U1112" s="2" t="s">
        <v>34</v>
      </c>
      <c r="V1112" s="32">
        <v>59781040</v>
      </c>
      <c r="Y1112" s="30">
        <f t="shared" si="34"/>
        <v>59781040</v>
      </c>
      <c r="Z1112" s="41">
        <f t="shared" si="35"/>
        <v>0</v>
      </c>
    </row>
    <row r="1113" spans="1:27" ht="26.25">
      <c r="A1113" s="2">
        <v>1111</v>
      </c>
      <c r="B1113" s="2">
        <v>1342048</v>
      </c>
      <c r="C1113" s="2">
        <v>31108986560061</v>
      </c>
      <c r="D1113" s="2" t="s">
        <v>145</v>
      </c>
      <c r="E1113" s="2">
        <v>8188246</v>
      </c>
      <c r="F1113" s="2">
        <v>977653103</v>
      </c>
      <c r="G1113" s="3">
        <v>36018</v>
      </c>
      <c r="H1113" s="2" t="s">
        <v>1138</v>
      </c>
      <c r="I1113" s="2" t="s">
        <v>1091</v>
      </c>
      <c r="J1113" s="2" t="s">
        <v>2467</v>
      </c>
      <c r="K1113" s="2" t="s">
        <v>39</v>
      </c>
      <c r="L1113" s="2" t="s">
        <v>27</v>
      </c>
      <c r="M1113" s="2">
        <v>5340605</v>
      </c>
      <c r="N1113" s="2" t="s">
        <v>40</v>
      </c>
      <c r="O1113" s="2" t="s">
        <v>67</v>
      </c>
      <c r="P1113" s="2" t="s">
        <v>42</v>
      </c>
      <c r="Q1113" s="5">
        <v>44471</v>
      </c>
      <c r="R1113" s="2" t="s">
        <v>44</v>
      </c>
      <c r="S1113" s="2">
        <v>8</v>
      </c>
      <c r="T1113" s="2" t="s">
        <v>33</v>
      </c>
      <c r="U1113" s="2" t="s">
        <v>34</v>
      </c>
      <c r="V1113" s="32" t="s">
        <v>2726</v>
      </c>
      <c r="W1113" s="21">
        <v>20549732.5</v>
      </c>
      <c r="X1113" s="11" t="s">
        <v>2644</v>
      </c>
      <c r="Y1113" s="30">
        <f t="shared" si="34"/>
        <v>0</v>
      </c>
      <c r="Z1113" s="41">
        <f t="shared" si="35"/>
        <v>1</v>
      </c>
    </row>
    <row r="1114" spans="1:27" ht="26.25">
      <c r="A1114" s="2">
        <v>1112</v>
      </c>
      <c r="B1114" s="2">
        <v>3781707</v>
      </c>
      <c r="C1114" s="2">
        <v>30501956080045</v>
      </c>
      <c r="D1114" s="2" t="s">
        <v>145</v>
      </c>
      <c r="E1114" s="2">
        <v>3886687</v>
      </c>
      <c r="F1114" s="2">
        <v>994547095</v>
      </c>
      <c r="G1114" s="3">
        <v>34704</v>
      </c>
      <c r="H1114" s="2" t="s">
        <v>2468</v>
      </c>
      <c r="I1114" s="2" t="s">
        <v>1771</v>
      </c>
      <c r="J1114" s="2" t="s">
        <v>2469</v>
      </c>
      <c r="K1114" s="2" t="s">
        <v>39</v>
      </c>
      <c r="L1114" s="2" t="s">
        <v>27</v>
      </c>
      <c r="M1114" s="2">
        <v>5620701</v>
      </c>
      <c r="N1114" s="2" t="s">
        <v>218</v>
      </c>
      <c r="O1114" s="2" t="s">
        <v>104</v>
      </c>
      <c r="P1114" s="2" t="s">
        <v>219</v>
      </c>
      <c r="Q1114" s="2" t="s">
        <v>549</v>
      </c>
      <c r="R1114" s="2" t="s">
        <v>62</v>
      </c>
      <c r="S1114" s="2">
        <v>8</v>
      </c>
      <c r="T1114" s="2" t="s">
        <v>33</v>
      </c>
      <c r="U1114" s="2" t="s">
        <v>34</v>
      </c>
      <c r="V1114" s="32">
        <v>59781040</v>
      </c>
      <c r="W1114" s="22">
        <f>29900000+17000000</f>
        <v>46900000</v>
      </c>
      <c r="X1114" s="17" t="s">
        <v>2925</v>
      </c>
      <c r="Y1114" s="30">
        <f t="shared" si="34"/>
        <v>12881040</v>
      </c>
      <c r="Z1114" s="41">
        <f t="shared" si="35"/>
        <v>0.7845296769678145</v>
      </c>
    </row>
    <row r="1115" spans="1:27">
      <c r="A1115" s="2">
        <v>1113</v>
      </c>
      <c r="B1115" s="2">
        <v>1394188</v>
      </c>
      <c r="C1115" s="2">
        <v>31704953960014</v>
      </c>
      <c r="D1115" s="2" t="s">
        <v>145</v>
      </c>
      <c r="E1115" s="2">
        <v>4863682</v>
      </c>
      <c r="F1115" s="2">
        <v>930048123</v>
      </c>
      <c r="G1115" s="3">
        <v>34806</v>
      </c>
      <c r="H1115" s="2" t="s">
        <v>2470</v>
      </c>
      <c r="I1115" s="2" t="s">
        <v>2471</v>
      </c>
      <c r="J1115" s="2" t="s">
        <v>2472</v>
      </c>
      <c r="K1115" s="2" t="s">
        <v>39</v>
      </c>
      <c r="L1115" s="2" t="s">
        <v>27</v>
      </c>
      <c r="M1115" s="2">
        <v>5340601</v>
      </c>
      <c r="N1115" s="2" t="s">
        <v>110</v>
      </c>
      <c r="O1115" s="2" t="s">
        <v>42</v>
      </c>
      <c r="P1115" s="2">
        <v>84</v>
      </c>
      <c r="Q1115" s="4">
        <v>45778</v>
      </c>
      <c r="R1115" s="2" t="s">
        <v>44</v>
      </c>
      <c r="S1115" s="2">
        <v>8</v>
      </c>
      <c r="T1115" s="2" t="s">
        <v>33</v>
      </c>
      <c r="U1115" s="2" t="s">
        <v>34</v>
      </c>
      <c r="V1115" s="32">
        <v>65759144</v>
      </c>
      <c r="Y1115" s="30">
        <f t="shared" si="34"/>
        <v>65759144</v>
      </c>
      <c r="Z1115" s="41">
        <f t="shared" si="35"/>
        <v>0</v>
      </c>
    </row>
    <row r="1116" spans="1:27">
      <c r="A1116" s="2">
        <v>1114</v>
      </c>
      <c r="B1116" s="2">
        <v>3186835</v>
      </c>
      <c r="C1116" s="2">
        <v>31409976570012</v>
      </c>
      <c r="D1116" s="2" t="s">
        <v>145</v>
      </c>
      <c r="E1116" s="2">
        <v>2961351</v>
      </c>
      <c r="F1116" s="2">
        <v>999899444</v>
      </c>
      <c r="G1116" s="3">
        <v>35687</v>
      </c>
      <c r="H1116" s="2" t="s">
        <v>2473</v>
      </c>
      <c r="I1116" s="2" t="s">
        <v>423</v>
      </c>
      <c r="J1116" s="2" t="s">
        <v>849</v>
      </c>
      <c r="K1116" s="2" t="s">
        <v>39</v>
      </c>
      <c r="L1116" s="2" t="s">
        <v>57</v>
      </c>
      <c r="M1116" s="2">
        <v>5620400</v>
      </c>
      <c r="N1116" s="2" t="s">
        <v>103</v>
      </c>
      <c r="O1116" s="2" t="s">
        <v>99</v>
      </c>
      <c r="P1116" s="2" t="s">
        <v>139</v>
      </c>
      <c r="Q1116" s="5">
        <v>44492</v>
      </c>
      <c r="R1116" s="2" t="s">
        <v>62</v>
      </c>
      <c r="S1116" s="2">
        <v>8</v>
      </c>
      <c r="T1116" s="2" t="s">
        <v>33</v>
      </c>
      <c r="U1116" s="2" t="s">
        <v>34</v>
      </c>
      <c r="V1116" s="32">
        <v>119562080</v>
      </c>
      <c r="Y1116" s="30">
        <f t="shared" si="34"/>
        <v>119562080</v>
      </c>
      <c r="Z1116" s="41">
        <f t="shared" si="35"/>
        <v>0</v>
      </c>
    </row>
    <row r="1117" spans="1:27" ht="26.25">
      <c r="A1117" s="2">
        <v>1115</v>
      </c>
      <c r="B1117" s="2">
        <v>2867047</v>
      </c>
      <c r="C1117" s="2">
        <v>30207997420036</v>
      </c>
      <c r="D1117" s="2" t="s">
        <v>45</v>
      </c>
      <c r="E1117" s="2">
        <v>435662</v>
      </c>
      <c r="F1117" s="2">
        <v>975779891</v>
      </c>
      <c r="G1117" s="3">
        <v>36343</v>
      </c>
      <c r="H1117" s="2" t="s">
        <v>1090</v>
      </c>
      <c r="I1117" s="2" t="s">
        <v>2474</v>
      </c>
      <c r="J1117" s="2" t="s">
        <v>2475</v>
      </c>
      <c r="K1117" s="2" t="s">
        <v>39</v>
      </c>
      <c r="L1117" s="2" t="s">
        <v>27</v>
      </c>
      <c r="M1117" s="2">
        <v>5640202</v>
      </c>
      <c r="N1117" s="2" t="s">
        <v>240</v>
      </c>
      <c r="O1117" s="2" t="s">
        <v>263</v>
      </c>
      <c r="P1117" s="2" t="s">
        <v>241</v>
      </c>
      <c r="Q1117" s="2" t="s">
        <v>288</v>
      </c>
      <c r="R1117" s="2" t="s">
        <v>62</v>
      </c>
      <c r="S1117" s="2">
        <v>8</v>
      </c>
      <c r="T1117" s="2" t="s">
        <v>33</v>
      </c>
      <c r="U1117" s="2" t="s">
        <v>34</v>
      </c>
      <c r="V1117" s="32">
        <v>119562080</v>
      </c>
      <c r="Y1117" s="30">
        <f t="shared" si="34"/>
        <v>119562080</v>
      </c>
      <c r="Z1117" s="41">
        <f t="shared" si="35"/>
        <v>0</v>
      </c>
    </row>
    <row r="1118" spans="1:27" ht="39">
      <c r="A1118" s="2">
        <v>1116</v>
      </c>
      <c r="B1118" s="2">
        <v>1202546</v>
      </c>
      <c r="C1118" s="2">
        <v>51305015680017</v>
      </c>
      <c r="D1118" s="2" t="s">
        <v>45</v>
      </c>
      <c r="E1118" s="2">
        <v>6908010</v>
      </c>
      <c r="F1118" s="2" t="s">
        <v>2008</v>
      </c>
      <c r="G1118" s="3">
        <v>37024</v>
      </c>
      <c r="H1118" s="2" t="s">
        <v>2476</v>
      </c>
      <c r="I1118" s="2" t="s">
        <v>626</v>
      </c>
      <c r="J1118" s="2" t="s">
        <v>102</v>
      </c>
      <c r="K1118" s="2" t="s">
        <v>39</v>
      </c>
      <c r="L1118" s="2" t="s">
        <v>27</v>
      </c>
      <c r="M1118" s="2">
        <v>5320200</v>
      </c>
      <c r="N1118" s="2" t="s">
        <v>66</v>
      </c>
      <c r="O1118" s="2" t="s">
        <v>384</v>
      </c>
      <c r="P1118" s="2" t="s">
        <v>68</v>
      </c>
      <c r="Q1118" s="2" t="s">
        <v>340</v>
      </c>
      <c r="R1118" s="2" t="s">
        <v>62</v>
      </c>
      <c r="S1118" s="2">
        <v>8</v>
      </c>
      <c r="T1118" s="2" t="s">
        <v>33</v>
      </c>
      <c r="U1118" s="2" t="s">
        <v>34</v>
      </c>
      <c r="V1118" s="32">
        <v>119562080</v>
      </c>
      <c r="Y1118" s="30">
        <f t="shared" si="34"/>
        <v>119562080</v>
      </c>
      <c r="Z1118" s="41">
        <f t="shared" si="35"/>
        <v>0</v>
      </c>
    </row>
    <row r="1119" spans="1:27" ht="26.25">
      <c r="A1119" s="2">
        <v>1117</v>
      </c>
      <c r="B1119" s="2">
        <v>1204975</v>
      </c>
      <c r="C1119" s="2">
        <v>30208975830023</v>
      </c>
      <c r="D1119" s="2" t="s">
        <v>145</v>
      </c>
      <c r="E1119" s="2">
        <v>4293572</v>
      </c>
      <c r="F1119" s="2">
        <v>934334780</v>
      </c>
      <c r="G1119" s="3">
        <v>35644</v>
      </c>
      <c r="H1119" s="2" t="s">
        <v>2477</v>
      </c>
      <c r="I1119" s="2" t="s">
        <v>318</v>
      </c>
      <c r="J1119" s="2" t="s">
        <v>2308</v>
      </c>
      <c r="K1119" s="2" t="s">
        <v>39</v>
      </c>
      <c r="L1119" s="2" t="s">
        <v>27</v>
      </c>
      <c r="M1119" s="2">
        <v>5310601</v>
      </c>
      <c r="N1119" s="2" t="s">
        <v>153</v>
      </c>
      <c r="O1119" s="2" t="s">
        <v>99</v>
      </c>
      <c r="P1119" s="2" t="s">
        <v>79</v>
      </c>
      <c r="Q1119" s="2" t="s">
        <v>310</v>
      </c>
      <c r="R1119" s="2" t="s">
        <v>62</v>
      </c>
      <c r="S1119" s="2">
        <v>8</v>
      </c>
      <c r="T1119" s="2" t="s">
        <v>33</v>
      </c>
      <c r="U1119" s="2" t="s">
        <v>34</v>
      </c>
      <c r="V1119" s="32">
        <v>119562080</v>
      </c>
      <c r="Y1119" s="30">
        <f t="shared" si="34"/>
        <v>119562080</v>
      </c>
      <c r="Z1119" s="41">
        <f t="shared" si="35"/>
        <v>0</v>
      </c>
    </row>
    <row r="1120" spans="1:27">
      <c r="A1120" s="2">
        <v>1118</v>
      </c>
      <c r="B1120" s="2">
        <v>3557338</v>
      </c>
      <c r="C1120" s="2">
        <v>53008046880015</v>
      </c>
      <c r="D1120" s="2" t="s">
        <v>74</v>
      </c>
      <c r="E1120" s="2">
        <v>113704</v>
      </c>
      <c r="F1120" s="2" t="s">
        <v>2008</v>
      </c>
      <c r="G1120" s="3">
        <v>38229</v>
      </c>
      <c r="H1120" s="2" t="s">
        <v>2147</v>
      </c>
      <c r="I1120" s="2" t="s">
        <v>2478</v>
      </c>
      <c r="J1120" s="2" t="s">
        <v>2479</v>
      </c>
      <c r="K1120" s="2" t="s">
        <v>26</v>
      </c>
      <c r="L1120" s="2" t="s">
        <v>27</v>
      </c>
      <c r="M1120" s="2">
        <v>5240109</v>
      </c>
      <c r="N1120" s="2" t="s">
        <v>28</v>
      </c>
      <c r="O1120" s="2" t="s">
        <v>629</v>
      </c>
      <c r="P1120" s="2" t="s">
        <v>30</v>
      </c>
      <c r="Q1120" s="2" t="s">
        <v>629</v>
      </c>
      <c r="R1120" s="2" t="s">
        <v>32</v>
      </c>
      <c r="S1120" s="2">
        <v>25</v>
      </c>
      <c r="T1120" s="2" t="s">
        <v>33</v>
      </c>
      <c r="U1120" s="2" t="s">
        <v>34</v>
      </c>
      <c r="V1120" s="32">
        <v>245231500</v>
      </c>
      <c r="Y1120" s="30">
        <f t="shared" si="34"/>
        <v>245231500</v>
      </c>
      <c r="Z1120" s="41">
        <f t="shared" si="35"/>
        <v>0</v>
      </c>
    </row>
    <row r="1121" spans="1:27">
      <c r="A1121" s="2">
        <v>1119</v>
      </c>
      <c r="B1121" s="2">
        <v>3287879</v>
      </c>
      <c r="C1121" s="2">
        <v>52807036720031</v>
      </c>
      <c r="D1121" s="2" t="s">
        <v>22</v>
      </c>
      <c r="E1121" s="2">
        <v>2110702</v>
      </c>
      <c r="F1121" s="2">
        <v>900272367</v>
      </c>
      <c r="G1121" s="3">
        <v>37830</v>
      </c>
      <c r="H1121" s="2" t="s">
        <v>89</v>
      </c>
      <c r="I1121" s="2" t="s">
        <v>2480</v>
      </c>
      <c r="J1121" s="2" t="s">
        <v>1546</v>
      </c>
      <c r="K1121" s="2" t="s">
        <v>26</v>
      </c>
      <c r="L1121" s="2" t="s">
        <v>27</v>
      </c>
      <c r="M1121" s="2">
        <v>5240109</v>
      </c>
      <c r="N1121" s="2" t="s">
        <v>28</v>
      </c>
      <c r="O1121" s="2" t="s">
        <v>87</v>
      </c>
      <c r="P1121" s="2" t="s">
        <v>30</v>
      </c>
      <c r="Q1121" s="2" t="s">
        <v>2481</v>
      </c>
      <c r="R1121" s="2" t="s">
        <v>32</v>
      </c>
      <c r="S1121" s="2">
        <v>25</v>
      </c>
      <c r="T1121" s="2" t="s">
        <v>33</v>
      </c>
      <c r="U1121" s="2" t="s">
        <v>34</v>
      </c>
      <c r="V1121" s="32">
        <v>245231500</v>
      </c>
      <c r="Y1121" s="30">
        <f t="shared" si="34"/>
        <v>245231500</v>
      </c>
      <c r="Z1121" s="41">
        <f t="shared" si="35"/>
        <v>0</v>
      </c>
    </row>
    <row r="1122" spans="1:27" ht="26.25">
      <c r="A1122" s="2">
        <v>1120</v>
      </c>
      <c r="B1122" s="2">
        <v>1286417</v>
      </c>
      <c r="C1122" s="2">
        <v>30309976520082</v>
      </c>
      <c r="D1122" s="2" t="s">
        <v>145</v>
      </c>
      <c r="E1122" s="2">
        <v>3356018</v>
      </c>
      <c r="F1122" s="2">
        <v>998115678</v>
      </c>
      <c r="G1122" s="3">
        <v>35676</v>
      </c>
      <c r="H1122" s="2" t="s">
        <v>1606</v>
      </c>
      <c r="I1122" s="2" t="s">
        <v>2482</v>
      </c>
      <c r="J1122" s="2" t="s">
        <v>780</v>
      </c>
      <c r="K1122" s="2" t="s">
        <v>26</v>
      </c>
      <c r="L1122" s="2" t="s">
        <v>27</v>
      </c>
      <c r="M1122" s="2">
        <v>5230215</v>
      </c>
      <c r="N1122" s="2" t="s">
        <v>1708</v>
      </c>
      <c r="O1122" s="2" t="s">
        <v>122</v>
      </c>
      <c r="P1122" s="2" t="s">
        <v>29</v>
      </c>
      <c r="Q1122" s="2" t="s">
        <v>99</v>
      </c>
      <c r="R1122" s="2" t="s">
        <v>134</v>
      </c>
      <c r="S1122" s="2">
        <v>10</v>
      </c>
      <c r="T1122" s="2" t="s">
        <v>33</v>
      </c>
      <c r="U1122" s="2" t="s">
        <v>34</v>
      </c>
      <c r="V1122" s="32">
        <v>91299300</v>
      </c>
      <c r="Y1122" s="30">
        <f t="shared" si="34"/>
        <v>91299300</v>
      </c>
      <c r="Z1122" s="41">
        <f t="shared" si="35"/>
        <v>0</v>
      </c>
    </row>
    <row r="1123" spans="1:27" ht="26.25">
      <c r="A1123" s="2">
        <v>1121</v>
      </c>
      <c r="B1123" s="2">
        <v>1178116</v>
      </c>
      <c r="C1123" s="2">
        <v>52705005540018</v>
      </c>
      <c r="D1123" s="2" t="s">
        <v>45</v>
      </c>
      <c r="E1123" s="2">
        <v>5123800</v>
      </c>
      <c r="F1123" s="2" t="s">
        <v>2008</v>
      </c>
      <c r="G1123" s="3">
        <v>36673</v>
      </c>
      <c r="H1123" s="2" t="s">
        <v>2234</v>
      </c>
      <c r="I1123" s="2" t="s">
        <v>2483</v>
      </c>
      <c r="J1123" s="2" t="s">
        <v>1217</v>
      </c>
      <c r="K1123" s="2" t="s">
        <v>26</v>
      </c>
      <c r="L1123" s="2" t="s">
        <v>57</v>
      </c>
      <c r="M1123" s="2">
        <v>5310603</v>
      </c>
      <c r="N1123" s="2" t="s">
        <v>295</v>
      </c>
      <c r="O1123" s="2" t="s">
        <v>211</v>
      </c>
      <c r="P1123" s="2" t="s">
        <v>60</v>
      </c>
      <c r="Q1123" s="5">
        <v>44471</v>
      </c>
      <c r="R1123" s="2" t="s">
        <v>53</v>
      </c>
      <c r="S1123" s="2">
        <v>8</v>
      </c>
      <c r="T1123" s="2" t="s">
        <v>33</v>
      </c>
      <c r="U1123" s="2" t="s">
        <v>34</v>
      </c>
      <c r="V1123" s="32">
        <v>102601760</v>
      </c>
      <c r="Y1123" s="30">
        <f t="shared" si="34"/>
        <v>102601760</v>
      </c>
      <c r="Z1123" s="41">
        <f t="shared" si="35"/>
        <v>0</v>
      </c>
    </row>
    <row r="1124" spans="1:27">
      <c r="A1124" s="2">
        <v>1122</v>
      </c>
      <c r="B1124" s="2">
        <v>2666299</v>
      </c>
      <c r="C1124" s="2">
        <v>40310996290034</v>
      </c>
      <c r="D1124" s="2" t="s">
        <v>45</v>
      </c>
      <c r="E1124" s="2">
        <v>7259887</v>
      </c>
      <c r="F1124" s="2" t="s">
        <v>2008</v>
      </c>
      <c r="G1124" s="3">
        <v>36436</v>
      </c>
      <c r="H1124" s="2" t="s">
        <v>2484</v>
      </c>
      <c r="I1124" s="2" t="s">
        <v>2485</v>
      </c>
      <c r="J1124" s="2" t="s">
        <v>2486</v>
      </c>
      <c r="K1124" s="2" t="s">
        <v>26</v>
      </c>
      <c r="L1124" s="2" t="s">
        <v>27</v>
      </c>
      <c r="M1124" s="2">
        <v>5230407</v>
      </c>
      <c r="N1124" s="2" t="s">
        <v>186</v>
      </c>
      <c r="O1124" s="2" t="s">
        <v>211</v>
      </c>
      <c r="P1124" s="2" t="s">
        <v>187</v>
      </c>
      <c r="Q1124" s="2" t="s">
        <v>288</v>
      </c>
      <c r="R1124" s="2" t="s">
        <v>134</v>
      </c>
      <c r="S1124" s="2">
        <v>10</v>
      </c>
      <c r="T1124" s="2" t="s">
        <v>33</v>
      </c>
      <c r="U1124" s="2" t="s">
        <v>34</v>
      </c>
      <c r="V1124" s="32">
        <v>182598600</v>
      </c>
      <c r="Y1124" s="30">
        <f t="shared" si="34"/>
        <v>182598600</v>
      </c>
      <c r="Z1124" s="41">
        <f t="shared" si="35"/>
        <v>0</v>
      </c>
    </row>
    <row r="1125" spans="1:27">
      <c r="A1125" s="2">
        <v>1123</v>
      </c>
      <c r="B1125" s="2">
        <v>2776300</v>
      </c>
      <c r="C1125" s="2">
        <v>52502027110106</v>
      </c>
      <c r="D1125" s="2" t="s">
        <v>22</v>
      </c>
      <c r="E1125" s="2">
        <v>2149471</v>
      </c>
      <c r="F1125" s="2">
        <v>992233099</v>
      </c>
      <c r="G1125" s="3">
        <v>37312</v>
      </c>
      <c r="H1125" s="2" t="s">
        <v>2487</v>
      </c>
      <c r="I1125" s="2" t="s">
        <v>2488</v>
      </c>
      <c r="J1125" s="2" t="s">
        <v>2489</v>
      </c>
      <c r="K1125" s="2" t="s">
        <v>26</v>
      </c>
      <c r="L1125" s="2" t="s">
        <v>27</v>
      </c>
      <c r="M1125" s="2">
        <v>5230406</v>
      </c>
      <c r="N1125" s="2" t="s">
        <v>635</v>
      </c>
      <c r="O1125" s="2" t="s">
        <v>207</v>
      </c>
      <c r="P1125" s="2" t="s">
        <v>68</v>
      </c>
      <c r="Q1125" s="2" t="s">
        <v>277</v>
      </c>
      <c r="R1125" s="2" t="s">
        <v>134</v>
      </c>
      <c r="S1125" s="2">
        <v>10</v>
      </c>
      <c r="T1125" s="2" t="s">
        <v>33</v>
      </c>
      <c r="U1125" s="2" t="s">
        <v>34</v>
      </c>
      <c r="V1125" s="32">
        <v>91299300</v>
      </c>
      <c r="Y1125" s="30">
        <f t="shared" si="34"/>
        <v>91299300</v>
      </c>
      <c r="Z1125" s="41">
        <f t="shared" si="35"/>
        <v>0</v>
      </c>
    </row>
    <row r="1126" spans="1:27">
      <c r="A1126" s="2">
        <v>1124</v>
      </c>
      <c r="B1126" s="2">
        <v>2331516</v>
      </c>
      <c r="C1126" s="2">
        <v>51110016090042</v>
      </c>
      <c r="D1126" s="2" t="s">
        <v>45</v>
      </c>
      <c r="E1126" s="2">
        <v>7988753</v>
      </c>
      <c r="F1126" s="2" t="s">
        <v>2008</v>
      </c>
      <c r="G1126" s="3">
        <v>37175</v>
      </c>
      <c r="H1126" s="2" t="s">
        <v>1218</v>
      </c>
      <c r="I1126" s="2" t="s">
        <v>2490</v>
      </c>
      <c r="J1126" s="2" t="s">
        <v>866</v>
      </c>
      <c r="K1126" s="2" t="s">
        <v>26</v>
      </c>
      <c r="L1126" s="2" t="s">
        <v>27</v>
      </c>
      <c r="M1126" s="2">
        <v>5620101</v>
      </c>
      <c r="N1126" s="2" t="s">
        <v>49</v>
      </c>
      <c r="O1126" s="2" t="s">
        <v>241</v>
      </c>
      <c r="P1126" s="2" t="s">
        <v>51</v>
      </c>
      <c r="Q1126" s="2" t="s">
        <v>1001</v>
      </c>
      <c r="R1126" s="2" t="s">
        <v>53</v>
      </c>
      <c r="S1126" s="2">
        <v>8</v>
      </c>
      <c r="T1126" s="2" t="s">
        <v>508</v>
      </c>
      <c r="U1126" s="2" t="s">
        <v>34</v>
      </c>
      <c r="V1126" s="32">
        <v>56735520</v>
      </c>
      <c r="Y1126" s="30">
        <f t="shared" si="34"/>
        <v>56735520</v>
      </c>
      <c r="Z1126" s="41">
        <f t="shared" si="35"/>
        <v>0</v>
      </c>
    </row>
    <row r="1127" spans="1:27" ht="26.25">
      <c r="A1127" s="2">
        <v>1125</v>
      </c>
      <c r="B1127" s="2">
        <v>3462067</v>
      </c>
      <c r="C1127" s="2">
        <v>51207035630011</v>
      </c>
      <c r="D1127" s="2" t="s">
        <v>22</v>
      </c>
      <c r="E1127" s="2">
        <v>2249962</v>
      </c>
      <c r="F1127" s="2" t="s">
        <v>2008</v>
      </c>
      <c r="G1127" s="3">
        <v>37814</v>
      </c>
      <c r="H1127" s="2" t="s">
        <v>698</v>
      </c>
      <c r="I1127" s="2" t="s">
        <v>2491</v>
      </c>
      <c r="J1127" s="2" t="s">
        <v>2492</v>
      </c>
      <c r="K1127" s="2" t="s">
        <v>26</v>
      </c>
      <c r="L1127" s="2" t="s">
        <v>57</v>
      </c>
      <c r="M1127" s="2">
        <v>5340202</v>
      </c>
      <c r="N1127" s="2" t="s">
        <v>499</v>
      </c>
      <c r="O1127" s="2" t="s">
        <v>857</v>
      </c>
      <c r="P1127" s="2" t="s">
        <v>224</v>
      </c>
      <c r="Q1127" s="4">
        <v>11110</v>
      </c>
      <c r="R1127" s="2" t="s">
        <v>93</v>
      </c>
      <c r="S1127" s="2">
        <v>8</v>
      </c>
      <c r="T1127" s="2" t="s">
        <v>33</v>
      </c>
      <c r="U1127" s="2" t="s">
        <v>34</v>
      </c>
      <c r="V1127" s="32">
        <v>56735520</v>
      </c>
      <c r="Y1127" s="30">
        <f t="shared" si="34"/>
        <v>56735520</v>
      </c>
      <c r="Z1127" s="41">
        <f t="shared" si="35"/>
        <v>0</v>
      </c>
    </row>
    <row r="1128" spans="1:27" ht="26.25">
      <c r="A1128" s="2">
        <v>1126</v>
      </c>
      <c r="B1128" s="2">
        <v>3737748</v>
      </c>
      <c r="C1128" s="2">
        <v>52312036840033</v>
      </c>
      <c r="D1128" s="2" t="s">
        <v>22</v>
      </c>
      <c r="E1128" s="2">
        <v>2620410</v>
      </c>
      <c r="F1128" s="2">
        <v>944168941</v>
      </c>
      <c r="G1128" s="3">
        <v>37978</v>
      </c>
      <c r="H1128" s="2" t="s">
        <v>1471</v>
      </c>
      <c r="I1128" s="2" t="s">
        <v>2493</v>
      </c>
      <c r="J1128" s="2" t="s">
        <v>1003</v>
      </c>
      <c r="K1128" s="2" t="s">
        <v>26</v>
      </c>
      <c r="L1128" s="2" t="s">
        <v>27</v>
      </c>
      <c r="M1128" s="2">
        <v>5340609</v>
      </c>
      <c r="N1128" s="2" t="s">
        <v>861</v>
      </c>
      <c r="O1128" s="2" t="s">
        <v>139</v>
      </c>
      <c r="P1128" s="2" t="s">
        <v>149</v>
      </c>
      <c r="Q1128" s="5">
        <v>44471</v>
      </c>
      <c r="R1128" s="2" t="s">
        <v>93</v>
      </c>
      <c r="S1128" s="2">
        <v>8</v>
      </c>
      <c r="T1128" s="2" t="s">
        <v>33</v>
      </c>
      <c r="U1128" s="2" t="s">
        <v>34</v>
      </c>
      <c r="V1128" s="32">
        <v>15956865</v>
      </c>
      <c r="W1128" s="20">
        <v>7978433</v>
      </c>
      <c r="X1128" s="2" t="s">
        <v>2672</v>
      </c>
      <c r="Y1128" s="30">
        <f t="shared" si="34"/>
        <v>7978432</v>
      </c>
      <c r="Z1128" s="41">
        <f t="shared" si="35"/>
        <v>0.50000003133447579</v>
      </c>
    </row>
    <row r="1129" spans="1:27">
      <c r="A1129" s="2">
        <v>1127</v>
      </c>
      <c r="B1129" s="2">
        <v>2816667</v>
      </c>
      <c r="C1129" s="2">
        <v>51105026930020</v>
      </c>
      <c r="D1129" s="2" t="s">
        <v>22</v>
      </c>
      <c r="E1129" s="2">
        <v>1635465</v>
      </c>
      <c r="F1129" s="2">
        <v>916996629</v>
      </c>
      <c r="G1129" s="3">
        <v>37387</v>
      </c>
      <c r="H1129" s="2" t="s">
        <v>2494</v>
      </c>
      <c r="I1129" s="2" t="s">
        <v>2495</v>
      </c>
      <c r="J1129" s="2" t="s">
        <v>250</v>
      </c>
      <c r="K1129" s="2" t="s">
        <v>26</v>
      </c>
      <c r="L1129" s="2" t="s">
        <v>27</v>
      </c>
      <c r="M1129" s="2">
        <v>5620400</v>
      </c>
      <c r="N1129" s="2" t="s">
        <v>103</v>
      </c>
      <c r="O1129" s="2" t="s">
        <v>281</v>
      </c>
      <c r="P1129" s="2" t="s">
        <v>105</v>
      </c>
      <c r="Q1129" s="2" t="s">
        <v>179</v>
      </c>
      <c r="R1129" s="2" t="s">
        <v>53</v>
      </c>
      <c r="S1129" s="2">
        <v>8</v>
      </c>
      <c r="T1129" s="2" t="s">
        <v>33</v>
      </c>
      <c r="U1129" s="2" t="s">
        <v>34</v>
      </c>
      <c r="V1129" s="32">
        <v>102601760</v>
      </c>
      <c r="Y1129" s="30">
        <f t="shared" si="34"/>
        <v>102601760</v>
      </c>
      <c r="Z1129" s="41">
        <f t="shared" si="35"/>
        <v>0</v>
      </c>
    </row>
    <row r="1130" spans="1:27">
      <c r="A1130" s="2">
        <v>1128</v>
      </c>
      <c r="B1130" s="2">
        <v>1250159</v>
      </c>
      <c r="C1130" s="2">
        <v>50409006030036</v>
      </c>
      <c r="D1130" s="2" t="s">
        <v>45</v>
      </c>
      <c r="E1130" s="2">
        <v>6566877</v>
      </c>
      <c r="F1130" s="2">
        <v>901016576</v>
      </c>
      <c r="G1130" s="3">
        <v>36773</v>
      </c>
      <c r="H1130" s="2" t="s">
        <v>2496</v>
      </c>
      <c r="I1130" s="2" t="s">
        <v>721</v>
      </c>
      <c r="J1130" s="2" t="s">
        <v>2497</v>
      </c>
      <c r="K1130" s="2" t="s">
        <v>39</v>
      </c>
      <c r="L1130" s="2" t="s">
        <v>27</v>
      </c>
      <c r="M1130" s="2">
        <v>5310606</v>
      </c>
      <c r="N1130" s="2" t="s">
        <v>72</v>
      </c>
      <c r="O1130" s="2" t="s">
        <v>225</v>
      </c>
      <c r="P1130" s="2" t="s">
        <v>73</v>
      </c>
      <c r="Q1130" s="2" t="s">
        <v>43</v>
      </c>
      <c r="R1130" s="2" t="s">
        <v>62</v>
      </c>
      <c r="S1130" s="2">
        <v>8</v>
      </c>
      <c r="T1130" s="2" t="s">
        <v>33</v>
      </c>
      <c r="U1130" s="2" t="s">
        <v>34</v>
      </c>
      <c r="V1130" s="29" t="s">
        <v>2748</v>
      </c>
      <c r="W1130" s="20">
        <v>30000000</v>
      </c>
      <c r="X1130" s="2" t="s">
        <v>2687</v>
      </c>
      <c r="Y1130" s="30">
        <f t="shared" si="34"/>
        <v>23802936</v>
      </c>
      <c r="Z1130" s="41">
        <f t="shared" si="35"/>
        <v>0.55759038874755829</v>
      </c>
      <c r="AA1130" s="42" t="s">
        <v>2798</v>
      </c>
    </row>
    <row r="1131" spans="1:27">
      <c r="A1131" s="2">
        <v>1129</v>
      </c>
      <c r="B1131" s="2">
        <v>2153769</v>
      </c>
      <c r="C1131" s="2">
        <v>51911005830025</v>
      </c>
      <c r="D1131" s="2" t="s">
        <v>45</v>
      </c>
      <c r="E1131" s="2">
        <v>6750019</v>
      </c>
      <c r="F1131" s="2">
        <v>934303709</v>
      </c>
      <c r="G1131" s="3">
        <v>36849</v>
      </c>
      <c r="H1131" s="2" t="s">
        <v>112</v>
      </c>
      <c r="I1131" s="2" t="s">
        <v>2498</v>
      </c>
      <c r="J1131" s="2" t="s">
        <v>1665</v>
      </c>
      <c r="K1131" s="2" t="s">
        <v>26</v>
      </c>
      <c r="L1131" s="2" t="s">
        <v>27</v>
      </c>
      <c r="M1131" s="2">
        <v>5240109</v>
      </c>
      <c r="N1131" s="2" t="s">
        <v>28</v>
      </c>
      <c r="O1131" s="2" t="s">
        <v>236</v>
      </c>
      <c r="P1131" s="2" t="s">
        <v>30</v>
      </c>
      <c r="Q1131" s="4">
        <v>42064</v>
      </c>
      <c r="R1131" s="2" t="s">
        <v>32</v>
      </c>
      <c r="S1131" s="2">
        <v>25</v>
      </c>
      <c r="T1131" s="2" t="s">
        <v>508</v>
      </c>
      <c r="U1131" s="2" t="s">
        <v>34</v>
      </c>
      <c r="V1131" s="32">
        <v>29427780</v>
      </c>
      <c r="Y1131" s="30">
        <f t="shared" si="34"/>
        <v>29427780</v>
      </c>
      <c r="Z1131" s="41">
        <f t="shared" si="35"/>
        <v>0</v>
      </c>
    </row>
    <row r="1132" spans="1:27" ht="26.25">
      <c r="A1132" s="2">
        <v>1130</v>
      </c>
      <c r="B1132" s="2">
        <v>3474961</v>
      </c>
      <c r="C1132" s="2">
        <v>52507036050032</v>
      </c>
      <c r="D1132" s="2" t="s">
        <v>22</v>
      </c>
      <c r="E1132" s="2">
        <v>2132996</v>
      </c>
      <c r="F1132" s="2">
        <v>917781763</v>
      </c>
      <c r="G1132" s="3">
        <v>37827</v>
      </c>
      <c r="H1132" s="2" t="s">
        <v>898</v>
      </c>
      <c r="I1132" s="2" t="s">
        <v>2499</v>
      </c>
      <c r="J1132" s="2" t="s">
        <v>448</v>
      </c>
      <c r="K1132" s="2" t="s">
        <v>26</v>
      </c>
      <c r="L1132" s="2" t="s">
        <v>57</v>
      </c>
      <c r="M1132" s="2">
        <v>5340608</v>
      </c>
      <c r="N1132" s="2" t="s">
        <v>917</v>
      </c>
      <c r="O1132" s="2" t="s">
        <v>211</v>
      </c>
      <c r="P1132" s="2" t="s">
        <v>60</v>
      </c>
      <c r="Q1132" s="5">
        <v>44471</v>
      </c>
      <c r="R1132" s="2" t="s">
        <v>93</v>
      </c>
      <c r="S1132" s="2">
        <v>8</v>
      </c>
      <c r="T1132" s="2" t="s">
        <v>33</v>
      </c>
      <c r="U1132" s="2" t="s">
        <v>34</v>
      </c>
      <c r="V1132" s="32">
        <v>113471040</v>
      </c>
      <c r="Y1132" s="30">
        <f t="shared" si="34"/>
        <v>113471040</v>
      </c>
      <c r="Z1132" s="41">
        <f t="shared" si="35"/>
        <v>0</v>
      </c>
    </row>
    <row r="1133" spans="1:27" ht="26.25">
      <c r="A1133" s="2">
        <v>1131</v>
      </c>
      <c r="B1133" s="2">
        <v>3346608</v>
      </c>
      <c r="C1133" s="2">
        <v>52605048660103</v>
      </c>
      <c r="D1133" s="2" t="s">
        <v>22</v>
      </c>
      <c r="E1133" s="2">
        <v>3158661</v>
      </c>
      <c r="F1133" s="2" t="s">
        <v>2008</v>
      </c>
      <c r="G1133" s="3">
        <v>38133</v>
      </c>
      <c r="H1133" s="2" t="s">
        <v>492</v>
      </c>
      <c r="I1133" s="2" t="s">
        <v>2500</v>
      </c>
      <c r="J1133" s="2" t="s">
        <v>348</v>
      </c>
      <c r="K1133" s="2" t="s">
        <v>26</v>
      </c>
      <c r="L1133" s="2" t="s">
        <v>57</v>
      </c>
      <c r="M1133" s="2">
        <v>5340202</v>
      </c>
      <c r="N1133" s="2" t="s">
        <v>499</v>
      </c>
      <c r="O1133" s="2" t="s">
        <v>207</v>
      </c>
      <c r="P1133" s="2" t="s">
        <v>224</v>
      </c>
      <c r="Q1133" s="2" t="s">
        <v>578</v>
      </c>
      <c r="R1133" s="2" t="s">
        <v>93</v>
      </c>
      <c r="S1133" s="2">
        <v>8</v>
      </c>
      <c r="T1133" s="2" t="s">
        <v>33</v>
      </c>
      <c r="U1133" s="2" t="s">
        <v>34</v>
      </c>
      <c r="V1133" s="32">
        <v>56735520</v>
      </c>
      <c r="Y1133" s="30">
        <f t="shared" si="34"/>
        <v>56735520</v>
      </c>
      <c r="Z1133" s="41">
        <f t="shared" si="35"/>
        <v>0</v>
      </c>
    </row>
    <row r="1134" spans="1:27">
      <c r="A1134" s="2">
        <v>1132</v>
      </c>
      <c r="B1134" s="2">
        <v>3307415</v>
      </c>
      <c r="C1134" s="2">
        <v>51106036530026</v>
      </c>
      <c r="D1134" s="2" t="s">
        <v>22</v>
      </c>
      <c r="E1134" s="2">
        <v>2009743</v>
      </c>
      <c r="F1134" s="2" t="s">
        <v>2008</v>
      </c>
      <c r="G1134" s="3">
        <v>37783</v>
      </c>
      <c r="H1134" s="2" t="s">
        <v>1348</v>
      </c>
      <c r="I1134" s="2" t="s">
        <v>2501</v>
      </c>
      <c r="J1134" s="2" t="s">
        <v>542</v>
      </c>
      <c r="K1134" s="2" t="s">
        <v>26</v>
      </c>
      <c r="L1134" s="2" t="s">
        <v>27</v>
      </c>
      <c r="M1134" s="2">
        <v>5240109</v>
      </c>
      <c r="N1134" s="2" t="s">
        <v>28</v>
      </c>
      <c r="O1134" s="2" t="s">
        <v>194</v>
      </c>
      <c r="P1134" s="2" t="s">
        <v>30</v>
      </c>
      <c r="Q1134" s="2" t="s">
        <v>1897</v>
      </c>
      <c r="R1134" s="2" t="s">
        <v>32</v>
      </c>
      <c r="S1134" s="2">
        <v>25</v>
      </c>
      <c r="T1134" s="2" t="s">
        <v>33</v>
      </c>
      <c r="U1134" s="2" t="s">
        <v>34</v>
      </c>
      <c r="V1134" s="32">
        <v>245231500</v>
      </c>
      <c r="Y1134" s="30">
        <f t="shared" si="34"/>
        <v>245231500</v>
      </c>
      <c r="Z1134" s="41">
        <f t="shared" si="35"/>
        <v>0</v>
      </c>
    </row>
    <row r="1135" spans="1:27" ht="26.25">
      <c r="A1135" s="2">
        <v>1133</v>
      </c>
      <c r="B1135" s="2">
        <v>2602541</v>
      </c>
      <c r="C1135" s="2">
        <v>50111025720013</v>
      </c>
      <c r="D1135" s="2" t="s">
        <v>22</v>
      </c>
      <c r="E1135" s="2">
        <v>2129823</v>
      </c>
      <c r="F1135" s="2">
        <v>994222037</v>
      </c>
      <c r="G1135" s="3">
        <v>37561</v>
      </c>
      <c r="H1135" s="2" t="s">
        <v>46</v>
      </c>
      <c r="I1135" s="2" t="s">
        <v>1873</v>
      </c>
      <c r="J1135" s="2" t="s">
        <v>2502</v>
      </c>
      <c r="K1135" s="2" t="s">
        <v>26</v>
      </c>
      <c r="L1135" s="2" t="s">
        <v>27</v>
      </c>
      <c r="M1135" s="2">
        <v>5230902</v>
      </c>
      <c r="N1135" s="2" t="s">
        <v>251</v>
      </c>
      <c r="O1135" s="2" t="s">
        <v>350</v>
      </c>
      <c r="P1135" s="2" t="s">
        <v>798</v>
      </c>
      <c r="Q1135" s="2" t="s">
        <v>818</v>
      </c>
      <c r="R1135" s="2" t="s">
        <v>134</v>
      </c>
      <c r="S1135" s="2">
        <v>10</v>
      </c>
      <c r="T1135" s="2" t="s">
        <v>33</v>
      </c>
      <c r="U1135" s="2" t="s">
        <v>34</v>
      </c>
      <c r="V1135" s="32">
        <v>91299300</v>
      </c>
      <c r="Y1135" s="30">
        <f t="shared" si="34"/>
        <v>91299300</v>
      </c>
      <c r="Z1135" s="41">
        <f t="shared" si="35"/>
        <v>0</v>
      </c>
    </row>
    <row r="1136" spans="1:27">
      <c r="A1136" s="2">
        <v>1134</v>
      </c>
      <c r="B1136" s="2">
        <v>3331849</v>
      </c>
      <c r="C1136" s="2">
        <v>50612026540030</v>
      </c>
      <c r="D1136" s="2" t="s">
        <v>22</v>
      </c>
      <c r="E1136" s="2">
        <v>495846</v>
      </c>
      <c r="F1136" s="2">
        <v>903198002</v>
      </c>
      <c r="G1136" s="3">
        <v>37596</v>
      </c>
      <c r="H1136" s="2" t="s">
        <v>2503</v>
      </c>
      <c r="I1136" s="2" t="s">
        <v>819</v>
      </c>
      <c r="J1136" s="2" t="s">
        <v>2504</v>
      </c>
      <c r="K1136" s="2" t="s">
        <v>26</v>
      </c>
      <c r="L1136" s="2" t="s">
        <v>57</v>
      </c>
      <c r="M1136" s="2">
        <v>5314000</v>
      </c>
      <c r="N1136" s="2" t="s">
        <v>522</v>
      </c>
      <c r="O1136" s="2" t="s">
        <v>433</v>
      </c>
      <c r="P1136" s="2" t="s">
        <v>241</v>
      </c>
      <c r="Q1136" s="2" t="s">
        <v>59</v>
      </c>
      <c r="R1136" s="2" t="s">
        <v>53</v>
      </c>
      <c r="S1136" s="2">
        <v>8</v>
      </c>
      <c r="T1136" s="2" t="s">
        <v>33</v>
      </c>
      <c r="U1136" s="2" t="s">
        <v>34</v>
      </c>
      <c r="V1136" s="32">
        <v>102601760</v>
      </c>
      <c r="Y1136" s="30">
        <f t="shared" si="34"/>
        <v>102601760</v>
      </c>
      <c r="Z1136" s="41">
        <f t="shared" si="35"/>
        <v>0</v>
      </c>
    </row>
    <row r="1137" spans="1:27" ht="26.25">
      <c r="A1137" s="2">
        <v>1135</v>
      </c>
      <c r="B1137" s="2">
        <v>1142561</v>
      </c>
      <c r="C1137" s="2">
        <v>40812996860030</v>
      </c>
      <c r="D1137" s="2" t="s">
        <v>45</v>
      </c>
      <c r="E1137" s="2">
        <v>4040315</v>
      </c>
      <c r="F1137" s="2">
        <v>917766899</v>
      </c>
      <c r="G1137" s="3">
        <v>36502</v>
      </c>
      <c r="H1137" s="2" t="s">
        <v>2505</v>
      </c>
      <c r="I1137" s="2" t="s">
        <v>2506</v>
      </c>
      <c r="J1137" s="2" t="s">
        <v>2507</v>
      </c>
      <c r="K1137" s="2" t="s">
        <v>26</v>
      </c>
      <c r="L1137" s="2" t="s">
        <v>27</v>
      </c>
      <c r="M1137" s="2">
        <v>5630103</v>
      </c>
      <c r="N1137" s="2" t="s">
        <v>343</v>
      </c>
      <c r="O1137" s="2" t="s">
        <v>104</v>
      </c>
      <c r="P1137" s="2" t="s">
        <v>345</v>
      </c>
      <c r="Q1137" s="2" t="s">
        <v>253</v>
      </c>
      <c r="R1137" s="2" t="s">
        <v>53</v>
      </c>
      <c r="S1137" s="2">
        <v>8</v>
      </c>
      <c r="T1137" s="2" t="s">
        <v>33</v>
      </c>
      <c r="U1137" s="2" t="s">
        <v>34</v>
      </c>
      <c r="V1137" s="32">
        <v>51300880</v>
      </c>
      <c r="Y1137" s="30">
        <f t="shared" si="34"/>
        <v>51300880</v>
      </c>
      <c r="Z1137" s="41">
        <f t="shared" si="35"/>
        <v>0</v>
      </c>
    </row>
    <row r="1138" spans="1:27" ht="26.25">
      <c r="A1138" s="2">
        <v>1136</v>
      </c>
      <c r="B1138" s="2">
        <v>3263279</v>
      </c>
      <c r="C1138" s="2">
        <v>50811036560030</v>
      </c>
      <c r="D1138" s="2" t="s">
        <v>22</v>
      </c>
      <c r="E1138" s="2">
        <v>2511918</v>
      </c>
      <c r="F1138" s="2" t="s">
        <v>2008</v>
      </c>
      <c r="G1138" s="3">
        <v>37933</v>
      </c>
      <c r="H1138" s="2" t="s">
        <v>1670</v>
      </c>
      <c r="I1138" s="2" t="s">
        <v>2508</v>
      </c>
      <c r="J1138" s="2" t="s">
        <v>1160</v>
      </c>
      <c r="K1138" s="2" t="s">
        <v>26</v>
      </c>
      <c r="L1138" s="2" t="s">
        <v>57</v>
      </c>
      <c r="M1138" s="2">
        <v>5340202</v>
      </c>
      <c r="N1138" s="2" t="s">
        <v>499</v>
      </c>
      <c r="O1138" s="2" t="s">
        <v>287</v>
      </c>
      <c r="P1138" s="2" t="s">
        <v>224</v>
      </c>
      <c r="Q1138" s="2" t="s">
        <v>500</v>
      </c>
      <c r="R1138" s="2" t="s">
        <v>93</v>
      </c>
      <c r="S1138" s="2">
        <v>8</v>
      </c>
      <c r="T1138" s="2" t="s">
        <v>33</v>
      </c>
      <c r="U1138" s="2" t="s">
        <v>34</v>
      </c>
      <c r="V1138" s="32">
        <v>56735520</v>
      </c>
      <c r="Y1138" s="30">
        <f t="shared" si="34"/>
        <v>56735520</v>
      </c>
      <c r="Z1138" s="41">
        <f t="shared" si="35"/>
        <v>0</v>
      </c>
    </row>
    <row r="1139" spans="1:27" ht="26.25">
      <c r="A1139" s="2">
        <v>1137</v>
      </c>
      <c r="B1139" s="2">
        <v>2122757</v>
      </c>
      <c r="C1139" s="2">
        <v>62009015840027</v>
      </c>
      <c r="D1139" s="2" t="s">
        <v>45</v>
      </c>
      <c r="E1139" s="2">
        <v>8050837</v>
      </c>
      <c r="F1139" s="2">
        <v>934600920</v>
      </c>
      <c r="G1139" s="3">
        <v>37154</v>
      </c>
      <c r="H1139" s="2" t="s">
        <v>2319</v>
      </c>
      <c r="I1139" s="2" t="s">
        <v>2509</v>
      </c>
      <c r="J1139" s="2" t="s">
        <v>2510</v>
      </c>
      <c r="K1139" s="2" t="s">
        <v>39</v>
      </c>
      <c r="L1139" s="2" t="s">
        <v>27</v>
      </c>
      <c r="M1139" s="2">
        <v>5320102</v>
      </c>
      <c r="N1139" s="2" t="s">
        <v>138</v>
      </c>
      <c r="O1139" s="2">
        <v>63</v>
      </c>
      <c r="P1139" s="2" t="s">
        <v>140</v>
      </c>
      <c r="Q1139" s="4">
        <v>22251</v>
      </c>
      <c r="R1139" s="2" t="s">
        <v>62</v>
      </c>
      <c r="S1139" s="2">
        <v>8</v>
      </c>
      <c r="T1139" s="2" t="s">
        <v>33</v>
      </c>
      <c r="U1139" s="2" t="s">
        <v>34</v>
      </c>
      <c r="V1139" s="32">
        <v>59781040</v>
      </c>
      <c r="Y1139" s="30">
        <f t="shared" si="34"/>
        <v>59781040</v>
      </c>
      <c r="Z1139" s="41">
        <f t="shared" si="35"/>
        <v>0</v>
      </c>
    </row>
    <row r="1140" spans="1:27" ht="26.25">
      <c r="A1140" s="2">
        <v>1138</v>
      </c>
      <c r="B1140" s="2">
        <v>2869862</v>
      </c>
      <c r="C1140" s="2">
        <v>32201870420108</v>
      </c>
      <c r="D1140" s="2" t="s">
        <v>145</v>
      </c>
      <c r="E1140" s="2">
        <v>437421</v>
      </c>
      <c r="F1140" s="2">
        <v>935324600</v>
      </c>
      <c r="G1140" s="3">
        <v>31799</v>
      </c>
      <c r="H1140" s="2" t="s">
        <v>278</v>
      </c>
      <c r="I1140" s="2" t="s">
        <v>382</v>
      </c>
      <c r="J1140" s="2" t="s">
        <v>2511</v>
      </c>
      <c r="K1140" s="2" t="s">
        <v>39</v>
      </c>
      <c r="L1140" s="2" t="s">
        <v>57</v>
      </c>
      <c r="M1140" s="2">
        <v>5310701</v>
      </c>
      <c r="N1140" s="2" t="s">
        <v>118</v>
      </c>
      <c r="O1140" s="2" t="s">
        <v>41</v>
      </c>
      <c r="P1140" s="2" t="s">
        <v>207</v>
      </c>
      <c r="Q1140" s="4">
        <v>43922</v>
      </c>
      <c r="R1140" s="2" t="s">
        <v>62</v>
      </c>
      <c r="S1140" s="2">
        <v>8</v>
      </c>
      <c r="T1140" s="2" t="s">
        <v>33</v>
      </c>
      <c r="U1140" s="2" t="s">
        <v>34</v>
      </c>
      <c r="V1140" s="32">
        <v>59781040</v>
      </c>
      <c r="Y1140" s="30">
        <f t="shared" si="34"/>
        <v>59781040</v>
      </c>
      <c r="Z1140" s="41">
        <f t="shared" si="35"/>
        <v>0</v>
      </c>
    </row>
    <row r="1141" spans="1:27" ht="15.75">
      <c r="A1141" s="2">
        <v>1139</v>
      </c>
      <c r="B1141" s="2">
        <v>2151406</v>
      </c>
      <c r="C1141" s="2">
        <v>51102016380023</v>
      </c>
      <c r="D1141" s="2" t="s">
        <v>45</v>
      </c>
      <c r="E1141" s="2">
        <v>6186355</v>
      </c>
      <c r="F1141" s="2">
        <v>994013216</v>
      </c>
      <c r="G1141" s="3">
        <v>36933</v>
      </c>
      <c r="H1141" s="2" t="s">
        <v>2049</v>
      </c>
      <c r="I1141" s="2" t="s">
        <v>2512</v>
      </c>
      <c r="J1141" s="2" t="s">
        <v>2513</v>
      </c>
      <c r="K1141" s="2" t="s">
        <v>39</v>
      </c>
      <c r="L1141" s="2" t="s">
        <v>57</v>
      </c>
      <c r="M1141" s="2">
        <v>5310202</v>
      </c>
      <c r="N1141" s="2" t="s">
        <v>86</v>
      </c>
      <c r="O1141" s="2" t="s">
        <v>104</v>
      </c>
      <c r="P1141" s="2" t="s">
        <v>154</v>
      </c>
      <c r="Q1141" s="5">
        <v>44317</v>
      </c>
      <c r="R1141" s="2" t="s">
        <v>62</v>
      </c>
      <c r="S1141" s="2">
        <v>8</v>
      </c>
      <c r="T1141" s="2" t="s">
        <v>33</v>
      </c>
      <c r="U1141" s="2" t="s">
        <v>34</v>
      </c>
      <c r="V1141" s="32">
        <v>11208945</v>
      </c>
      <c r="W1141" s="21">
        <f>7500000+3709000</f>
        <v>11209000</v>
      </c>
      <c r="X1141" s="10" t="s">
        <v>2903</v>
      </c>
      <c r="Y1141" s="30">
        <f t="shared" si="34"/>
        <v>-55</v>
      </c>
      <c r="Z1141" s="41">
        <f t="shared" si="35"/>
        <v>1.0000049067954211</v>
      </c>
    </row>
    <row r="1142" spans="1:27" ht="39">
      <c r="A1142" s="2">
        <v>1140</v>
      </c>
      <c r="B1142" s="2">
        <v>1798176</v>
      </c>
      <c r="C1142" s="2">
        <v>30101906090043</v>
      </c>
      <c r="D1142" s="2" t="s">
        <v>145</v>
      </c>
      <c r="E1142" s="2">
        <v>7949662</v>
      </c>
      <c r="F1142" s="2">
        <v>904788989</v>
      </c>
      <c r="G1142" s="3">
        <v>32874</v>
      </c>
      <c r="H1142" s="2" t="s">
        <v>2514</v>
      </c>
      <c r="I1142" s="2" t="s">
        <v>2515</v>
      </c>
      <c r="J1142" s="2" t="s">
        <v>2516</v>
      </c>
      <c r="K1142" s="2" t="s">
        <v>39</v>
      </c>
      <c r="L1142" s="2" t="s">
        <v>27</v>
      </c>
      <c r="M1142" s="2">
        <v>5311003</v>
      </c>
      <c r="N1142" s="2" t="s">
        <v>144</v>
      </c>
      <c r="O1142" s="2">
        <v>63</v>
      </c>
      <c r="P1142" s="2" t="s">
        <v>79</v>
      </c>
      <c r="Q1142" s="5">
        <v>44492</v>
      </c>
      <c r="R1142" s="2" t="s">
        <v>62</v>
      </c>
      <c r="S1142" s="2">
        <v>8</v>
      </c>
      <c r="T1142" s="2" t="s">
        <v>33</v>
      </c>
      <c r="U1142" s="2" t="s">
        <v>34</v>
      </c>
      <c r="V1142" s="32">
        <v>59781040</v>
      </c>
      <c r="Y1142" s="30">
        <f t="shared" si="34"/>
        <v>59781040</v>
      </c>
      <c r="Z1142" s="41">
        <f t="shared" si="35"/>
        <v>0</v>
      </c>
    </row>
    <row r="1143" spans="1:27" ht="26.25">
      <c r="A1143" s="2">
        <v>1141</v>
      </c>
      <c r="B1143" s="2">
        <v>2444586</v>
      </c>
      <c r="C1143" s="2">
        <v>33105921551151</v>
      </c>
      <c r="D1143" s="2" t="s">
        <v>145</v>
      </c>
      <c r="E1143" s="2">
        <v>2032405</v>
      </c>
      <c r="F1143" s="2">
        <v>932999212</v>
      </c>
      <c r="G1143" s="3">
        <v>33755</v>
      </c>
      <c r="H1143" s="2" t="s">
        <v>2517</v>
      </c>
      <c r="I1143" s="2" t="s">
        <v>2518</v>
      </c>
      <c r="J1143" s="2" t="s">
        <v>102</v>
      </c>
      <c r="K1143" s="2" t="s">
        <v>39</v>
      </c>
      <c r="L1143" s="2" t="s">
        <v>27</v>
      </c>
      <c r="M1143" s="2">
        <v>5320102</v>
      </c>
      <c r="N1143" s="2" t="s">
        <v>138</v>
      </c>
      <c r="O1143" s="2" t="s">
        <v>175</v>
      </c>
      <c r="P1143" s="2" t="s">
        <v>140</v>
      </c>
      <c r="Q1143" s="5">
        <v>44317</v>
      </c>
      <c r="R1143" s="2" t="s">
        <v>62</v>
      </c>
      <c r="S1143" s="2">
        <v>8</v>
      </c>
      <c r="T1143" s="2" t="s">
        <v>33</v>
      </c>
      <c r="U1143" s="2" t="s">
        <v>34</v>
      </c>
      <c r="V1143" s="29" t="s">
        <v>2813</v>
      </c>
      <c r="W1143" s="21">
        <f>6000000+1500000+1000000</f>
        <v>8500000</v>
      </c>
      <c r="X1143" s="12" t="s">
        <v>2901</v>
      </c>
      <c r="Y1143" s="30">
        <f t="shared" si="34"/>
        <v>1588050.5</v>
      </c>
      <c r="Z1143" s="41">
        <f t="shared" si="35"/>
        <v>0.84258103188519917</v>
      </c>
      <c r="AA1143" s="42" t="s">
        <v>2798</v>
      </c>
    </row>
    <row r="1144" spans="1:27" ht="39">
      <c r="A1144" s="2">
        <v>1142</v>
      </c>
      <c r="B1144" s="2">
        <v>3645294</v>
      </c>
      <c r="C1144" s="2">
        <v>50411038660019</v>
      </c>
      <c r="D1144" s="2" t="s">
        <v>22</v>
      </c>
      <c r="E1144" s="2">
        <v>2472858</v>
      </c>
      <c r="F1144" s="2">
        <v>994994494</v>
      </c>
      <c r="G1144" s="3">
        <v>37929</v>
      </c>
      <c r="H1144" s="2" t="s">
        <v>282</v>
      </c>
      <c r="I1144" s="2" t="s">
        <v>2519</v>
      </c>
      <c r="J1144" s="2" t="s">
        <v>2520</v>
      </c>
      <c r="K1144" s="2" t="s">
        <v>26</v>
      </c>
      <c r="L1144" s="2" t="s">
        <v>57</v>
      </c>
      <c r="M1144" s="2">
        <v>5311003</v>
      </c>
      <c r="N1144" s="2" t="s">
        <v>144</v>
      </c>
      <c r="O1144" s="2" t="s">
        <v>60</v>
      </c>
      <c r="P1144" s="2" t="s">
        <v>149</v>
      </c>
      <c r="Q1144" s="2" t="s">
        <v>277</v>
      </c>
      <c r="R1144" s="2" t="s">
        <v>53</v>
      </c>
      <c r="S1144" s="2">
        <v>8</v>
      </c>
      <c r="T1144" s="2" t="s">
        <v>33</v>
      </c>
      <c r="U1144" s="2" t="s">
        <v>34</v>
      </c>
      <c r="V1144" s="32">
        <v>51300880</v>
      </c>
      <c r="W1144" s="20">
        <v>25650500</v>
      </c>
      <c r="X1144" s="2" t="s">
        <v>2624</v>
      </c>
      <c r="Y1144" s="30">
        <f t="shared" si="34"/>
        <v>25650380</v>
      </c>
      <c r="Z1144" s="41">
        <f t="shared" si="35"/>
        <v>0.50000116957058049</v>
      </c>
    </row>
    <row r="1145" spans="1:27" ht="26.25">
      <c r="A1145" s="2">
        <v>1143</v>
      </c>
      <c r="B1145" s="2">
        <v>2948431</v>
      </c>
      <c r="C1145" s="2">
        <v>32412830540075</v>
      </c>
      <c r="D1145" s="2" t="s">
        <v>145</v>
      </c>
      <c r="E1145" s="2">
        <v>161011</v>
      </c>
      <c r="F1145" s="2">
        <v>977744083</v>
      </c>
      <c r="G1145" s="3">
        <v>30674</v>
      </c>
      <c r="H1145" s="2" t="s">
        <v>2521</v>
      </c>
      <c r="I1145" s="2" t="s">
        <v>482</v>
      </c>
      <c r="J1145" s="2" t="s">
        <v>2522</v>
      </c>
      <c r="K1145" s="2" t="s">
        <v>39</v>
      </c>
      <c r="L1145" s="2" t="s">
        <v>27</v>
      </c>
      <c r="M1145" s="2">
        <v>5340605</v>
      </c>
      <c r="N1145" s="2" t="s">
        <v>40</v>
      </c>
      <c r="O1145" s="2" t="s">
        <v>340</v>
      </c>
      <c r="P1145" s="2" t="s">
        <v>42</v>
      </c>
      <c r="Q1145" s="2" t="s">
        <v>374</v>
      </c>
      <c r="R1145" s="2" t="s">
        <v>44</v>
      </c>
      <c r="S1145" s="2">
        <v>8</v>
      </c>
      <c r="T1145" s="2" t="s">
        <v>33</v>
      </c>
      <c r="U1145" s="2" t="s">
        <v>34</v>
      </c>
      <c r="V1145" s="32">
        <v>131518288</v>
      </c>
      <c r="Y1145" s="30">
        <f t="shared" si="34"/>
        <v>131518288</v>
      </c>
      <c r="Z1145" s="41">
        <f t="shared" si="35"/>
        <v>0</v>
      </c>
    </row>
    <row r="1146" spans="1:27" ht="26.25">
      <c r="A1146" s="2">
        <v>1144</v>
      </c>
      <c r="B1146" s="2">
        <v>1872694</v>
      </c>
      <c r="C1146" s="2">
        <v>30201985460019</v>
      </c>
      <c r="D1146" s="2" t="s">
        <v>45</v>
      </c>
      <c r="E1146" s="2">
        <v>2587785</v>
      </c>
      <c r="F1146" s="2">
        <v>945789848</v>
      </c>
      <c r="G1146" s="3">
        <v>35797</v>
      </c>
      <c r="H1146" s="2" t="s">
        <v>650</v>
      </c>
      <c r="I1146" s="2" t="s">
        <v>2523</v>
      </c>
      <c r="J1146" s="2" t="s">
        <v>1086</v>
      </c>
      <c r="K1146" s="2" t="s">
        <v>39</v>
      </c>
      <c r="L1146" s="2" t="s">
        <v>27</v>
      </c>
      <c r="M1146" s="2">
        <v>5320102</v>
      </c>
      <c r="N1146" s="2" t="s">
        <v>138</v>
      </c>
      <c r="O1146" s="2" t="s">
        <v>194</v>
      </c>
      <c r="P1146" s="2" t="s">
        <v>140</v>
      </c>
      <c r="Q1146" s="5">
        <v>44471</v>
      </c>
      <c r="R1146" s="2" t="s">
        <v>62</v>
      </c>
      <c r="S1146" s="2">
        <v>8</v>
      </c>
      <c r="T1146" s="2" t="s">
        <v>33</v>
      </c>
      <c r="U1146" s="2" t="s">
        <v>34</v>
      </c>
      <c r="V1146" s="32" t="s">
        <v>2723</v>
      </c>
      <c r="W1146" s="21">
        <f>9350000+3709000</f>
        <v>13059000</v>
      </c>
      <c r="X1146" s="11" t="s">
        <v>2967</v>
      </c>
      <c r="Y1146" s="30">
        <f t="shared" si="34"/>
        <v>3754417.5</v>
      </c>
      <c r="Z1146" s="41">
        <f t="shared" si="35"/>
        <v>0.77670110790979885</v>
      </c>
    </row>
    <row r="1147" spans="1:27" ht="26.25">
      <c r="A1147" s="2">
        <v>1145</v>
      </c>
      <c r="B1147" s="2">
        <v>1905931</v>
      </c>
      <c r="C1147" s="2">
        <v>32204976080041</v>
      </c>
      <c r="D1147" s="2" t="s">
        <v>145</v>
      </c>
      <c r="E1147" s="2">
        <v>9649185</v>
      </c>
      <c r="F1147" s="2">
        <v>990697169</v>
      </c>
      <c r="G1147" s="3">
        <v>35542</v>
      </c>
      <c r="H1147" s="2" t="s">
        <v>2524</v>
      </c>
      <c r="I1147" s="2" t="s">
        <v>1398</v>
      </c>
      <c r="J1147" s="2" t="s">
        <v>931</v>
      </c>
      <c r="K1147" s="2" t="s">
        <v>26</v>
      </c>
      <c r="L1147" s="2" t="s">
        <v>27</v>
      </c>
      <c r="M1147" s="2">
        <v>5320102</v>
      </c>
      <c r="N1147" s="2" t="s">
        <v>138</v>
      </c>
      <c r="O1147" s="2" t="s">
        <v>225</v>
      </c>
      <c r="P1147" s="2" t="s">
        <v>154</v>
      </c>
      <c r="Q1147" s="5">
        <v>44471</v>
      </c>
      <c r="R1147" s="2" t="s">
        <v>53</v>
      </c>
      <c r="S1147" s="2">
        <v>8</v>
      </c>
      <c r="T1147" s="2" t="s">
        <v>33</v>
      </c>
      <c r="U1147" s="2" t="s">
        <v>34</v>
      </c>
      <c r="V1147" s="32">
        <v>16031525</v>
      </c>
      <c r="W1147" s="20">
        <v>8032000</v>
      </c>
      <c r="X1147" s="2" t="s">
        <v>2686</v>
      </c>
      <c r="Y1147" s="30">
        <f t="shared" si="34"/>
        <v>7999525</v>
      </c>
      <c r="Z1147" s="41">
        <f t="shared" si="35"/>
        <v>0.50101284812268332</v>
      </c>
    </row>
    <row r="1148" spans="1:27">
      <c r="A1148" s="2">
        <v>1146</v>
      </c>
      <c r="B1148" s="2">
        <v>3424613</v>
      </c>
      <c r="C1148" s="2">
        <v>52201046880037</v>
      </c>
      <c r="D1148" s="2" t="s">
        <v>22</v>
      </c>
      <c r="E1148" s="2">
        <v>2739616</v>
      </c>
      <c r="F1148" s="2">
        <v>936049020</v>
      </c>
      <c r="G1148" s="3">
        <v>38008</v>
      </c>
      <c r="H1148" s="2" t="s">
        <v>89</v>
      </c>
      <c r="I1148" s="2" t="s">
        <v>2525</v>
      </c>
      <c r="J1148" s="2" t="s">
        <v>1333</v>
      </c>
      <c r="K1148" s="2" t="s">
        <v>26</v>
      </c>
      <c r="L1148" s="2" t="s">
        <v>57</v>
      </c>
      <c r="M1148" s="2">
        <v>5310400</v>
      </c>
      <c r="N1148" s="2" t="s">
        <v>232</v>
      </c>
      <c r="O1148" s="2" t="s">
        <v>87</v>
      </c>
      <c r="P1148" s="2" t="s">
        <v>67</v>
      </c>
      <c r="Q1148" s="2" t="s">
        <v>277</v>
      </c>
      <c r="R1148" s="2" t="s">
        <v>53</v>
      </c>
      <c r="S1148" s="2">
        <v>8</v>
      </c>
      <c r="T1148" s="2" t="s">
        <v>33</v>
      </c>
      <c r="U1148" s="2" t="s">
        <v>34</v>
      </c>
      <c r="V1148" s="32">
        <v>51300880</v>
      </c>
      <c r="W1148" s="20">
        <v>26000000</v>
      </c>
      <c r="X1148" s="2" t="s">
        <v>2703</v>
      </c>
      <c r="Y1148" s="30">
        <f t="shared" si="34"/>
        <v>25300880</v>
      </c>
      <c r="Z1148" s="41">
        <f t="shared" si="35"/>
        <v>0.506813918201793</v>
      </c>
    </row>
    <row r="1149" spans="1:27" ht="26.25">
      <c r="A1149" s="2">
        <v>1147</v>
      </c>
      <c r="B1149" s="2">
        <v>2739395</v>
      </c>
      <c r="C1149" s="2">
        <v>51211026810038</v>
      </c>
      <c r="D1149" s="2" t="s">
        <v>22</v>
      </c>
      <c r="E1149" s="2">
        <v>1543750</v>
      </c>
      <c r="F1149" s="2">
        <v>971191050</v>
      </c>
      <c r="G1149" s="3">
        <v>37572</v>
      </c>
      <c r="H1149" s="2" t="s">
        <v>2526</v>
      </c>
      <c r="I1149" s="2" t="s">
        <v>2527</v>
      </c>
      <c r="J1149" s="2" t="s">
        <v>694</v>
      </c>
      <c r="K1149" s="2" t="s">
        <v>39</v>
      </c>
      <c r="L1149" s="2" t="s">
        <v>27</v>
      </c>
      <c r="M1149" s="2">
        <v>5620702</v>
      </c>
      <c r="N1149" s="2" t="s">
        <v>159</v>
      </c>
      <c r="O1149" s="2" t="s">
        <v>350</v>
      </c>
      <c r="P1149" s="2" t="s">
        <v>629</v>
      </c>
      <c r="Q1149" s="4">
        <v>42064</v>
      </c>
      <c r="R1149" s="2" t="s">
        <v>62</v>
      </c>
      <c r="S1149" s="2">
        <v>8</v>
      </c>
      <c r="T1149" s="2" t="s">
        <v>33</v>
      </c>
      <c r="U1149" s="2" t="s">
        <v>34</v>
      </c>
      <c r="V1149" s="32">
        <v>22417890</v>
      </c>
      <c r="W1149" s="21">
        <v>11940000</v>
      </c>
      <c r="X1149" s="10" t="s">
        <v>2626</v>
      </c>
      <c r="Y1149" s="30">
        <f t="shared" si="34"/>
        <v>10477890</v>
      </c>
      <c r="Z1149" s="41">
        <f t="shared" si="35"/>
        <v>0.53261033933166768</v>
      </c>
    </row>
    <row r="1150" spans="1:27">
      <c r="A1150" s="2">
        <v>1148</v>
      </c>
      <c r="B1150" s="2">
        <v>1924193</v>
      </c>
      <c r="C1150" s="2">
        <v>32309996530010</v>
      </c>
      <c r="D1150" s="2" t="s">
        <v>74</v>
      </c>
      <c r="E1150" s="2">
        <v>10236</v>
      </c>
      <c r="F1150" s="2">
        <v>977384500</v>
      </c>
      <c r="G1150" s="3">
        <v>36426</v>
      </c>
      <c r="H1150" s="2" t="s">
        <v>54</v>
      </c>
      <c r="I1150" s="2" t="s">
        <v>541</v>
      </c>
      <c r="J1150" s="2" t="s">
        <v>348</v>
      </c>
      <c r="K1150" s="2" t="s">
        <v>39</v>
      </c>
      <c r="L1150" s="2" t="s">
        <v>57</v>
      </c>
      <c r="M1150" s="2">
        <v>5310400</v>
      </c>
      <c r="N1150" s="2" t="s">
        <v>232</v>
      </c>
      <c r="O1150" s="2" t="s">
        <v>99</v>
      </c>
      <c r="P1150" s="2" t="s">
        <v>139</v>
      </c>
      <c r="Q1150" s="5">
        <v>44492</v>
      </c>
      <c r="R1150" s="2" t="s">
        <v>62</v>
      </c>
      <c r="S1150" s="2">
        <v>8</v>
      </c>
      <c r="T1150" s="2" t="s">
        <v>33</v>
      </c>
      <c r="U1150" s="2" t="s">
        <v>34</v>
      </c>
      <c r="V1150" s="32">
        <v>119562080</v>
      </c>
      <c r="Y1150" s="30">
        <f t="shared" si="34"/>
        <v>119562080</v>
      </c>
      <c r="Z1150" s="41">
        <f t="shared" si="35"/>
        <v>0</v>
      </c>
    </row>
    <row r="1151" spans="1:27" ht="26.25">
      <c r="A1151" s="2">
        <v>1149</v>
      </c>
      <c r="B1151" s="2">
        <v>1684629</v>
      </c>
      <c r="C1151" s="2">
        <v>30502956120016</v>
      </c>
      <c r="D1151" s="2" t="s">
        <v>145</v>
      </c>
      <c r="E1151" s="2">
        <v>305180</v>
      </c>
      <c r="F1151" s="2">
        <v>942891747</v>
      </c>
      <c r="G1151" s="3">
        <v>34735</v>
      </c>
      <c r="H1151" s="2" t="s">
        <v>633</v>
      </c>
      <c r="I1151" s="2" t="s">
        <v>2528</v>
      </c>
      <c r="J1151" s="2" t="s">
        <v>2529</v>
      </c>
      <c r="K1151" s="2" t="s">
        <v>39</v>
      </c>
      <c r="L1151" s="2" t="s">
        <v>57</v>
      </c>
      <c r="M1151" s="2">
        <v>5310701</v>
      </c>
      <c r="N1151" s="2" t="s">
        <v>118</v>
      </c>
      <c r="O1151" s="2" t="s">
        <v>104</v>
      </c>
      <c r="P1151" s="2" t="s">
        <v>207</v>
      </c>
      <c r="Q1151" s="5">
        <v>44471</v>
      </c>
      <c r="R1151" s="2" t="s">
        <v>62</v>
      </c>
      <c r="S1151" s="2">
        <v>8</v>
      </c>
      <c r="T1151" s="2" t="s">
        <v>33</v>
      </c>
      <c r="U1151" s="2" t="s">
        <v>34</v>
      </c>
      <c r="V1151" s="32">
        <v>18681575</v>
      </c>
      <c r="W1151" s="21">
        <f>9400000+8150000+1100000+35000</f>
        <v>18685000</v>
      </c>
      <c r="X1151" s="12" t="s">
        <v>2939</v>
      </c>
      <c r="Y1151" s="30">
        <f t="shared" si="34"/>
        <v>-3425</v>
      </c>
      <c r="Z1151" s="41">
        <f t="shared" si="35"/>
        <v>1.0001833357198202</v>
      </c>
    </row>
    <row r="1152" spans="1:27" ht="26.25">
      <c r="A1152" s="2">
        <v>1150</v>
      </c>
      <c r="B1152" s="2">
        <v>1945489</v>
      </c>
      <c r="C1152" s="2">
        <v>32909910191811</v>
      </c>
      <c r="D1152" s="2" t="s">
        <v>145</v>
      </c>
      <c r="E1152" s="2">
        <v>1950038</v>
      </c>
      <c r="F1152" s="2">
        <v>994888785</v>
      </c>
      <c r="G1152" s="3">
        <v>33510</v>
      </c>
      <c r="H1152" s="2" t="s">
        <v>183</v>
      </c>
      <c r="I1152" s="2" t="s">
        <v>2530</v>
      </c>
      <c r="J1152" s="2" t="s">
        <v>2531</v>
      </c>
      <c r="K1152" s="2" t="s">
        <v>39</v>
      </c>
      <c r="L1152" s="2" t="s">
        <v>57</v>
      </c>
      <c r="M1152" s="2">
        <v>5620702</v>
      </c>
      <c r="N1152" s="2" t="s">
        <v>159</v>
      </c>
      <c r="O1152" s="2" t="s">
        <v>211</v>
      </c>
      <c r="P1152" s="2" t="s">
        <v>139</v>
      </c>
      <c r="Q1152" s="2" t="s">
        <v>277</v>
      </c>
      <c r="R1152" s="2" t="s">
        <v>62</v>
      </c>
      <c r="S1152" s="2">
        <v>8</v>
      </c>
      <c r="T1152" s="2" t="s">
        <v>33</v>
      </c>
      <c r="U1152" s="2" t="s">
        <v>34</v>
      </c>
      <c r="V1152" s="32">
        <v>119562080</v>
      </c>
      <c r="Y1152" s="30">
        <f t="shared" si="34"/>
        <v>119562080</v>
      </c>
      <c r="Z1152" s="41">
        <f t="shared" si="35"/>
        <v>0</v>
      </c>
    </row>
    <row r="1153" spans="1:26" ht="15.75">
      <c r="A1153" s="2">
        <v>1151</v>
      </c>
      <c r="B1153" s="2">
        <v>3284338</v>
      </c>
      <c r="C1153" s="2">
        <v>51810036590024</v>
      </c>
      <c r="D1153" s="2" t="s">
        <v>22</v>
      </c>
      <c r="E1153" s="2">
        <v>2292353</v>
      </c>
      <c r="F1153" s="2">
        <v>903169206</v>
      </c>
      <c r="G1153" s="3">
        <v>37912</v>
      </c>
      <c r="H1153" s="2" t="s">
        <v>1090</v>
      </c>
      <c r="I1153" s="2" t="s">
        <v>318</v>
      </c>
      <c r="J1153" s="2" t="s">
        <v>624</v>
      </c>
      <c r="K1153" s="2" t="s">
        <v>26</v>
      </c>
      <c r="L1153" s="2" t="s">
        <v>27</v>
      </c>
      <c r="M1153" s="2">
        <v>5314000</v>
      </c>
      <c r="N1153" s="2" t="s">
        <v>522</v>
      </c>
      <c r="O1153" s="2" t="s">
        <v>73</v>
      </c>
      <c r="P1153" s="2" t="s">
        <v>771</v>
      </c>
      <c r="Q1153" s="2" t="s">
        <v>166</v>
      </c>
      <c r="R1153" s="2" t="s">
        <v>53</v>
      </c>
      <c r="S1153" s="2">
        <v>8</v>
      </c>
      <c r="T1153" s="2" t="s">
        <v>33</v>
      </c>
      <c r="U1153" s="2" t="s">
        <v>34</v>
      </c>
      <c r="V1153" s="32">
        <v>51300880</v>
      </c>
      <c r="W1153" s="21">
        <v>26000000</v>
      </c>
      <c r="X1153" s="11" t="s">
        <v>2624</v>
      </c>
      <c r="Y1153" s="30">
        <f t="shared" si="34"/>
        <v>25300880</v>
      </c>
      <c r="Z1153" s="41">
        <f t="shared" si="35"/>
        <v>0.506813918201793</v>
      </c>
    </row>
    <row r="1154" spans="1:26" ht="15.75">
      <c r="A1154" s="2">
        <v>1152</v>
      </c>
      <c r="B1154" s="2">
        <v>1337329</v>
      </c>
      <c r="C1154" s="2">
        <v>51004005320026</v>
      </c>
      <c r="D1154" s="2" t="s">
        <v>45</v>
      </c>
      <c r="E1154" s="2">
        <v>5591066</v>
      </c>
      <c r="F1154" s="2">
        <v>995423495</v>
      </c>
      <c r="G1154" s="3">
        <v>36626</v>
      </c>
      <c r="H1154" s="2" t="s">
        <v>2532</v>
      </c>
      <c r="I1154" s="2" t="s">
        <v>2533</v>
      </c>
      <c r="J1154" s="2" t="s">
        <v>2534</v>
      </c>
      <c r="K1154" s="2" t="s">
        <v>26</v>
      </c>
      <c r="L1154" s="2" t="s">
        <v>27</v>
      </c>
      <c r="M1154" s="2">
        <v>5340601</v>
      </c>
      <c r="N1154" s="2" t="s">
        <v>110</v>
      </c>
      <c r="O1154" s="2" t="s">
        <v>123</v>
      </c>
      <c r="P1154" s="2" t="s">
        <v>402</v>
      </c>
      <c r="Q1154" s="5">
        <v>44471</v>
      </c>
      <c r="R1154" s="2" t="s">
        <v>93</v>
      </c>
      <c r="S1154" s="2">
        <v>8</v>
      </c>
      <c r="T1154" s="2" t="s">
        <v>33</v>
      </c>
      <c r="U1154" s="2" t="s">
        <v>34</v>
      </c>
      <c r="V1154" s="32">
        <v>17729850</v>
      </c>
      <c r="W1154" s="21">
        <f>9000000+2000000+2000000+2000000+1500000+1229850</f>
        <v>17729850</v>
      </c>
      <c r="X1154" s="11" t="s">
        <v>2891</v>
      </c>
      <c r="Y1154" s="30">
        <f t="shared" si="34"/>
        <v>0</v>
      </c>
      <c r="Z1154" s="41">
        <f t="shared" si="35"/>
        <v>1</v>
      </c>
    </row>
    <row r="1155" spans="1:26" ht="26.25">
      <c r="A1155" s="2">
        <v>1153</v>
      </c>
      <c r="B1155" s="2">
        <v>1291353</v>
      </c>
      <c r="C1155" s="2">
        <v>51005005750017</v>
      </c>
      <c r="D1155" s="2" t="s">
        <v>45</v>
      </c>
      <c r="E1155" s="2">
        <v>5085576</v>
      </c>
      <c r="F1155" s="2">
        <v>993424559</v>
      </c>
      <c r="G1155" s="3">
        <v>36656</v>
      </c>
      <c r="H1155" s="2" t="s">
        <v>1218</v>
      </c>
      <c r="I1155" s="2" t="s">
        <v>2535</v>
      </c>
      <c r="J1155" s="2" t="s">
        <v>117</v>
      </c>
      <c r="K1155" s="2" t="s">
        <v>39</v>
      </c>
      <c r="L1155" s="2" t="s">
        <v>57</v>
      </c>
      <c r="M1155" s="2">
        <v>5310701</v>
      </c>
      <c r="N1155" s="2" t="s">
        <v>118</v>
      </c>
      <c r="O1155" s="2" t="s">
        <v>225</v>
      </c>
      <c r="P1155" s="2" t="s">
        <v>207</v>
      </c>
      <c r="Q1155" s="4">
        <v>42064</v>
      </c>
      <c r="R1155" s="2" t="s">
        <v>62</v>
      </c>
      <c r="S1155" s="2">
        <v>8</v>
      </c>
      <c r="T1155" s="2" t="s">
        <v>33</v>
      </c>
      <c r="U1155" s="2" t="s">
        <v>34</v>
      </c>
      <c r="V1155" s="32">
        <v>20176101</v>
      </c>
      <c r="W1155" s="21">
        <v>12000000</v>
      </c>
      <c r="X1155" s="12" t="s">
        <v>2626</v>
      </c>
      <c r="Y1155" s="30">
        <f t="shared" si="34"/>
        <v>8176101</v>
      </c>
      <c r="Z1155" s="41">
        <f t="shared" si="35"/>
        <v>0.59476308133072886</v>
      </c>
    </row>
    <row r="1156" spans="1:26" ht="26.25">
      <c r="A1156" s="2">
        <v>1154</v>
      </c>
      <c r="B1156" s="2">
        <v>1972299</v>
      </c>
      <c r="C1156" s="2">
        <v>30804890660055</v>
      </c>
      <c r="D1156" s="2" t="s">
        <v>145</v>
      </c>
      <c r="E1156" s="2">
        <v>3921835</v>
      </c>
      <c r="F1156" s="2">
        <v>990001328</v>
      </c>
      <c r="G1156" s="3">
        <v>32606</v>
      </c>
      <c r="H1156" s="2" t="s">
        <v>46</v>
      </c>
      <c r="I1156" s="2" t="s">
        <v>2536</v>
      </c>
      <c r="J1156" s="2" t="s">
        <v>2537</v>
      </c>
      <c r="K1156" s="2" t="s">
        <v>39</v>
      </c>
      <c r="L1156" s="2" t="s">
        <v>27</v>
      </c>
      <c r="M1156" s="2">
        <v>5320102</v>
      </c>
      <c r="N1156" s="2" t="s">
        <v>138</v>
      </c>
      <c r="O1156" s="2" t="s">
        <v>104</v>
      </c>
      <c r="P1156" s="2" t="s">
        <v>140</v>
      </c>
      <c r="Q1156" s="4">
        <v>14824</v>
      </c>
      <c r="R1156" s="2" t="s">
        <v>62</v>
      </c>
      <c r="S1156" s="2">
        <v>8</v>
      </c>
      <c r="T1156" s="2" t="s">
        <v>33</v>
      </c>
      <c r="U1156" s="2" t="s">
        <v>34</v>
      </c>
      <c r="V1156" s="32">
        <v>59781040</v>
      </c>
      <c r="Y1156" s="30">
        <f t="shared" ref="Y1156:Y1216" si="36">V1156-W1156</f>
        <v>59781040</v>
      </c>
      <c r="Z1156" s="41">
        <f t="shared" ref="Z1156:Z1216" si="37">W1156/V1156</f>
        <v>0</v>
      </c>
    </row>
    <row r="1157" spans="1:26" ht="26.25">
      <c r="A1157" s="2">
        <v>1155</v>
      </c>
      <c r="B1157" s="2">
        <v>3282696</v>
      </c>
      <c r="C1157" s="2">
        <v>50802036050058</v>
      </c>
      <c r="D1157" s="2" t="s">
        <v>22</v>
      </c>
      <c r="E1157" s="2">
        <v>1912713</v>
      </c>
      <c r="F1157" s="2">
        <v>995963622</v>
      </c>
      <c r="G1157" s="3">
        <v>37660</v>
      </c>
      <c r="H1157" s="2" t="s">
        <v>636</v>
      </c>
      <c r="I1157" s="2" t="s">
        <v>702</v>
      </c>
      <c r="J1157" s="2" t="s">
        <v>1010</v>
      </c>
      <c r="K1157" s="2" t="s">
        <v>26</v>
      </c>
      <c r="L1157" s="2" t="s">
        <v>27</v>
      </c>
      <c r="M1157" s="2">
        <v>5310602</v>
      </c>
      <c r="N1157" s="2" t="s">
        <v>518</v>
      </c>
      <c r="O1157" s="2">
        <v>63</v>
      </c>
      <c r="P1157" s="2" t="s">
        <v>88</v>
      </c>
      <c r="Q1157" s="5">
        <v>44317</v>
      </c>
      <c r="R1157" s="2" t="s">
        <v>53</v>
      </c>
      <c r="S1157" s="2">
        <v>8</v>
      </c>
      <c r="T1157" s="2" t="s">
        <v>33</v>
      </c>
      <c r="U1157" s="2" t="s">
        <v>34</v>
      </c>
      <c r="V1157" s="32">
        <v>9618915</v>
      </c>
      <c r="W1157" s="24">
        <v>9619000</v>
      </c>
      <c r="X1157" s="14" t="s">
        <v>2644</v>
      </c>
      <c r="Y1157" s="30">
        <f t="shared" si="36"/>
        <v>-85</v>
      </c>
      <c r="Z1157" s="41">
        <f t="shared" si="37"/>
        <v>1.0000088367554969</v>
      </c>
    </row>
    <row r="1158" spans="1:26">
      <c r="A1158" s="2">
        <v>1156</v>
      </c>
      <c r="B1158" s="2">
        <v>1549614</v>
      </c>
      <c r="C1158" s="2">
        <v>52202006140020</v>
      </c>
      <c r="D1158" s="2" t="s">
        <v>45</v>
      </c>
      <c r="E1158" s="2">
        <v>7586027</v>
      </c>
      <c r="F1158" s="2">
        <v>938733777</v>
      </c>
      <c r="G1158" s="3">
        <v>36578</v>
      </c>
      <c r="H1158" s="2" t="s">
        <v>862</v>
      </c>
      <c r="I1158" s="2" t="s">
        <v>2538</v>
      </c>
      <c r="J1158" s="2" t="s">
        <v>2048</v>
      </c>
      <c r="K1158" s="2" t="s">
        <v>26</v>
      </c>
      <c r="L1158" s="2" t="s">
        <v>57</v>
      </c>
      <c r="M1158" s="2">
        <v>5310202</v>
      </c>
      <c r="N1158" s="2" t="s">
        <v>86</v>
      </c>
      <c r="O1158" s="2" t="s">
        <v>179</v>
      </c>
      <c r="P1158" s="2" t="s">
        <v>88</v>
      </c>
      <c r="Q1158" s="4">
        <v>11110</v>
      </c>
      <c r="R1158" s="2" t="s">
        <v>53</v>
      </c>
      <c r="S1158" s="2">
        <v>8</v>
      </c>
      <c r="T1158" s="2" t="s">
        <v>33</v>
      </c>
      <c r="U1158" s="2" t="s">
        <v>34</v>
      </c>
      <c r="V1158" s="32">
        <v>51300880</v>
      </c>
      <c r="Y1158" s="30">
        <f t="shared" si="36"/>
        <v>51300880</v>
      </c>
      <c r="Z1158" s="41">
        <f t="shared" si="37"/>
        <v>0</v>
      </c>
    </row>
    <row r="1159" spans="1:26" ht="26.25">
      <c r="A1159" s="2">
        <v>1157</v>
      </c>
      <c r="B1159" s="2">
        <v>2191792</v>
      </c>
      <c r="C1159" s="2">
        <v>51403026500022</v>
      </c>
      <c r="D1159" s="2" t="s">
        <v>45</v>
      </c>
      <c r="E1159" s="2">
        <v>9076770</v>
      </c>
      <c r="F1159" s="2">
        <v>930005249</v>
      </c>
      <c r="G1159" s="3">
        <v>37329</v>
      </c>
      <c r="H1159" s="2" t="s">
        <v>1090</v>
      </c>
      <c r="I1159" s="2" t="s">
        <v>2539</v>
      </c>
      <c r="J1159" s="2" t="s">
        <v>763</v>
      </c>
      <c r="K1159" s="2" t="s">
        <v>39</v>
      </c>
      <c r="L1159" s="2" t="s">
        <v>27</v>
      </c>
      <c r="M1159" s="2">
        <v>5340202</v>
      </c>
      <c r="N1159" s="2" t="s">
        <v>499</v>
      </c>
      <c r="O1159" s="2" t="s">
        <v>1089</v>
      </c>
      <c r="P1159" s="2" t="s">
        <v>490</v>
      </c>
      <c r="Q1159" s="5">
        <v>44317</v>
      </c>
      <c r="R1159" s="2" t="s">
        <v>44</v>
      </c>
      <c r="S1159" s="2">
        <v>8</v>
      </c>
      <c r="T1159" s="2" t="s">
        <v>33</v>
      </c>
      <c r="U1159" s="2" t="s">
        <v>34</v>
      </c>
      <c r="V1159" s="32" t="s">
        <v>2724</v>
      </c>
      <c r="W1159" s="21">
        <f>6164920+6164920</f>
        <v>12329840</v>
      </c>
      <c r="X1159" s="10" t="s">
        <v>2823</v>
      </c>
      <c r="Y1159" s="30">
        <f t="shared" si="36"/>
        <v>-0.5</v>
      </c>
      <c r="Z1159" s="41">
        <f t="shared" si="37"/>
        <v>1.0000000405520282</v>
      </c>
    </row>
    <row r="1160" spans="1:26">
      <c r="A1160" s="2">
        <v>1158</v>
      </c>
      <c r="B1160" s="2">
        <v>2373859</v>
      </c>
      <c r="C1160" s="2">
        <v>50805016820012</v>
      </c>
      <c r="D1160" s="2" t="s">
        <v>45</v>
      </c>
      <c r="E1160" s="2">
        <v>6655720</v>
      </c>
      <c r="F1160" s="2">
        <v>998377737</v>
      </c>
      <c r="G1160" s="3">
        <v>37019</v>
      </c>
      <c r="H1160" s="2" t="s">
        <v>2540</v>
      </c>
      <c r="I1160" s="2" t="s">
        <v>2541</v>
      </c>
      <c r="J1160" s="2" t="s">
        <v>2542</v>
      </c>
      <c r="K1160" s="2" t="s">
        <v>26</v>
      </c>
      <c r="L1160" s="2" t="s">
        <v>27</v>
      </c>
      <c r="M1160" s="2">
        <v>5231900</v>
      </c>
      <c r="N1160" s="2" t="s">
        <v>1747</v>
      </c>
      <c r="O1160" s="2" t="s">
        <v>420</v>
      </c>
      <c r="P1160" s="2" t="s">
        <v>68</v>
      </c>
      <c r="Q1160" s="2" t="s">
        <v>166</v>
      </c>
      <c r="R1160" s="2" t="s">
        <v>134</v>
      </c>
      <c r="S1160" s="2">
        <v>10</v>
      </c>
      <c r="T1160" s="2" t="s">
        <v>33</v>
      </c>
      <c r="U1160" s="2" t="s">
        <v>34</v>
      </c>
      <c r="V1160" s="32">
        <v>182598600</v>
      </c>
      <c r="Y1160" s="30">
        <f t="shared" si="36"/>
        <v>182598600</v>
      </c>
      <c r="Z1160" s="41">
        <f t="shared" si="37"/>
        <v>0</v>
      </c>
    </row>
    <row r="1161" spans="1:26" ht="26.25">
      <c r="A1161" s="2">
        <v>1159</v>
      </c>
      <c r="B1161" s="2">
        <v>3431078</v>
      </c>
      <c r="C1161" s="2">
        <v>50110036050090</v>
      </c>
      <c r="D1161" s="2" t="s">
        <v>22</v>
      </c>
      <c r="E1161" s="2">
        <v>3107464</v>
      </c>
      <c r="F1161" s="2">
        <v>999259084</v>
      </c>
      <c r="G1161" s="3">
        <v>37895</v>
      </c>
      <c r="H1161" s="2" t="s">
        <v>1277</v>
      </c>
      <c r="I1161" s="2" t="s">
        <v>2543</v>
      </c>
      <c r="J1161" s="2" t="s">
        <v>1064</v>
      </c>
      <c r="K1161" s="2" t="s">
        <v>39</v>
      </c>
      <c r="L1161" s="2" t="s">
        <v>27</v>
      </c>
      <c r="M1161" s="2">
        <v>5230902</v>
      </c>
      <c r="N1161" s="2" t="s">
        <v>251</v>
      </c>
      <c r="O1161" s="2" t="s">
        <v>490</v>
      </c>
      <c r="P1161" s="2" t="s">
        <v>252</v>
      </c>
      <c r="Q1161" s="4">
        <v>42064</v>
      </c>
      <c r="R1161" s="2" t="s">
        <v>82</v>
      </c>
      <c r="S1161" s="2">
        <v>10</v>
      </c>
      <c r="T1161" s="2" t="s">
        <v>33</v>
      </c>
      <c r="U1161" s="2" t="s">
        <v>34</v>
      </c>
      <c r="V1161" s="32">
        <v>31385046</v>
      </c>
      <c r="W1161" s="20">
        <v>15637000</v>
      </c>
      <c r="X1161" s="2" t="s">
        <v>2686</v>
      </c>
      <c r="Y1161" s="30">
        <f t="shared" si="36"/>
        <v>15748046</v>
      </c>
      <c r="Z1161" s="41">
        <f t="shared" si="37"/>
        <v>0.49823090907688966</v>
      </c>
    </row>
    <row r="1162" spans="1:26" ht="26.25">
      <c r="A1162" s="2">
        <v>1160</v>
      </c>
      <c r="B1162" s="2">
        <v>2645456</v>
      </c>
      <c r="C1162" s="2">
        <v>30605946090017</v>
      </c>
      <c r="D1162" s="2" t="s">
        <v>145</v>
      </c>
      <c r="E1162" s="2">
        <v>900702</v>
      </c>
      <c r="F1162" s="2">
        <v>915268410</v>
      </c>
      <c r="G1162" s="3">
        <v>34460</v>
      </c>
      <c r="H1162" s="2" t="s">
        <v>2544</v>
      </c>
      <c r="I1162" s="2" t="s">
        <v>2545</v>
      </c>
      <c r="J1162" s="2" t="s">
        <v>2546</v>
      </c>
      <c r="K1162" s="2" t="s">
        <v>39</v>
      </c>
      <c r="L1162" s="2" t="s">
        <v>27</v>
      </c>
      <c r="M1162" s="2">
        <v>5340601</v>
      </c>
      <c r="N1162" s="2" t="s">
        <v>110</v>
      </c>
      <c r="O1162" s="2" t="s">
        <v>104</v>
      </c>
      <c r="P1162" s="2">
        <v>84</v>
      </c>
      <c r="Q1162" s="2" t="s">
        <v>170</v>
      </c>
      <c r="R1162" s="2" t="s">
        <v>44</v>
      </c>
      <c r="S1162" s="2">
        <v>8</v>
      </c>
      <c r="T1162" s="2" t="s">
        <v>33</v>
      </c>
      <c r="U1162" s="2" t="s">
        <v>34</v>
      </c>
      <c r="V1162" s="32" t="s">
        <v>2722</v>
      </c>
      <c r="W1162" s="20">
        <f>24500000+6500000</f>
        <v>31000000</v>
      </c>
      <c r="X1162" s="2" t="s">
        <v>2746</v>
      </c>
      <c r="Y1162" s="30">
        <f t="shared" si="36"/>
        <v>28183229.600000001</v>
      </c>
      <c r="Z1162" s="41">
        <f t="shared" si="37"/>
        <v>0.52379703185376691</v>
      </c>
    </row>
    <row r="1163" spans="1:26" ht="26.25">
      <c r="A1163" s="2">
        <v>1161</v>
      </c>
      <c r="B1163" s="2">
        <v>1685839</v>
      </c>
      <c r="C1163" s="2">
        <v>30703942360029</v>
      </c>
      <c r="D1163" s="2" t="s">
        <v>145</v>
      </c>
      <c r="E1163" s="2">
        <v>1401658</v>
      </c>
      <c r="F1163" s="2">
        <v>942275454</v>
      </c>
      <c r="G1163" s="3">
        <v>34400</v>
      </c>
      <c r="H1163" s="2" t="s">
        <v>2547</v>
      </c>
      <c r="I1163" s="2" t="s">
        <v>1496</v>
      </c>
      <c r="J1163" s="2" t="s">
        <v>1995</v>
      </c>
      <c r="K1163" s="2" t="s">
        <v>39</v>
      </c>
      <c r="L1163" s="2" t="s">
        <v>27</v>
      </c>
      <c r="M1163" s="2">
        <v>5340605</v>
      </c>
      <c r="N1163" s="2" t="s">
        <v>40</v>
      </c>
      <c r="O1163" s="2" t="s">
        <v>198</v>
      </c>
      <c r="P1163" s="2" t="s">
        <v>42</v>
      </c>
      <c r="Q1163" s="2" t="s">
        <v>775</v>
      </c>
      <c r="R1163" s="2" t="s">
        <v>44</v>
      </c>
      <c r="S1163" s="2">
        <v>8</v>
      </c>
      <c r="T1163" s="2" t="s">
        <v>33</v>
      </c>
      <c r="U1163" s="2" t="s">
        <v>34</v>
      </c>
      <c r="V1163" s="32" t="s">
        <v>2722</v>
      </c>
      <c r="W1163" s="21">
        <f>33000000+8000000+5000000</f>
        <v>46000000</v>
      </c>
      <c r="X1163" s="10" t="s">
        <v>2918</v>
      </c>
      <c r="Y1163" s="30">
        <f t="shared" si="36"/>
        <v>13183229.600000001</v>
      </c>
      <c r="Z1163" s="41">
        <f t="shared" si="37"/>
        <v>0.77724720855720253</v>
      </c>
    </row>
    <row r="1164" spans="1:26" ht="39">
      <c r="A1164" s="2">
        <v>1162</v>
      </c>
      <c r="B1164" s="2">
        <v>1855724</v>
      </c>
      <c r="C1164" s="2">
        <v>30607941140021</v>
      </c>
      <c r="D1164" s="2" t="s">
        <v>145</v>
      </c>
      <c r="E1164" s="2">
        <v>5488044</v>
      </c>
      <c r="F1164" s="2">
        <v>997070694</v>
      </c>
      <c r="G1164" s="3">
        <v>34521</v>
      </c>
      <c r="H1164" s="2" t="s">
        <v>1784</v>
      </c>
      <c r="I1164" s="2" t="s">
        <v>2548</v>
      </c>
      <c r="J1164" s="2" t="s">
        <v>571</v>
      </c>
      <c r="K1164" s="2" t="s">
        <v>39</v>
      </c>
      <c r="L1164" s="2" t="s">
        <v>27</v>
      </c>
      <c r="M1164" s="2">
        <v>5311003</v>
      </c>
      <c r="N1164" s="2" t="s">
        <v>144</v>
      </c>
      <c r="O1164" s="2" t="s">
        <v>104</v>
      </c>
      <c r="P1164" s="2" t="s">
        <v>79</v>
      </c>
      <c r="Q1164" s="2" t="s">
        <v>111</v>
      </c>
      <c r="R1164" s="2" t="s">
        <v>62</v>
      </c>
      <c r="S1164" s="2">
        <v>8</v>
      </c>
      <c r="T1164" s="2" t="s">
        <v>33</v>
      </c>
      <c r="U1164" s="2" t="s">
        <v>34</v>
      </c>
      <c r="V1164" s="32">
        <v>53802936</v>
      </c>
      <c r="W1164" s="20">
        <v>30000000</v>
      </c>
      <c r="X1164" s="2" t="s">
        <v>2663</v>
      </c>
      <c r="Y1164" s="30">
        <f t="shared" si="36"/>
        <v>23802936</v>
      </c>
      <c r="Z1164" s="41">
        <f t="shared" si="37"/>
        <v>0.55759038874755829</v>
      </c>
    </row>
    <row r="1165" spans="1:26">
      <c r="A1165" s="2">
        <v>1163</v>
      </c>
      <c r="B1165" s="2">
        <v>3517970</v>
      </c>
      <c r="C1165" s="2">
        <v>52008035650057</v>
      </c>
      <c r="D1165" s="2" t="s">
        <v>22</v>
      </c>
      <c r="E1165" s="2">
        <v>2288153</v>
      </c>
      <c r="F1165" s="2">
        <v>919477547</v>
      </c>
      <c r="G1165" s="3">
        <v>37853</v>
      </c>
      <c r="H1165" s="2" t="s">
        <v>1169</v>
      </c>
      <c r="I1165" s="2" t="s">
        <v>2549</v>
      </c>
      <c r="J1165" s="2" t="s">
        <v>454</v>
      </c>
      <c r="K1165" s="2" t="s">
        <v>26</v>
      </c>
      <c r="L1165" s="2" t="s">
        <v>27</v>
      </c>
      <c r="M1165" s="2">
        <v>5231900</v>
      </c>
      <c r="N1165" s="2" t="s">
        <v>1747</v>
      </c>
      <c r="O1165" s="2" t="s">
        <v>42</v>
      </c>
      <c r="P1165" s="2" t="s">
        <v>68</v>
      </c>
      <c r="Q1165" s="4">
        <v>11110</v>
      </c>
      <c r="R1165" s="2" t="s">
        <v>134</v>
      </c>
      <c r="S1165" s="2">
        <v>10</v>
      </c>
      <c r="T1165" s="2" t="s">
        <v>33</v>
      </c>
      <c r="U1165" s="2" t="s">
        <v>34</v>
      </c>
      <c r="V1165" s="32">
        <v>91299300</v>
      </c>
      <c r="Y1165" s="30">
        <f t="shared" si="36"/>
        <v>91299300</v>
      </c>
      <c r="Z1165" s="41">
        <f t="shared" si="37"/>
        <v>0</v>
      </c>
    </row>
    <row r="1166" spans="1:26" ht="26.25">
      <c r="A1166" s="2">
        <v>1164</v>
      </c>
      <c r="B1166" s="2">
        <v>1874427</v>
      </c>
      <c r="C1166" s="2">
        <v>33112996840031</v>
      </c>
      <c r="D1166" s="2" t="s">
        <v>45</v>
      </c>
      <c r="E1166" s="2">
        <v>6159808</v>
      </c>
      <c r="F1166" s="2">
        <v>994046963</v>
      </c>
      <c r="G1166" s="3">
        <v>36525</v>
      </c>
      <c r="H1166" s="2" t="s">
        <v>183</v>
      </c>
      <c r="I1166" s="2" t="s">
        <v>2411</v>
      </c>
      <c r="J1166" s="2" t="s">
        <v>1335</v>
      </c>
      <c r="K1166" s="2" t="s">
        <v>39</v>
      </c>
      <c r="L1166" s="2" t="s">
        <v>57</v>
      </c>
      <c r="M1166" s="2">
        <v>5620702</v>
      </c>
      <c r="N1166" s="2" t="s">
        <v>159</v>
      </c>
      <c r="O1166" s="2" t="s">
        <v>207</v>
      </c>
      <c r="P1166" s="2" t="s">
        <v>139</v>
      </c>
      <c r="Q1166" s="5">
        <v>44317</v>
      </c>
      <c r="R1166" s="2" t="s">
        <v>62</v>
      </c>
      <c r="S1166" s="2">
        <v>8</v>
      </c>
      <c r="T1166" s="2" t="s">
        <v>33</v>
      </c>
      <c r="U1166" s="2" t="s">
        <v>34</v>
      </c>
      <c r="V1166" s="32" t="s">
        <v>2813</v>
      </c>
      <c r="W1166" s="21">
        <v>7000000</v>
      </c>
      <c r="X1166" s="12" t="s">
        <v>2647</v>
      </c>
      <c r="Y1166" s="30">
        <f t="shared" si="36"/>
        <v>3088050.5</v>
      </c>
      <c r="Z1166" s="41">
        <f t="shared" si="37"/>
        <v>0.69389026155251698</v>
      </c>
    </row>
    <row r="1167" spans="1:26" ht="39">
      <c r="A1167" s="2">
        <v>1165</v>
      </c>
      <c r="B1167" s="2">
        <v>2499187</v>
      </c>
      <c r="C1167" s="2">
        <v>53112026530051</v>
      </c>
      <c r="D1167" s="2" t="s">
        <v>22</v>
      </c>
      <c r="E1167" s="2">
        <v>2877314</v>
      </c>
      <c r="F1167" s="2">
        <v>998598646</v>
      </c>
      <c r="G1167" s="3">
        <v>37621</v>
      </c>
      <c r="H1167" s="2" t="s">
        <v>1169</v>
      </c>
      <c r="I1167" s="2" t="s">
        <v>470</v>
      </c>
      <c r="J1167" s="2" t="s">
        <v>2550</v>
      </c>
      <c r="K1167" s="2" t="s">
        <v>39</v>
      </c>
      <c r="L1167" s="2" t="s">
        <v>27</v>
      </c>
      <c r="M1167" s="2">
        <v>5320200</v>
      </c>
      <c r="N1167" s="2" t="s">
        <v>66</v>
      </c>
      <c r="O1167" s="2" t="s">
        <v>225</v>
      </c>
      <c r="P1167" s="2" t="s">
        <v>68</v>
      </c>
      <c r="Q1167" s="2" t="s">
        <v>111</v>
      </c>
      <c r="R1167" s="2" t="s">
        <v>62</v>
      </c>
      <c r="S1167" s="2">
        <v>8</v>
      </c>
      <c r="T1167" s="2" t="s">
        <v>33</v>
      </c>
      <c r="U1167" s="2" t="s">
        <v>34</v>
      </c>
      <c r="V1167" s="32">
        <v>59781040</v>
      </c>
      <c r="Y1167" s="30">
        <f t="shared" si="36"/>
        <v>59781040</v>
      </c>
      <c r="Z1167" s="41">
        <f t="shared" si="37"/>
        <v>0</v>
      </c>
    </row>
    <row r="1168" spans="1:26" ht="26.25">
      <c r="A1168" s="2">
        <v>1166</v>
      </c>
      <c r="B1168" s="2">
        <v>3499869</v>
      </c>
      <c r="C1168" s="2">
        <v>52112036500078</v>
      </c>
      <c r="D1168" s="2" t="s">
        <v>22</v>
      </c>
      <c r="E1168" s="2">
        <v>3203850</v>
      </c>
      <c r="F1168" s="2">
        <v>900243814</v>
      </c>
      <c r="G1168" s="3">
        <v>37976</v>
      </c>
      <c r="H1168" s="2" t="s">
        <v>89</v>
      </c>
      <c r="I1168" s="2" t="s">
        <v>2551</v>
      </c>
      <c r="J1168" s="2" t="s">
        <v>1342</v>
      </c>
      <c r="K1168" s="2" t="s">
        <v>26</v>
      </c>
      <c r="L1168" s="2" t="s">
        <v>27</v>
      </c>
      <c r="M1168" s="2">
        <v>5310605</v>
      </c>
      <c r="N1168" s="2" t="s">
        <v>97</v>
      </c>
      <c r="O1168" s="2" t="s">
        <v>179</v>
      </c>
      <c r="P1168" s="2" t="s">
        <v>98</v>
      </c>
      <c r="Q1168" s="2" t="s">
        <v>818</v>
      </c>
      <c r="R1168" s="2" t="s">
        <v>53</v>
      </c>
      <c r="S1168" s="2">
        <v>8</v>
      </c>
      <c r="T1168" s="2" t="s">
        <v>33</v>
      </c>
      <c r="U1168" s="2" t="s">
        <v>34</v>
      </c>
      <c r="V1168" s="32">
        <v>51300880</v>
      </c>
      <c r="W1168" s="20">
        <f>13000000+12850000</f>
        <v>25850000</v>
      </c>
      <c r="X1168" t="s">
        <v>2745</v>
      </c>
      <c r="Y1168" s="30">
        <f t="shared" si="36"/>
        <v>25450880</v>
      </c>
      <c r="Z1168" s="41">
        <f t="shared" si="37"/>
        <v>0.50388999175062887</v>
      </c>
    </row>
    <row r="1169" spans="1:27" ht="26.25">
      <c r="A1169" s="2">
        <v>1167</v>
      </c>
      <c r="B1169" s="2">
        <v>2160621</v>
      </c>
      <c r="C1169" s="2">
        <v>52406016830014</v>
      </c>
      <c r="D1169" s="2" t="s">
        <v>45</v>
      </c>
      <c r="E1169" s="2">
        <v>7043567</v>
      </c>
      <c r="F1169" s="2">
        <v>931875780</v>
      </c>
      <c r="G1169" s="3">
        <v>37066</v>
      </c>
      <c r="H1169" s="2" t="s">
        <v>916</v>
      </c>
      <c r="I1169" s="2" t="s">
        <v>1229</v>
      </c>
      <c r="J1169" s="2" t="s">
        <v>2552</v>
      </c>
      <c r="K1169" s="2" t="s">
        <v>26</v>
      </c>
      <c r="L1169" s="2" t="s">
        <v>27</v>
      </c>
      <c r="M1169" s="2">
        <v>5320102</v>
      </c>
      <c r="N1169" s="2" t="s">
        <v>138</v>
      </c>
      <c r="O1169" s="2" t="s">
        <v>104</v>
      </c>
      <c r="P1169" s="2" t="s">
        <v>154</v>
      </c>
      <c r="Q1169" s="5">
        <v>44317</v>
      </c>
      <c r="R1169" s="2" t="s">
        <v>53</v>
      </c>
      <c r="S1169" s="2">
        <v>8</v>
      </c>
      <c r="T1169" s="2" t="s">
        <v>33</v>
      </c>
      <c r="U1169" s="2" t="s">
        <v>34</v>
      </c>
      <c r="V1169" s="29" t="s">
        <v>2735</v>
      </c>
      <c r="W1169" s="21">
        <v>6400000</v>
      </c>
      <c r="X1169" s="10" t="s">
        <v>2648</v>
      </c>
      <c r="Y1169" s="30">
        <f t="shared" si="36"/>
        <v>2257023.5</v>
      </c>
      <c r="Z1169" s="41">
        <f t="shared" si="37"/>
        <v>0.7392841199980571</v>
      </c>
    </row>
    <row r="1170" spans="1:27">
      <c r="A1170" s="2">
        <v>1168</v>
      </c>
      <c r="B1170" s="2">
        <v>2847044</v>
      </c>
      <c r="C1170" s="2">
        <v>50510015830015</v>
      </c>
      <c r="D1170" s="2" t="s">
        <v>45</v>
      </c>
      <c r="E1170" s="2">
        <v>8298300</v>
      </c>
      <c r="F1170" s="2">
        <v>942228737</v>
      </c>
      <c r="G1170" s="3">
        <v>37169</v>
      </c>
      <c r="H1170" s="2" t="s">
        <v>441</v>
      </c>
      <c r="I1170" s="2" t="s">
        <v>2553</v>
      </c>
      <c r="J1170" s="2" t="s">
        <v>1073</v>
      </c>
      <c r="K1170" s="2" t="s">
        <v>26</v>
      </c>
      <c r="L1170" s="2" t="s">
        <v>27</v>
      </c>
      <c r="M1170" s="2">
        <v>5240109</v>
      </c>
      <c r="N1170" s="2" t="s">
        <v>28</v>
      </c>
      <c r="O1170" s="2" t="s">
        <v>2554</v>
      </c>
      <c r="P1170" s="2" t="s">
        <v>30</v>
      </c>
      <c r="Q1170" s="2" t="s">
        <v>59</v>
      </c>
      <c r="R1170" s="2" t="s">
        <v>32</v>
      </c>
      <c r="S1170" s="2">
        <v>25</v>
      </c>
      <c r="T1170" s="2" t="s">
        <v>33</v>
      </c>
      <c r="U1170" s="2" t="s">
        <v>34</v>
      </c>
      <c r="V1170" s="32">
        <v>245231500</v>
      </c>
      <c r="Y1170" s="30">
        <f t="shared" si="36"/>
        <v>245231500</v>
      </c>
      <c r="Z1170" s="41">
        <f t="shared" si="37"/>
        <v>0</v>
      </c>
    </row>
    <row r="1171" spans="1:27">
      <c r="A1171" s="2">
        <v>1169</v>
      </c>
      <c r="B1171" s="2">
        <v>1454429</v>
      </c>
      <c r="C1171" s="2">
        <v>61509016530015</v>
      </c>
      <c r="D1171" s="2" t="s">
        <v>45</v>
      </c>
      <c r="E1171" s="2">
        <v>7772820</v>
      </c>
      <c r="F1171" s="2">
        <v>998029923</v>
      </c>
      <c r="G1171" s="3">
        <v>37149</v>
      </c>
      <c r="H1171" s="2" t="s">
        <v>1681</v>
      </c>
      <c r="I1171" s="2" t="s">
        <v>2555</v>
      </c>
      <c r="J1171" s="2" t="s">
        <v>2556</v>
      </c>
      <c r="K1171" s="2" t="s">
        <v>39</v>
      </c>
      <c r="L1171" s="2" t="s">
        <v>57</v>
      </c>
      <c r="M1171" s="2">
        <v>5620400</v>
      </c>
      <c r="N1171" s="2" t="s">
        <v>103</v>
      </c>
      <c r="O1171" s="2" t="s">
        <v>225</v>
      </c>
      <c r="P1171" s="2" t="s">
        <v>139</v>
      </c>
      <c r="Q1171" s="4">
        <v>43922</v>
      </c>
      <c r="R1171" s="2" t="s">
        <v>62</v>
      </c>
      <c r="S1171" s="2">
        <v>8</v>
      </c>
      <c r="T1171" s="2" t="s">
        <v>33</v>
      </c>
      <c r="U1171" s="2" t="s">
        <v>34</v>
      </c>
      <c r="V1171" s="32">
        <v>59781040</v>
      </c>
      <c r="Y1171" s="30">
        <f t="shared" si="36"/>
        <v>59781040</v>
      </c>
      <c r="Z1171" s="41">
        <f t="shared" si="37"/>
        <v>0</v>
      </c>
    </row>
    <row r="1172" spans="1:27" ht="15.75">
      <c r="A1172" s="2">
        <v>1170</v>
      </c>
      <c r="B1172" s="2">
        <v>3659208</v>
      </c>
      <c r="C1172" s="2">
        <v>52702047000010</v>
      </c>
      <c r="D1172" s="2" t="s">
        <v>22</v>
      </c>
      <c r="E1172" s="2">
        <v>2814794</v>
      </c>
      <c r="F1172" s="2">
        <v>911390003</v>
      </c>
      <c r="G1172" s="3">
        <v>38044</v>
      </c>
      <c r="H1172" s="2" t="s">
        <v>2557</v>
      </c>
      <c r="I1172" s="2" t="s">
        <v>2558</v>
      </c>
      <c r="J1172" s="2" t="s">
        <v>2559</v>
      </c>
      <c r="K1172" s="2" t="s">
        <v>26</v>
      </c>
      <c r="L1172" s="2" t="s">
        <v>27</v>
      </c>
      <c r="M1172" s="2">
        <v>5620600</v>
      </c>
      <c r="N1172" s="2" t="s">
        <v>1528</v>
      </c>
      <c r="O1172" s="2" t="s">
        <v>140</v>
      </c>
      <c r="P1172" s="2" t="s">
        <v>345</v>
      </c>
      <c r="Q1172" s="2" t="s">
        <v>775</v>
      </c>
      <c r="R1172" s="2" t="s">
        <v>53</v>
      </c>
      <c r="S1172" s="2">
        <v>8</v>
      </c>
      <c r="T1172" s="2" t="s">
        <v>33</v>
      </c>
      <c r="U1172" s="2" t="s">
        <v>34</v>
      </c>
      <c r="V1172" s="32">
        <v>46170792</v>
      </c>
      <c r="W1172" s="21">
        <v>30000000</v>
      </c>
      <c r="X1172" s="10" t="s">
        <v>2628</v>
      </c>
      <c r="Y1172" s="30">
        <f t="shared" si="36"/>
        <v>16170792</v>
      </c>
      <c r="Z1172" s="41">
        <f t="shared" si="37"/>
        <v>0.6497614335920423</v>
      </c>
    </row>
    <row r="1173" spans="1:27" ht="26.25">
      <c r="A1173" s="2">
        <v>1171</v>
      </c>
      <c r="B1173" s="2">
        <v>3528762</v>
      </c>
      <c r="C1173" s="2">
        <v>30901943170023</v>
      </c>
      <c r="D1173" s="2" t="s">
        <v>145</v>
      </c>
      <c r="E1173" s="2">
        <v>7956105</v>
      </c>
      <c r="F1173" s="2">
        <v>971881503</v>
      </c>
      <c r="G1173" s="3">
        <v>34343</v>
      </c>
      <c r="H1173" s="2" t="s">
        <v>2181</v>
      </c>
      <c r="I1173" s="2" t="s">
        <v>1242</v>
      </c>
      <c r="J1173" s="2" t="s">
        <v>359</v>
      </c>
      <c r="K1173" s="2" t="s">
        <v>39</v>
      </c>
      <c r="L1173" s="2" t="s">
        <v>27</v>
      </c>
      <c r="M1173" s="2">
        <v>5340603</v>
      </c>
      <c r="N1173" s="2" t="s">
        <v>174</v>
      </c>
      <c r="O1173" s="2" t="s">
        <v>296</v>
      </c>
      <c r="P1173" s="2" t="s">
        <v>175</v>
      </c>
      <c r="Q1173" s="2" t="s">
        <v>591</v>
      </c>
      <c r="R1173" s="2" t="s">
        <v>44</v>
      </c>
      <c r="S1173" s="2">
        <v>8</v>
      </c>
      <c r="T1173" s="2" t="s">
        <v>33</v>
      </c>
      <c r="U1173" s="2" t="s">
        <v>34</v>
      </c>
      <c r="V1173" s="32" t="s">
        <v>2722</v>
      </c>
      <c r="W1173" s="20">
        <f>32879572+26304000</f>
        <v>59183572</v>
      </c>
      <c r="X1173" s="2" t="s">
        <v>2933</v>
      </c>
      <c r="Y1173" s="30">
        <f t="shared" si="36"/>
        <v>-342.39999999850988</v>
      </c>
      <c r="Z1173" s="41">
        <f t="shared" si="37"/>
        <v>1.0000057854227002</v>
      </c>
    </row>
    <row r="1174" spans="1:27" ht="26.25">
      <c r="A1174" s="2">
        <v>1172</v>
      </c>
      <c r="B1174" s="2">
        <v>1706652</v>
      </c>
      <c r="C1174" s="2">
        <v>30706883470019</v>
      </c>
      <c r="D1174" s="2" t="s">
        <v>35</v>
      </c>
      <c r="E1174" s="2">
        <v>16539</v>
      </c>
      <c r="F1174" s="2">
        <v>932008677</v>
      </c>
      <c r="G1174" s="3">
        <v>32301</v>
      </c>
      <c r="H1174" s="2" t="s">
        <v>2560</v>
      </c>
      <c r="I1174" s="2" t="s">
        <v>2561</v>
      </c>
      <c r="J1174" s="2" t="s">
        <v>2562</v>
      </c>
      <c r="K1174" s="2" t="s">
        <v>39</v>
      </c>
      <c r="L1174" s="2" t="s">
        <v>57</v>
      </c>
      <c r="M1174" s="2">
        <v>5310701</v>
      </c>
      <c r="N1174" s="2" t="s">
        <v>118</v>
      </c>
      <c r="O1174" s="2" t="s">
        <v>469</v>
      </c>
      <c r="P1174" s="2" t="s">
        <v>207</v>
      </c>
      <c r="Q1174" s="2" t="s">
        <v>61</v>
      </c>
      <c r="R1174" s="2" t="s">
        <v>62</v>
      </c>
      <c r="S1174" s="2">
        <v>8</v>
      </c>
      <c r="T1174" s="2" t="s">
        <v>33</v>
      </c>
      <c r="U1174" s="2" t="s">
        <v>34</v>
      </c>
      <c r="V1174" s="32">
        <v>107605872</v>
      </c>
      <c r="W1174" s="20">
        <v>60000000</v>
      </c>
      <c r="X1174" s="2" t="s">
        <v>2678</v>
      </c>
      <c r="Y1174" s="30">
        <f t="shared" si="36"/>
        <v>47605872</v>
      </c>
      <c r="Z1174" s="41">
        <f t="shared" si="37"/>
        <v>0.55759038874755829</v>
      </c>
    </row>
    <row r="1175" spans="1:27" ht="15.75">
      <c r="A1175" s="2">
        <v>1173</v>
      </c>
      <c r="B1175" s="2">
        <v>2777473</v>
      </c>
      <c r="C1175" s="2">
        <v>31105920211207</v>
      </c>
      <c r="D1175" s="2" t="s">
        <v>145</v>
      </c>
      <c r="E1175" s="2">
        <v>884206</v>
      </c>
      <c r="F1175" s="2">
        <v>900142667</v>
      </c>
      <c r="G1175" s="3">
        <v>33735</v>
      </c>
      <c r="H1175" s="2" t="s">
        <v>463</v>
      </c>
      <c r="I1175" s="2" t="s">
        <v>2018</v>
      </c>
      <c r="J1175" s="2" t="s">
        <v>2563</v>
      </c>
      <c r="K1175" s="2" t="s">
        <v>39</v>
      </c>
      <c r="L1175" s="2" t="s">
        <v>57</v>
      </c>
      <c r="M1175" s="2">
        <v>5620400</v>
      </c>
      <c r="N1175" s="2" t="s">
        <v>103</v>
      </c>
      <c r="O1175" s="2">
        <v>63</v>
      </c>
      <c r="P1175" s="2" t="s">
        <v>139</v>
      </c>
      <c r="Q1175" s="4">
        <v>12966</v>
      </c>
      <c r="R1175" s="2" t="s">
        <v>62</v>
      </c>
      <c r="S1175" s="2">
        <v>8</v>
      </c>
      <c r="T1175" s="2" t="s">
        <v>33</v>
      </c>
      <c r="U1175" s="2" t="s">
        <v>34</v>
      </c>
      <c r="V1175" s="46">
        <f>59781040-5978104</f>
        <v>53802936</v>
      </c>
      <c r="W1175" s="21">
        <f>29890520+11956208</f>
        <v>41846728</v>
      </c>
      <c r="X1175" s="10" t="s">
        <v>2965</v>
      </c>
      <c r="Y1175" s="30">
        <f t="shared" si="36"/>
        <v>11956208</v>
      </c>
      <c r="Z1175" s="41">
        <f t="shared" si="37"/>
        <v>0.77777777777777779</v>
      </c>
      <c r="AA1175" s="42" t="s">
        <v>2798</v>
      </c>
    </row>
    <row r="1176" spans="1:27" ht="15.75">
      <c r="A1176" s="2">
        <v>1174</v>
      </c>
      <c r="B1176" s="2">
        <v>3796384</v>
      </c>
      <c r="C1176" s="2">
        <v>32006892940016</v>
      </c>
      <c r="D1176" s="2" t="s">
        <v>145</v>
      </c>
      <c r="E1176" s="2">
        <v>2189391</v>
      </c>
      <c r="F1176" s="2">
        <v>994727519</v>
      </c>
      <c r="G1176" s="3">
        <v>32679</v>
      </c>
      <c r="H1176" s="2" t="s">
        <v>862</v>
      </c>
      <c r="I1176" s="2" t="s">
        <v>2564</v>
      </c>
      <c r="J1176" s="2" t="s">
        <v>2565</v>
      </c>
      <c r="K1176" s="2" t="s">
        <v>39</v>
      </c>
      <c r="L1176" s="2" t="s">
        <v>27</v>
      </c>
      <c r="M1176" s="2">
        <v>5620400</v>
      </c>
      <c r="N1176" s="2" t="s">
        <v>103</v>
      </c>
      <c r="O1176" s="2" t="s">
        <v>225</v>
      </c>
      <c r="P1176" s="2" t="s">
        <v>123</v>
      </c>
      <c r="Q1176" s="2" t="s">
        <v>440</v>
      </c>
      <c r="R1176" s="2" t="s">
        <v>62</v>
      </c>
      <c r="S1176" s="2">
        <v>8</v>
      </c>
      <c r="T1176" s="2" t="s">
        <v>33</v>
      </c>
      <c r="U1176" s="2" t="s">
        <v>34</v>
      </c>
      <c r="V1176" s="32">
        <v>59781040</v>
      </c>
      <c r="W1176" s="21">
        <v>29890520</v>
      </c>
      <c r="X1176" s="11" t="s">
        <v>2650</v>
      </c>
      <c r="Y1176" s="30">
        <f t="shared" si="36"/>
        <v>29890520</v>
      </c>
      <c r="Z1176" s="41">
        <f t="shared" si="37"/>
        <v>0.5</v>
      </c>
    </row>
    <row r="1177" spans="1:27" ht="15.75">
      <c r="A1177" s="2">
        <v>1175</v>
      </c>
      <c r="B1177" s="2">
        <v>2518093</v>
      </c>
      <c r="C1177" s="2">
        <v>50308025580040</v>
      </c>
      <c r="D1177" s="2" t="s">
        <v>22</v>
      </c>
      <c r="E1177" s="2">
        <v>2413818</v>
      </c>
      <c r="F1177" s="2">
        <v>938913502</v>
      </c>
      <c r="G1177" s="3">
        <v>37471</v>
      </c>
      <c r="H1177" s="2" t="s">
        <v>2566</v>
      </c>
      <c r="I1177" s="2" t="s">
        <v>2567</v>
      </c>
      <c r="J1177" s="2" t="s">
        <v>2568</v>
      </c>
      <c r="K1177" s="2" t="s">
        <v>26</v>
      </c>
      <c r="L1177" s="2" t="s">
        <v>27</v>
      </c>
      <c r="M1177" s="2">
        <v>5310202</v>
      </c>
      <c r="N1177" s="2" t="s">
        <v>86</v>
      </c>
      <c r="O1177" s="2" t="s">
        <v>122</v>
      </c>
      <c r="P1177" s="2" t="s">
        <v>252</v>
      </c>
      <c r="Q1177" s="2" t="s">
        <v>391</v>
      </c>
      <c r="R1177" s="2" t="s">
        <v>53</v>
      </c>
      <c r="S1177" s="2">
        <v>8</v>
      </c>
      <c r="T1177" s="2" t="s">
        <v>33</v>
      </c>
      <c r="U1177" s="2" t="s">
        <v>34</v>
      </c>
      <c r="V1177" s="32">
        <v>46170792</v>
      </c>
      <c r="W1177" s="21">
        <v>28021000</v>
      </c>
      <c r="X1177" s="10" t="s">
        <v>2689</v>
      </c>
      <c r="Y1177" s="30">
        <f t="shared" si="36"/>
        <v>18149792</v>
      </c>
      <c r="Z1177" s="41">
        <f t="shared" si="37"/>
        <v>0.60689883768942066</v>
      </c>
    </row>
    <row r="1178" spans="1:27" ht="15.75">
      <c r="A1178" s="2">
        <v>1176</v>
      </c>
      <c r="B1178" s="2">
        <v>1079323</v>
      </c>
      <c r="C1178" s="2">
        <v>30701996230011</v>
      </c>
      <c r="D1178" s="2" t="s">
        <v>45</v>
      </c>
      <c r="E1178" s="2">
        <v>1360143</v>
      </c>
      <c r="F1178" s="2">
        <v>997101999</v>
      </c>
      <c r="G1178" s="3">
        <v>36167</v>
      </c>
      <c r="H1178" s="2" t="s">
        <v>1209</v>
      </c>
      <c r="I1178" s="2" t="s">
        <v>2569</v>
      </c>
      <c r="J1178" s="2" t="s">
        <v>2570</v>
      </c>
      <c r="K1178" s="2" t="s">
        <v>39</v>
      </c>
      <c r="L1178" s="2" t="s">
        <v>27</v>
      </c>
      <c r="M1178" s="2">
        <v>5340603</v>
      </c>
      <c r="N1178" s="2" t="s">
        <v>174</v>
      </c>
      <c r="O1178" s="2" t="s">
        <v>60</v>
      </c>
      <c r="P1178" s="2" t="s">
        <v>175</v>
      </c>
      <c r="Q1178" s="2" t="s">
        <v>81</v>
      </c>
      <c r="R1178" s="2" t="s">
        <v>44</v>
      </c>
      <c r="S1178" s="2">
        <v>8</v>
      </c>
      <c r="T1178" s="2" t="s">
        <v>33</v>
      </c>
      <c r="U1178" s="2" t="s">
        <v>34</v>
      </c>
      <c r="V1178" s="32" t="s">
        <v>2722</v>
      </c>
      <c r="W1178" s="22">
        <f>26000000+4000000</f>
        <v>30000000</v>
      </c>
      <c r="X1178" s="16" t="s">
        <v>2719</v>
      </c>
      <c r="Y1178" s="30">
        <f t="shared" si="36"/>
        <v>29183229.600000001</v>
      </c>
      <c r="Z1178" s="41">
        <f t="shared" si="37"/>
        <v>0.50690035340687123</v>
      </c>
    </row>
    <row r="1179" spans="1:27" ht="26.25">
      <c r="A1179" s="2">
        <v>1177</v>
      </c>
      <c r="B1179" s="2">
        <v>2447930</v>
      </c>
      <c r="C1179" s="2">
        <v>30710815740017</v>
      </c>
      <c r="D1179" s="2" t="s">
        <v>145</v>
      </c>
      <c r="E1179" s="2">
        <v>5448655</v>
      </c>
      <c r="F1179" s="2">
        <v>974112414</v>
      </c>
      <c r="G1179" s="3">
        <v>29866</v>
      </c>
      <c r="H1179" s="2" t="s">
        <v>2571</v>
      </c>
      <c r="I1179" s="2" t="s">
        <v>2572</v>
      </c>
      <c r="J1179" s="2" t="s">
        <v>2573</v>
      </c>
      <c r="K1179" s="2" t="s">
        <v>39</v>
      </c>
      <c r="L1179" s="2" t="s">
        <v>27</v>
      </c>
      <c r="M1179" s="2">
        <v>5620701</v>
      </c>
      <c r="N1179" s="2" t="s">
        <v>218</v>
      </c>
      <c r="O1179" s="2" t="s">
        <v>179</v>
      </c>
      <c r="P1179" s="2" t="s">
        <v>219</v>
      </c>
      <c r="Q1179" s="2" t="s">
        <v>602</v>
      </c>
      <c r="R1179" s="2" t="s">
        <v>62</v>
      </c>
      <c r="S1179" s="2">
        <v>8</v>
      </c>
      <c r="T1179" s="2" t="s">
        <v>33</v>
      </c>
      <c r="U1179" s="2" t="s">
        <v>34</v>
      </c>
      <c r="V1179" s="32">
        <v>59781040</v>
      </c>
      <c r="Y1179" s="30">
        <f t="shared" si="36"/>
        <v>59781040</v>
      </c>
      <c r="Z1179" s="41">
        <f t="shared" si="37"/>
        <v>0</v>
      </c>
    </row>
    <row r="1180" spans="1:27" ht="26.25">
      <c r="A1180" s="2">
        <v>1178</v>
      </c>
      <c r="B1180" s="2">
        <v>1809792</v>
      </c>
      <c r="C1180" s="2">
        <v>31003944230012</v>
      </c>
      <c r="D1180" s="2" t="s">
        <v>145</v>
      </c>
      <c r="E1180" s="2">
        <v>2368472</v>
      </c>
      <c r="F1180" s="2">
        <v>903054604</v>
      </c>
      <c r="G1180" s="3">
        <v>34403</v>
      </c>
      <c r="H1180" s="2" t="s">
        <v>2400</v>
      </c>
      <c r="I1180" s="2" t="s">
        <v>2574</v>
      </c>
      <c r="J1180" s="2" t="s">
        <v>2575</v>
      </c>
      <c r="K1180" s="2" t="s">
        <v>39</v>
      </c>
      <c r="L1180" s="2" t="s">
        <v>27</v>
      </c>
      <c r="M1180" s="2">
        <v>5340602</v>
      </c>
      <c r="N1180" s="2" t="s">
        <v>628</v>
      </c>
      <c r="O1180" s="2" t="s">
        <v>60</v>
      </c>
      <c r="P1180" s="2" t="s">
        <v>629</v>
      </c>
      <c r="Q1180" s="2" t="s">
        <v>61</v>
      </c>
      <c r="R1180" s="2" t="s">
        <v>44</v>
      </c>
      <c r="S1180" s="2">
        <v>8</v>
      </c>
      <c r="T1180" s="2" t="s">
        <v>33</v>
      </c>
      <c r="U1180" s="2" t="s">
        <v>34</v>
      </c>
      <c r="V1180" s="29" t="s">
        <v>2722</v>
      </c>
      <c r="W1180" s="22">
        <v>32915000</v>
      </c>
      <c r="X1180" s="16" t="s">
        <v>2683</v>
      </c>
      <c r="Y1180" s="30">
        <f t="shared" si="36"/>
        <v>26268229.600000001</v>
      </c>
      <c r="Z1180" s="41">
        <f t="shared" si="37"/>
        <v>0.55615417107957221</v>
      </c>
    </row>
    <row r="1181" spans="1:27" ht="26.25">
      <c r="A1181" s="2">
        <v>1179</v>
      </c>
      <c r="B1181" s="2">
        <v>3404106</v>
      </c>
      <c r="C1181" s="2">
        <v>51710036090035</v>
      </c>
      <c r="D1181" s="2" t="s">
        <v>22</v>
      </c>
      <c r="E1181" s="2">
        <v>2537272</v>
      </c>
      <c r="F1181" s="2">
        <v>944385666</v>
      </c>
      <c r="G1181" s="3">
        <v>37911</v>
      </c>
      <c r="H1181" s="2" t="s">
        <v>685</v>
      </c>
      <c r="I1181" s="2" t="s">
        <v>2576</v>
      </c>
      <c r="J1181" s="2" t="s">
        <v>555</v>
      </c>
      <c r="K1181" s="2" t="s">
        <v>26</v>
      </c>
      <c r="L1181" s="2" t="s">
        <v>27</v>
      </c>
      <c r="M1181" s="2">
        <v>5340602</v>
      </c>
      <c r="N1181" s="2" t="s">
        <v>628</v>
      </c>
      <c r="O1181" s="2" t="s">
        <v>225</v>
      </c>
      <c r="P1181" s="2" t="s">
        <v>1089</v>
      </c>
      <c r="Q1181" s="2" t="s">
        <v>59</v>
      </c>
      <c r="R1181" s="2" t="s">
        <v>93</v>
      </c>
      <c r="S1181" s="2">
        <v>8</v>
      </c>
      <c r="T1181" s="2" t="s">
        <v>33</v>
      </c>
      <c r="U1181" s="2" t="s">
        <v>34</v>
      </c>
      <c r="V1181" s="32">
        <v>56735520</v>
      </c>
      <c r="W1181" s="21">
        <v>56736000</v>
      </c>
      <c r="X1181" s="10" t="s">
        <v>2630</v>
      </c>
      <c r="Y1181" s="30">
        <f t="shared" si="36"/>
        <v>-480</v>
      </c>
      <c r="Z1181" s="41">
        <f t="shared" si="37"/>
        <v>1.0000084603084629</v>
      </c>
    </row>
    <row r="1182" spans="1:27" ht="15.75">
      <c r="A1182" s="2">
        <v>1180</v>
      </c>
      <c r="B1182" s="2">
        <v>2879236</v>
      </c>
      <c r="C1182" s="2">
        <v>31009910223398</v>
      </c>
      <c r="D1182" s="2" t="s">
        <v>45</v>
      </c>
      <c r="E1182" s="2">
        <v>5252379</v>
      </c>
      <c r="F1182" s="2">
        <v>909533753</v>
      </c>
      <c r="G1182" s="3">
        <v>33491</v>
      </c>
      <c r="H1182" s="2" t="s">
        <v>146</v>
      </c>
      <c r="I1182" s="2" t="s">
        <v>541</v>
      </c>
      <c r="J1182" s="2" t="s">
        <v>2577</v>
      </c>
      <c r="K1182" s="2" t="s">
        <v>39</v>
      </c>
      <c r="L1182" s="2" t="s">
        <v>27</v>
      </c>
      <c r="M1182" s="2">
        <v>5620400</v>
      </c>
      <c r="N1182" s="2" t="s">
        <v>103</v>
      </c>
      <c r="O1182" s="2" t="s">
        <v>139</v>
      </c>
      <c r="P1182" s="2" t="s">
        <v>123</v>
      </c>
      <c r="Q1182" s="2" t="s">
        <v>363</v>
      </c>
      <c r="R1182" s="2" t="s">
        <v>62</v>
      </c>
      <c r="S1182" s="2">
        <v>8</v>
      </c>
      <c r="T1182" s="2" t="s">
        <v>33</v>
      </c>
      <c r="U1182" s="2" t="s">
        <v>34</v>
      </c>
      <c r="V1182" s="32">
        <v>53802936</v>
      </c>
      <c r="W1182" s="20">
        <v>26901468</v>
      </c>
      <c r="X1182" s="16" t="s">
        <v>2640</v>
      </c>
      <c r="Y1182" s="30">
        <f t="shared" si="36"/>
        <v>26901468</v>
      </c>
      <c r="Z1182" s="41">
        <f t="shared" si="37"/>
        <v>0.5</v>
      </c>
    </row>
    <row r="1183" spans="1:27" ht="15.75">
      <c r="A1183" s="2">
        <v>1181</v>
      </c>
      <c r="B1183" s="2">
        <v>1862899</v>
      </c>
      <c r="C1183" s="2">
        <v>42609985740019</v>
      </c>
      <c r="D1183" s="2" t="s">
        <v>145</v>
      </c>
      <c r="E1183" s="2">
        <v>8154585</v>
      </c>
      <c r="F1183" s="2">
        <v>908772474</v>
      </c>
      <c r="G1183" s="3">
        <v>36064</v>
      </c>
      <c r="H1183" s="2" t="s">
        <v>2578</v>
      </c>
      <c r="I1183" s="2" t="s">
        <v>2579</v>
      </c>
      <c r="J1183" s="2" t="s">
        <v>2580</v>
      </c>
      <c r="K1183" s="2" t="s">
        <v>39</v>
      </c>
      <c r="L1183" s="2" t="s">
        <v>27</v>
      </c>
      <c r="M1183" s="2">
        <v>5310606</v>
      </c>
      <c r="N1183" s="2" t="s">
        <v>72</v>
      </c>
      <c r="O1183" s="2" t="s">
        <v>175</v>
      </c>
      <c r="P1183" s="2" t="s">
        <v>73</v>
      </c>
      <c r="Q1183" s="4">
        <v>45778</v>
      </c>
      <c r="R1183" s="2" t="s">
        <v>62</v>
      </c>
      <c r="S1183" s="2">
        <v>8</v>
      </c>
      <c r="T1183" s="2" t="s">
        <v>33</v>
      </c>
      <c r="U1183" s="2" t="s">
        <v>34</v>
      </c>
      <c r="V1183" s="29">
        <v>53802936</v>
      </c>
      <c r="W1183" s="22">
        <f>26902000+26902000</f>
        <v>53804000</v>
      </c>
      <c r="X1183" s="16" t="s">
        <v>2854</v>
      </c>
      <c r="Y1183" s="30">
        <f t="shared" si="36"/>
        <v>-1064</v>
      </c>
      <c r="Z1183" s="41">
        <f t="shared" si="37"/>
        <v>1.0000197758724543</v>
      </c>
      <c r="AA1183" s="42" t="s">
        <v>2798</v>
      </c>
    </row>
    <row r="1184" spans="1:27">
      <c r="A1184" s="2">
        <v>1182</v>
      </c>
      <c r="B1184" s="2">
        <v>3281926</v>
      </c>
      <c r="C1184" s="2">
        <v>50502048660075</v>
      </c>
      <c r="D1184" s="2" t="s">
        <v>22</v>
      </c>
      <c r="E1184" s="2">
        <v>2822511</v>
      </c>
      <c r="F1184" s="2">
        <v>970047798</v>
      </c>
      <c r="G1184" s="3">
        <v>38022</v>
      </c>
      <c r="H1184" s="2" t="s">
        <v>2581</v>
      </c>
      <c r="I1184" s="2" t="s">
        <v>2582</v>
      </c>
      <c r="J1184" s="2" t="s">
        <v>514</v>
      </c>
      <c r="K1184" s="2" t="s">
        <v>26</v>
      </c>
      <c r="L1184" s="2" t="s">
        <v>27</v>
      </c>
      <c r="M1184" s="2">
        <v>5230104</v>
      </c>
      <c r="N1184" s="2" t="s">
        <v>78</v>
      </c>
      <c r="O1184" s="2" t="s">
        <v>165</v>
      </c>
      <c r="P1184" s="2" t="s">
        <v>1051</v>
      </c>
      <c r="Q1184" s="2" t="s">
        <v>81</v>
      </c>
      <c r="R1184" s="2" t="s">
        <v>134</v>
      </c>
      <c r="S1184" s="2">
        <v>10</v>
      </c>
      <c r="T1184" s="2" t="s">
        <v>33</v>
      </c>
      <c r="U1184" s="2" t="s">
        <v>34</v>
      </c>
      <c r="V1184" s="32">
        <v>91299300</v>
      </c>
      <c r="Y1184" s="30">
        <f t="shared" si="36"/>
        <v>91299300</v>
      </c>
      <c r="Z1184" s="41">
        <f t="shared" si="37"/>
        <v>0</v>
      </c>
    </row>
    <row r="1185" spans="1:27" ht="26.25">
      <c r="A1185" s="2">
        <v>1183</v>
      </c>
      <c r="B1185" s="2">
        <v>3310324</v>
      </c>
      <c r="C1185" s="2">
        <v>50509038660062</v>
      </c>
      <c r="D1185" s="2" t="s">
        <v>74</v>
      </c>
      <c r="E1185" s="2">
        <v>74098</v>
      </c>
      <c r="F1185" s="2">
        <v>935205036</v>
      </c>
      <c r="G1185" s="3">
        <v>37869</v>
      </c>
      <c r="H1185" s="2" t="s">
        <v>1027</v>
      </c>
      <c r="I1185" s="2" t="s">
        <v>1635</v>
      </c>
      <c r="J1185" s="2" t="s">
        <v>2583</v>
      </c>
      <c r="K1185" s="2" t="s">
        <v>26</v>
      </c>
      <c r="L1185" s="2" t="s">
        <v>27</v>
      </c>
      <c r="M1185" s="2">
        <v>5310607</v>
      </c>
      <c r="N1185" s="2" t="s">
        <v>1041</v>
      </c>
      <c r="O1185" s="2" t="s">
        <v>175</v>
      </c>
      <c r="P1185" s="2" t="s">
        <v>350</v>
      </c>
      <c r="Q1185" s="4">
        <v>42064</v>
      </c>
      <c r="R1185" s="2" t="s">
        <v>53</v>
      </c>
      <c r="S1185" s="2">
        <v>8</v>
      </c>
      <c r="T1185" s="2" t="s">
        <v>33</v>
      </c>
      <c r="U1185" s="2" t="s">
        <v>34</v>
      </c>
      <c r="V1185" s="32">
        <v>19237830</v>
      </c>
      <c r="W1185" s="23">
        <v>9619000</v>
      </c>
      <c r="X1185" s="13" t="s">
        <v>2668</v>
      </c>
      <c r="Y1185" s="30">
        <f t="shared" si="36"/>
        <v>9618830</v>
      </c>
      <c r="Z1185" s="41">
        <f t="shared" si="37"/>
        <v>0.50000441837774845</v>
      </c>
    </row>
    <row r="1186" spans="1:27" ht="39">
      <c r="A1186" s="2">
        <v>1184</v>
      </c>
      <c r="B1186" s="2">
        <v>1586777</v>
      </c>
      <c r="C1186" s="2">
        <v>41102975430020</v>
      </c>
      <c r="D1186" s="2" t="s">
        <v>45</v>
      </c>
      <c r="E1186" s="2">
        <v>543893</v>
      </c>
      <c r="F1186" s="2">
        <v>995095060</v>
      </c>
      <c r="G1186" s="3">
        <v>35472</v>
      </c>
      <c r="H1186" s="2" t="s">
        <v>215</v>
      </c>
      <c r="I1186" s="2" t="s">
        <v>2584</v>
      </c>
      <c r="J1186" s="2" t="s">
        <v>1697</v>
      </c>
      <c r="K1186" s="2" t="s">
        <v>39</v>
      </c>
      <c r="L1186" s="2" t="s">
        <v>27</v>
      </c>
      <c r="M1186" s="2">
        <v>5320102</v>
      </c>
      <c r="N1186" s="2" t="s">
        <v>138</v>
      </c>
      <c r="O1186" s="2" t="s">
        <v>194</v>
      </c>
      <c r="P1186" s="2" t="s">
        <v>140</v>
      </c>
      <c r="Q1186" s="5">
        <v>44471</v>
      </c>
      <c r="R1186" s="2" t="s">
        <v>62</v>
      </c>
      <c r="S1186" s="2">
        <v>8</v>
      </c>
      <c r="T1186" s="2" t="s">
        <v>33</v>
      </c>
      <c r="U1186" s="2" t="s">
        <v>34</v>
      </c>
      <c r="V1186" s="32" t="s">
        <v>2723</v>
      </c>
      <c r="W1186" s="20">
        <f>9000000+1460000+4000000</f>
        <v>14460000</v>
      </c>
      <c r="X1186" s="2" t="s">
        <v>2885</v>
      </c>
      <c r="Y1186" s="30">
        <f t="shared" si="36"/>
        <v>2353417.5</v>
      </c>
      <c r="Z1186" s="41">
        <f t="shared" si="37"/>
        <v>0.8600274156042339</v>
      </c>
    </row>
    <row r="1187" spans="1:27" ht="26.25">
      <c r="A1187" s="2">
        <v>1185</v>
      </c>
      <c r="B1187" s="2">
        <v>2067705</v>
      </c>
      <c r="C1187" s="2">
        <v>30307930620074</v>
      </c>
      <c r="D1187" s="2" t="s">
        <v>145</v>
      </c>
      <c r="E1187" s="2">
        <v>8910846</v>
      </c>
      <c r="F1187" s="2">
        <v>931679393</v>
      </c>
      <c r="G1187" s="3">
        <v>34153</v>
      </c>
      <c r="H1187" s="2" t="s">
        <v>2585</v>
      </c>
      <c r="I1187" s="2" t="s">
        <v>2586</v>
      </c>
      <c r="J1187" s="2" t="s">
        <v>2587</v>
      </c>
      <c r="K1187" s="2" t="s">
        <v>39</v>
      </c>
      <c r="L1187" s="2" t="s">
        <v>27</v>
      </c>
      <c r="M1187" s="2">
        <v>5320102</v>
      </c>
      <c r="N1187" s="2" t="s">
        <v>138</v>
      </c>
      <c r="O1187" s="2" t="s">
        <v>175</v>
      </c>
      <c r="P1187" s="2" t="s">
        <v>140</v>
      </c>
      <c r="Q1187" s="5">
        <v>44317</v>
      </c>
      <c r="R1187" s="2" t="s">
        <v>62</v>
      </c>
      <c r="S1187" s="2">
        <v>8</v>
      </c>
      <c r="T1187" s="2" t="s">
        <v>33</v>
      </c>
      <c r="U1187" s="2" t="s">
        <v>34</v>
      </c>
      <c r="V1187" s="29" t="s">
        <v>2725</v>
      </c>
      <c r="W1187" s="20">
        <v>5610000</v>
      </c>
      <c r="X1187" s="2" t="s">
        <v>2686</v>
      </c>
      <c r="Y1187" s="30">
        <f t="shared" si="36"/>
        <v>4478050.5</v>
      </c>
      <c r="Z1187" s="41">
        <f t="shared" si="37"/>
        <v>0.55610348104423146</v>
      </c>
    </row>
    <row r="1188" spans="1:27" ht="26.25">
      <c r="A1188" s="2">
        <v>1186</v>
      </c>
      <c r="B1188" s="2">
        <v>1938666</v>
      </c>
      <c r="C1188" s="2">
        <v>32504912920016</v>
      </c>
      <c r="D1188" s="2" t="s">
        <v>45</v>
      </c>
      <c r="E1188" s="2">
        <v>3314224</v>
      </c>
      <c r="F1188" s="2">
        <v>917815759</v>
      </c>
      <c r="G1188" s="3">
        <v>33353</v>
      </c>
      <c r="H1188" s="2" t="s">
        <v>648</v>
      </c>
      <c r="I1188" s="2" t="s">
        <v>2588</v>
      </c>
      <c r="J1188" s="2" t="s">
        <v>322</v>
      </c>
      <c r="K1188" s="2" t="s">
        <v>39</v>
      </c>
      <c r="L1188" s="2" t="s">
        <v>27</v>
      </c>
      <c r="M1188" s="2">
        <v>5340605</v>
      </c>
      <c r="N1188" s="2" t="s">
        <v>40</v>
      </c>
      <c r="O1188" s="2" t="s">
        <v>139</v>
      </c>
      <c r="P1188" s="2" t="s">
        <v>42</v>
      </c>
      <c r="Q1188" s="4">
        <v>14824</v>
      </c>
      <c r="R1188" s="2" t="s">
        <v>44</v>
      </c>
      <c r="S1188" s="2">
        <v>8</v>
      </c>
      <c r="T1188" s="2" t="s">
        <v>33</v>
      </c>
      <c r="U1188" s="2" t="s">
        <v>34</v>
      </c>
      <c r="V1188" s="32">
        <v>65759144</v>
      </c>
      <c r="Y1188" s="30">
        <f t="shared" si="36"/>
        <v>65759144</v>
      </c>
      <c r="Z1188" s="41">
        <f t="shared" si="37"/>
        <v>0</v>
      </c>
    </row>
    <row r="1189" spans="1:27" ht="26.25">
      <c r="A1189" s="2">
        <v>1187</v>
      </c>
      <c r="B1189" s="2">
        <v>1931099</v>
      </c>
      <c r="C1189" s="2">
        <v>32005976450038</v>
      </c>
      <c r="D1189" s="2" t="s">
        <v>145</v>
      </c>
      <c r="E1189" s="2">
        <v>4245800</v>
      </c>
      <c r="F1189" s="2">
        <v>994902313</v>
      </c>
      <c r="G1189" s="3">
        <v>35570</v>
      </c>
      <c r="H1189" s="2" t="s">
        <v>2057</v>
      </c>
      <c r="I1189" s="2" t="s">
        <v>744</v>
      </c>
      <c r="J1189" s="2" t="s">
        <v>2589</v>
      </c>
      <c r="K1189" s="2" t="s">
        <v>39</v>
      </c>
      <c r="L1189" s="2" t="s">
        <v>27</v>
      </c>
      <c r="M1189" s="2">
        <v>5310601</v>
      </c>
      <c r="N1189" s="2" t="s">
        <v>153</v>
      </c>
      <c r="O1189" s="2" t="s">
        <v>391</v>
      </c>
      <c r="P1189" s="2" t="s">
        <v>79</v>
      </c>
      <c r="Q1189" s="2" t="s">
        <v>469</v>
      </c>
      <c r="R1189" s="2" t="s">
        <v>62</v>
      </c>
      <c r="S1189" s="2">
        <v>8</v>
      </c>
      <c r="T1189" s="2" t="s">
        <v>33</v>
      </c>
      <c r="U1189" s="2" t="s">
        <v>34</v>
      </c>
      <c r="V1189" s="32">
        <v>119562080</v>
      </c>
      <c r="Y1189" s="30">
        <f t="shared" si="36"/>
        <v>119562080</v>
      </c>
      <c r="Z1189" s="41">
        <f t="shared" si="37"/>
        <v>0</v>
      </c>
    </row>
    <row r="1190" spans="1:27" ht="26.25">
      <c r="A1190" s="2">
        <v>1188</v>
      </c>
      <c r="B1190" s="2">
        <v>1635782</v>
      </c>
      <c r="C1190" s="2">
        <v>30307986800013</v>
      </c>
      <c r="D1190" s="2" t="s">
        <v>145</v>
      </c>
      <c r="E1190" s="2">
        <v>7913068</v>
      </c>
      <c r="F1190" s="2">
        <v>978850398</v>
      </c>
      <c r="G1190" s="3">
        <v>35979</v>
      </c>
      <c r="H1190" s="2" t="s">
        <v>2590</v>
      </c>
      <c r="I1190" s="2" t="s">
        <v>510</v>
      </c>
      <c r="J1190" s="2" t="s">
        <v>2100</v>
      </c>
      <c r="K1190" s="2" t="s">
        <v>39</v>
      </c>
      <c r="L1190" s="2" t="s">
        <v>27</v>
      </c>
      <c r="M1190" s="2">
        <v>5640202</v>
      </c>
      <c r="N1190" s="2" t="s">
        <v>240</v>
      </c>
      <c r="O1190" s="2" t="s">
        <v>60</v>
      </c>
      <c r="P1190" s="2" t="s">
        <v>241</v>
      </c>
      <c r="Q1190" s="2" t="s">
        <v>440</v>
      </c>
      <c r="R1190" s="2" t="s">
        <v>62</v>
      </c>
      <c r="S1190" s="2">
        <v>8</v>
      </c>
      <c r="T1190" s="2" t="s">
        <v>33</v>
      </c>
      <c r="U1190" s="2" t="s">
        <v>34</v>
      </c>
      <c r="V1190" s="29">
        <v>53802936</v>
      </c>
      <c r="W1190" s="20">
        <f>26902000+13000000</f>
        <v>39902000</v>
      </c>
      <c r="X1190" s="2" t="s">
        <v>2865</v>
      </c>
      <c r="Y1190" s="30">
        <f t="shared" si="36"/>
        <v>13900936</v>
      </c>
      <c r="Z1190" s="41">
        <f t="shared" si="37"/>
        <v>0.74163238972683576</v>
      </c>
    </row>
    <row r="1191" spans="1:27" ht="26.25">
      <c r="A1191" s="2">
        <v>1189</v>
      </c>
      <c r="B1191" s="2">
        <v>1166586</v>
      </c>
      <c r="C1191" s="2">
        <v>51309016790027</v>
      </c>
      <c r="D1191" s="2" t="s">
        <v>45</v>
      </c>
      <c r="E1191" s="2">
        <v>7743581</v>
      </c>
      <c r="F1191" s="2">
        <v>998049088</v>
      </c>
      <c r="G1191" s="3">
        <v>37147</v>
      </c>
      <c r="H1191" s="2" t="s">
        <v>23</v>
      </c>
      <c r="I1191" s="2" t="s">
        <v>541</v>
      </c>
      <c r="J1191" s="2" t="s">
        <v>2591</v>
      </c>
      <c r="K1191" s="2" t="s">
        <v>39</v>
      </c>
      <c r="L1191" s="2" t="s">
        <v>57</v>
      </c>
      <c r="M1191" s="2">
        <v>5620400</v>
      </c>
      <c r="N1191" s="2" t="s">
        <v>103</v>
      </c>
      <c r="O1191" s="2" t="s">
        <v>122</v>
      </c>
      <c r="P1191" s="2" t="s">
        <v>139</v>
      </c>
      <c r="Q1191" s="4">
        <v>14824</v>
      </c>
      <c r="R1191" s="2" t="s">
        <v>62</v>
      </c>
      <c r="S1191" s="2">
        <v>8</v>
      </c>
      <c r="T1191" s="2" t="s">
        <v>33</v>
      </c>
      <c r="U1191" s="2" t="s">
        <v>34</v>
      </c>
      <c r="V1191" s="29" t="s">
        <v>2748</v>
      </c>
      <c r="W1191" s="20">
        <v>30000000</v>
      </c>
      <c r="X1191" s="2" t="s">
        <v>2693</v>
      </c>
      <c r="Y1191" s="30">
        <f t="shared" si="36"/>
        <v>23802936</v>
      </c>
      <c r="Z1191" s="41">
        <f t="shared" si="37"/>
        <v>0.55759038874755829</v>
      </c>
      <c r="AA1191" s="42" t="s">
        <v>2798</v>
      </c>
    </row>
    <row r="1192" spans="1:27" ht="26.25">
      <c r="A1192" s="2">
        <v>1190</v>
      </c>
      <c r="B1192" s="2">
        <v>2956218</v>
      </c>
      <c r="C1192" s="2">
        <v>42411800190079</v>
      </c>
      <c r="D1192" s="2" t="s">
        <v>145</v>
      </c>
      <c r="E1192" s="2">
        <v>1818558</v>
      </c>
      <c r="F1192" s="2">
        <v>901860075</v>
      </c>
      <c r="G1192" s="3">
        <v>29549</v>
      </c>
      <c r="H1192" s="2" t="s">
        <v>1883</v>
      </c>
      <c r="I1192" s="2" t="s">
        <v>2592</v>
      </c>
      <c r="J1192" s="2" t="s">
        <v>2593</v>
      </c>
      <c r="K1192" s="2" t="s">
        <v>39</v>
      </c>
      <c r="L1192" s="2" t="s">
        <v>27</v>
      </c>
      <c r="M1192" s="2">
        <v>5340605</v>
      </c>
      <c r="N1192" s="2" t="s">
        <v>40</v>
      </c>
      <c r="O1192" s="2" t="s">
        <v>350</v>
      </c>
      <c r="P1192" s="2" t="s">
        <v>42</v>
      </c>
      <c r="Q1192" s="5">
        <v>44317</v>
      </c>
      <c r="R1192" s="2" t="s">
        <v>44</v>
      </c>
      <c r="S1192" s="2">
        <v>8</v>
      </c>
      <c r="T1192" s="2" t="s">
        <v>33</v>
      </c>
      <c r="U1192" s="2" t="s">
        <v>34</v>
      </c>
      <c r="V1192" s="32" t="s">
        <v>2733</v>
      </c>
      <c r="W1192" s="21">
        <v>8000000</v>
      </c>
      <c r="X1192" s="10" t="s">
        <v>2660</v>
      </c>
      <c r="Y1192" s="30">
        <f t="shared" si="36"/>
        <v>3096855.5500000007</v>
      </c>
      <c r="Z1192" s="41">
        <f t="shared" si="37"/>
        <v>0.72092494706755006</v>
      </c>
    </row>
    <row r="1193" spans="1:27" ht="39">
      <c r="A1193" s="2">
        <v>1191</v>
      </c>
      <c r="B1193" s="2">
        <v>3498913</v>
      </c>
      <c r="C1193" s="2">
        <v>50205036820041</v>
      </c>
      <c r="D1193" s="2" t="s">
        <v>22</v>
      </c>
      <c r="E1193" s="2">
        <v>1924516</v>
      </c>
      <c r="F1193" s="2">
        <v>974071913</v>
      </c>
      <c r="G1193" s="3">
        <v>37743</v>
      </c>
      <c r="H1193" s="2" t="s">
        <v>1978</v>
      </c>
      <c r="I1193" s="2" t="s">
        <v>2594</v>
      </c>
      <c r="J1193" s="2" t="s">
        <v>1190</v>
      </c>
      <c r="K1193" s="2" t="s">
        <v>26</v>
      </c>
      <c r="L1193" s="2" t="s">
        <v>57</v>
      </c>
      <c r="M1193" s="2">
        <v>5340401</v>
      </c>
      <c r="N1193" s="2" t="s">
        <v>349</v>
      </c>
      <c r="O1193" s="2" t="s">
        <v>160</v>
      </c>
      <c r="P1193" s="2" t="s">
        <v>60</v>
      </c>
      <c r="Q1193" s="4">
        <v>22251</v>
      </c>
      <c r="R1193" s="2" t="s">
        <v>93</v>
      </c>
      <c r="S1193" s="2">
        <v>8</v>
      </c>
      <c r="T1193" s="2" t="s">
        <v>33</v>
      </c>
      <c r="U1193" s="2" t="s">
        <v>34</v>
      </c>
      <c r="V1193" s="32">
        <v>102123936</v>
      </c>
      <c r="W1193" s="21">
        <v>51500000</v>
      </c>
      <c r="X1193" s="11" t="s">
        <v>2626</v>
      </c>
      <c r="Y1193" s="30">
        <f t="shared" si="36"/>
        <v>50623936</v>
      </c>
      <c r="Z1193" s="41">
        <f t="shared" si="37"/>
        <v>0.50428921971828422</v>
      </c>
    </row>
    <row r="1194" spans="1:27" ht="15.75">
      <c r="A1194" s="2">
        <v>1192</v>
      </c>
      <c r="B1194" s="2">
        <v>3687073</v>
      </c>
      <c r="C1194" s="2">
        <v>51007036030047</v>
      </c>
      <c r="D1194" s="2" t="s">
        <v>22</v>
      </c>
      <c r="E1194" s="2">
        <v>2892075</v>
      </c>
      <c r="F1194" s="2">
        <v>990845003</v>
      </c>
      <c r="G1194" s="3">
        <v>37812</v>
      </c>
      <c r="H1194" s="2" t="s">
        <v>2595</v>
      </c>
      <c r="I1194" s="2" t="s">
        <v>2596</v>
      </c>
      <c r="J1194" s="2" t="s">
        <v>2597</v>
      </c>
      <c r="K1194" s="2" t="s">
        <v>26</v>
      </c>
      <c r="L1194" s="2" t="s">
        <v>27</v>
      </c>
      <c r="M1194" s="2">
        <v>5310400</v>
      </c>
      <c r="N1194" s="2" t="s">
        <v>232</v>
      </c>
      <c r="O1194" s="2" t="s">
        <v>154</v>
      </c>
      <c r="P1194" s="2" t="s">
        <v>298</v>
      </c>
      <c r="Q1194" s="2" t="s">
        <v>59</v>
      </c>
      <c r="R1194" s="2" t="s">
        <v>53</v>
      </c>
      <c r="S1194" s="2">
        <v>8</v>
      </c>
      <c r="T1194" s="2" t="s">
        <v>33</v>
      </c>
      <c r="U1194" s="2" t="s">
        <v>34</v>
      </c>
      <c r="V1194" s="32">
        <v>46170792</v>
      </c>
      <c r="W1194" s="21">
        <v>25651000</v>
      </c>
      <c r="X1194" s="10" t="s">
        <v>2630</v>
      </c>
      <c r="Y1194" s="30">
        <f t="shared" si="36"/>
        <v>20519792</v>
      </c>
      <c r="Z1194" s="41">
        <f t="shared" si="37"/>
        <v>0.5555676844356493</v>
      </c>
    </row>
    <row r="1195" spans="1:27" ht="26.25">
      <c r="A1195" s="2">
        <v>1193</v>
      </c>
      <c r="B1195" s="2">
        <v>2931864</v>
      </c>
      <c r="C1195" s="2">
        <v>32008902340014</v>
      </c>
      <c r="D1195" s="2" t="s">
        <v>145</v>
      </c>
      <c r="E1195" s="2">
        <v>1455490</v>
      </c>
      <c r="F1195" s="2">
        <v>994120101</v>
      </c>
      <c r="G1195" s="3">
        <v>33105</v>
      </c>
      <c r="H1195" s="2" t="s">
        <v>54</v>
      </c>
      <c r="I1195" s="2" t="s">
        <v>2303</v>
      </c>
      <c r="J1195" s="2" t="s">
        <v>1300</v>
      </c>
      <c r="K1195" s="2" t="s">
        <v>39</v>
      </c>
      <c r="L1195" s="2" t="s">
        <v>27</v>
      </c>
      <c r="M1195" s="2">
        <v>5340606</v>
      </c>
      <c r="N1195" s="2" t="s">
        <v>191</v>
      </c>
      <c r="O1195" s="2" t="s">
        <v>140</v>
      </c>
      <c r="P1195" s="2" t="s">
        <v>42</v>
      </c>
      <c r="Q1195" s="4">
        <v>42064</v>
      </c>
      <c r="R1195" s="2" t="s">
        <v>44</v>
      </c>
      <c r="S1195" s="2">
        <v>8</v>
      </c>
      <c r="T1195" s="2" t="s">
        <v>33</v>
      </c>
      <c r="U1195" s="2" t="s">
        <v>34</v>
      </c>
      <c r="V1195" s="29">
        <v>22193711.100000001</v>
      </c>
      <c r="W1195" s="20">
        <f>12330000+9864000</f>
        <v>22194000</v>
      </c>
      <c r="X1195" s="16" t="s">
        <v>2926</v>
      </c>
      <c r="Y1195" s="30">
        <f t="shared" si="36"/>
        <v>-288.89999999850988</v>
      </c>
      <c r="Z1195" s="41">
        <f t="shared" si="37"/>
        <v>1.0000130172010755</v>
      </c>
    </row>
    <row r="1196" spans="1:27" ht="26.25">
      <c r="A1196" s="2">
        <v>1194</v>
      </c>
      <c r="B1196" s="2">
        <v>1444739</v>
      </c>
      <c r="C1196" s="2">
        <v>52110015450055</v>
      </c>
      <c r="D1196" s="2" t="s">
        <v>22</v>
      </c>
      <c r="E1196" s="2">
        <v>1414541</v>
      </c>
      <c r="F1196" s="2">
        <v>996721173</v>
      </c>
      <c r="G1196" s="3">
        <v>37185</v>
      </c>
      <c r="H1196" s="2" t="s">
        <v>897</v>
      </c>
      <c r="I1196" s="2" t="s">
        <v>1422</v>
      </c>
      <c r="J1196" s="2" t="s">
        <v>1010</v>
      </c>
      <c r="K1196" s="2" t="s">
        <v>39</v>
      </c>
      <c r="L1196" s="2" t="s">
        <v>27</v>
      </c>
      <c r="M1196" s="2">
        <v>5310701</v>
      </c>
      <c r="N1196" s="2" t="s">
        <v>118</v>
      </c>
      <c r="O1196" s="2" t="s">
        <v>223</v>
      </c>
      <c r="P1196" s="2" t="s">
        <v>123</v>
      </c>
      <c r="Q1196" s="2" t="s">
        <v>602</v>
      </c>
      <c r="R1196" s="2" t="s">
        <v>62</v>
      </c>
      <c r="S1196" s="2">
        <v>8</v>
      </c>
      <c r="T1196" s="2" t="s">
        <v>33</v>
      </c>
      <c r="U1196" s="2" t="s">
        <v>34</v>
      </c>
      <c r="V1196" s="29">
        <v>107605872</v>
      </c>
      <c r="W1196" s="22">
        <f>34500000+19300000</f>
        <v>53800000</v>
      </c>
      <c r="X1196" s="16" t="s">
        <v>2671</v>
      </c>
      <c r="Y1196" s="30">
        <f t="shared" si="36"/>
        <v>53805872</v>
      </c>
      <c r="Z1196" s="41">
        <f t="shared" si="37"/>
        <v>0.49997271524364395</v>
      </c>
    </row>
    <row r="1197" spans="1:27" ht="15.75">
      <c r="A1197" s="2">
        <v>1195</v>
      </c>
      <c r="B1197" s="2">
        <v>1928194</v>
      </c>
      <c r="C1197" s="2">
        <v>30909912130049</v>
      </c>
      <c r="D1197" s="2" t="s">
        <v>45</v>
      </c>
      <c r="E1197" s="2">
        <v>8831863</v>
      </c>
      <c r="F1197" s="2">
        <v>985702626</v>
      </c>
      <c r="G1197" s="3">
        <v>33490</v>
      </c>
      <c r="H1197" s="2" t="s">
        <v>282</v>
      </c>
      <c r="I1197" s="2" t="s">
        <v>1276</v>
      </c>
      <c r="J1197" s="2" t="s">
        <v>624</v>
      </c>
      <c r="K1197" s="2" t="s">
        <v>39</v>
      </c>
      <c r="L1197" s="2" t="s">
        <v>57</v>
      </c>
      <c r="M1197" s="2">
        <v>5620400</v>
      </c>
      <c r="N1197" s="2" t="s">
        <v>103</v>
      </c>
      <c r="O1197" s="2" t="s">
        <v>296</v>
      </c>
      <c r="P1197" s="2" t="s">
        <v>139</v>
      </c>
      <c r="Q1197" s="4">
        <v>18537</v>
      </c>
      <c r="R1197" s="2" t="s">
        <v>62</v>
      </c>
      <c r="S1197" s="2">
        <v>8</v>
      </c>
      <c r="T1197" s="2" t="s">
        <v>33</v>
      </c>
      <c r="U1197" s="2" t="s">
        <v>34</v>
      </c>
      <c r="V1197" s="32">
        <v>53802936</v>
      </c>
      <c r="W1197" s="22">
        <v>27000000</v>
      </c>
      <c r="X1197" s="16" t="s">
        <v>2682</v>
      </c>
      <c r="Y1197" s="30">
        <f t="shared" si="36"/>
        <v>26802936</v>
      </c>
      <c r="Z1197" s="41">
        <f t="shared" si="37"/>
        <v>0.50183134987280253</v>
      </c>
    </row>
    <row r="1198" spans="1:27" ht="26.25">
      <c r="A1198" s="2">
        <v>1196</v>
      </c>
      <c r="B1198" s="2">
        <v>2470884</v>
      </c>
      <c r="C1198" s="2">
        <v>51004036820025</v>
      </c>
      <c r="D1198" s="2" t="s">
        <v>22</v>
      </c>
      <c r="E1198" s="2">
        <v>1917241</v>
      </c>
      <c r="F1198" s="2">
        <v>973436404</v>
      </c>
      <c r="G1198" s="3">
        <v>37721</v>
      </c>
      <c r="H1198" s="2" t="s">
        <v>477</v>
      </c>
      <c r="I1198" s="2" t="s">
        <v>2598</v>
      </c>
      <c r="J1198" s="2" t="s">
        <v>545</v>
      </c>
      <c r="K1198" s="2" t="s">
        <v>26</v>
      </c>
      <c r="L1198" s="2" t="s">
        <v>27</v>
      </c>
      <c r="M1198" s="2">
        <v>5330202</v>
      </c>
      <c r="N1198" s="2" t="s">
        <v>164</v>
      </c>
      <c r="O1198" s="2" t="s">
        <v>179</v>
      </c>
      <c r="P1198" s="2" t="s">
        <v>165</v>
      </c>
      <c r="Q1198" s="2" t="s">
        <v>433</v>
      </c>
      <c r="R1198" s="2" t="s">
        <v>93</v>
      </c>
      <c r="S1198" s="2">
        <v>10</v>
      </c>
      <c r="T1198" s="2" t="s">
        <v>33</v>
      </c>
      <c r="U1198" s="2" t="s">
        <v>34</v>
      </c>
      <c r="V1198" s="32">
        <v>70919400</v>
      </c>
      <c r="Y1198" s="30">
        <f t="shared" si="36"/>
        <v>70919400</v>
      </c>
      <c r="Z1198" s="41">
        <f t="shared" si="37"/>
        <v>0</v>
      </c>
    </row>
    <row r="1199" spans="1:27" ht="39">
      <c r="A1199" s="2">
        <v>1197</v>
      </c>
      <c r="B1199" s="2">
        <v>1009147</v>
      </c>
      <c r="C1199" s="2">
        <v>52103015300037</v>
      </c>
      <c r="D1199" s="2" t="s">
        <v>45</v>
      </c>
      <c r="E1199" s="2">
        <v>6759430</v>
      </c>
      <c r="F1199" s="2">
        <v>973050125</v>
      </c>
      <c r="G1199" s="3">
        <v>36971</v>
      </c>
      <c r="H1199" s="2" t="s">
        <v>1661</v>
      </c>
      <c r="I1199" s="2" t="s">
        <v>2599</v>
      </c>
      <c r="J1199" s="2" t="s">
        <v>2600</v>
      </c>
      <c r="K1199" s="2" t="s">
        <v>39</v>
      </c>
      <c r="L1199" s="2" t="s">
        <v>27</v>
      </c>
      <c r="M1199" s="2">
        <v>5311003</v>
      </c>
      <c r="N1199" s="2" t="s">
        <v>144</v>
      </c>
      <c r="O1199" s="2" t="s">
        <v>139</v>
      </c>
      <c r="P1199" s="2" t="s">
        <v>79</v>
      </c>
      <c r="Q1199" s="2" t="s">
        <v>277</v>
      </c>
      <c r="R1199" s="2" t="s">
        <v>62</v>
      </c>
      <c r="S1199" s="2">
        <v>8</v>
      </c>
      <c r="T1199" s="2" t="s">
        <v>33</v>
      </c>
      <c r="U1199" s="2" t="s">
        <v>34</v>
      </c>
      <c r="V1199" s="32">
        <v>53802936</v>
      </c>
      <c r="W1199" s="20">
        <v>29900500</v>
      </c>
      <c r="X1199" s="16" t="s">
        <v>2678</v>
      </c>
      <c r="Y1199" s="30">
        <f t="shared" si="36"/>
        <v>23902436</v>
      </c>
      <c r="Z1199" s="41">
        <f t="shared" si="37"/>
        <v>0.55574104729154561</v>
      </c>
    </row>
    <row r="1200" spans="1:27" ht="26.25">
      <c r="A1200" s="2">
        <v>1198</v>
      </c>
      <c r="B1200" s="2">
        <v>3649147</v>
      </c>
      <c r="C1200" s="2">
        <v>51202036520059</v>
      </c>
      <c r="D1200" s="2" t="s">
        <v>22</v>
      </c>
      <c r="E1200" s="2">
        <v>1730632</v>
      </c>
      <c r="F1200" s="2">
        <v>994992757</v>
      </c>
      <c r="G1200" s="3">
        <v>37664</v>
      </c>
      <c r="H1200" s="2" t="s">
        <v>452</v>
      </c>
      <c r="I1200" s="2" t="s">
        <v>2601</v>
      </c>
      <c r="J1200" s="2" t="s">
        <v>1807</v>
      </c>
      <c r="K1200" s="2" t="s">
        <v>39</v>
      </c>
      <c r="L1200" s="2" t="s">
        <v>27</v>
      </c>
      <c r="M1200" s="2">
        <v>5340605</v>
      </c>
      <c r="N1200" s="2" t="s">
        <v>40</v>
      </c>
      <c r="O1200" s="2" t="s">
        <v>140</v>
      </c>
      <c r="P1200" s="2" t="s">
        <v>42</v>
      </c>
      <c r="Q1200" s="4">
        <v>42064</v>
      </c>
      <c r="R1200" s="2" t="s">
        <v>44</v>
      </c>
      <c r="S1200" s="2">
        <v>8</v>
      </c>
      <c r="T1200" s="2" t="s">
        <v>33</v>
      </c>
      <c r="U1200" s="2" t="s">
        <v>34</v>
      </c>
      <c r="V1200" s="32" t="s">
        <v>2721</v>
      </c>
      <c r="W1200" s="21">
        <v>12500000</v>
      </c>
      <c r="X1200" s="12" t="s">
        <v>2625</v>
      </c>
      <c r="Y1200" s="30">
        <f t="shared" si="36"/>
        <v>9693711.1000000015</v>
      </c>
      <c r="Z1200" s="41">
        <f t="shared" si="37"/>
        <v>0.56322261489652348</v>
      </c>
    </row>
    <row r="1201" spans="1:27" ht="26.25">
      <c r="A1201" s="2">
        <v>1199</v>
      </c>
      <c r="B1201" s="2">
        <v>1369952</v>
      </c>
      <c r="C1201" s="2">
        <v>51908027170020</v>
      </c>
      <c r="D1201" s="2" t="s">
        <v>22</v>
      </c>
      <c r="E1201" s="2">
        <v>1592306</v>
      </c>
      <c r="F1201" s="2" t="s">
        <v>2008</v>
      </c>
      <c r="G1201" s="3">
        <v>37487</v>
      </c>
      <c r="H1201" s="2" t="s">
        <v>764</v>
      </c>
      <c r="I1201" s="2" t="s">
        <v>372</v>
      </c>
      <c r="J1201" s="2" t="s">
        <v>2602</v>
      </c>
      <c r="K1201" s="2" t="s">
        <v>26</v>
      </c>
      <c r="L1201" s="2" t="s">
        <v>27</v>
      </c>
      <c r="M1201" s="2">
        <v>5310605</v>
      </c>
      <c r="N1201" s="2" t="s">
        <v>97</v>
      </c>
      <c r="O1201" s="2" t="s">
        <v>223</v>
      </c>
      <c r="P1201" s="2" t="s">
        <v>98</v>
      </c>
      <c r="Q1201" s="2" t="s">
        <v>1001</v>
      </c>
      <c r="R1201" s="2" t="s">
        <v>53</v>
      </c>
      <c r="S1201" s="2">
        <v>8</v>
      </c>
      <c r="T1201" s="2" t="s">
        <v>33</v>
      </c>
      <c r="U1201" s="2" t="s">
        <v>34</v>
      </c>
      <c r="V1201" s="32">
        <v>102601760</v>
      </c>
      <c r="W1201" s="20">
        <v>51301000</v>
      </c>
      <c r="X1201" s="18" t="s">
        <v>2682</v>
      </c>
      <c r="Y1201" s="30">
        <f t="shared" si="36"/>
        <v>51300760</v>
      </c>
      <c r="Z1201" s="41">
        <f t="shared" si="37"/>
        <v>0.50000116957058049</v>
      </c>
    </row>
    <row r="1202" spans="1:27" ht="26.25">
      <c r="A1202" s="2">
        <v>1200</v>
      </c>
      <c r="B1202" s="2">
        <v>3696120</v>
      </c>
      <c r="C1202" s="2">
        <v>52109036730037</v>
      </c>
      <c r="D1202" s="2" t="s">
        <v>74</v>
      </c>
      <c r="E1202" s="2">
        <v>398428</v>
      </c>
      <c r="F1202" s="2" t="s">
        <v>2008</v>
      </c>
      <c r="G1202" s="3">
        <v>37885</v>
      </c>
      <c r="H1202" s="2" t="s">
        <v>2603</v>
      </c>
      <c r="I1202" s="2" t="s">
        <v>2604</v>
      </c>
      <c r="J1202" s="2" t="s">
        <v>2605</v>
      </c>
      <c r="K1202" s="2" t="s">
        <v>26</v>
      </c>
      <c r="L1202" s="2" t="s">
        <v>27</v>
      </c>
      <c r="M1202" s="2">
        <v>5312701</v>
      </c>
      <c r="N1202" s="2" t="s">
        <v>2606</v>
      </c>
      <c r="O1202" s="2" t="s">
        <v>296</v>
      </c>
      <c r="P1202" s="2" t="s">
        <v>199</v>
      </c>
      <c r="Q1202" s="5">
        <v>44492</v>
      </c>
      <c r="R1202" s="2" t="s">
        <v>53</v>
      </c>
      <c r="S1202" s="2">
        <v>8</v>
      </c>
      <c r="T1202" s="2" t="s">
        <v>33</v>
      </c>
      <c r="U1202" s="2" t="s">
        <v>34</v>
      </c>
      <c r="V1202" s="32">
        <v>46170792</v>
      </c>
      <c r="W1202" s="20">
        <v>23100000</v>
      </c>
      <c r="X1202" s="18" t="s">
        <v>2695</v>
      </c>
      <c r="Y1202" s="30">
        <f t="shared" si="36"/>
        <v>23070792</v>
      </c>
      <c r="Z1202" s="41">
        <f t="shared" si="37"/>
        <v>0.50031630386587256</v>
      </c>
    </row>
    <row r="1203" spans="1:27" ht="15.75">
      <c r="A1203" s="2">
        <v>1201</v>
      </c>
      <c r="B1203" s="2">
        <v>3752556</v>
      </c>
      <c r="C1203" s="2">
        <v>52808036220039</v>
      </c>
      <c r="D1203" s="2" t="s">
        <v>22</v>
      </c>
      <c r="E1203" s="2">
        <v>2406227</v>
      </c>
      <c r="F1203" s="2">
        <v>900444419</v>
      </c>
      <c r="G1203" s="3">
        <v>37861</v>
      </c>
      <c r="H1203" s="2" t="s">
        <v>1555</v>
      </c>
      <c r="I1203" s="2" t="s">
        <v>2607</v>
      </c>
      <c r="J1203" s="2" t="s">
        <v>322</v>
      </c>
      <c r="K1203" s="2" t="s">
        <v>39</v>
      </c>
      <c r="L1203" s="2" t="s">
        <v>27</v>
      </c>
      <c r="M1203" s="2">
        <v>5340601</v>
      </c>
      <c r="N1203" s="2" t="s">
        <v>110</v>
      </c>
      <c r="O1203" s="2" t="s">
        <v>241</v>
      </c>
      <c r="P1203" s="2">
        <v>84</v>
      </c>
      <c r="Q1203" s="5">
        <v>44471</v>
      </c>
      <c r="R1203" s="2" t="s">
        <v>44</v>
      </c>
      <c r="S1203" s="2">
        <v>8</v>
      </c>
      <c r="T1203" s="2" t="s">
        <v>33</v>
      </c>
      <c r="U1203" s="2" t="s">
        <v>34</v>
      </c>
      <c r="V1203" s="29" t="s">
        <v>2729</v>
      </c>
      <c r="W1203" s="21">
        <v>10280218.91</v>
      </c>
      <c r="X1203" s="11" t="s">
        <v>2625</v>
      </c>
      <c r="Y1203" s="30">
        <f t="shared" si="36"/>
        <v>8214540.3399999999</v>
      </c>
      <c r="Z1203" s="41">
        <f t="shared" si="37"/>
        <v>0.55584497051509341</v>
      </c>
    </row>
    <row r="1204" spans="1:27">
      <c r="A1204" s="2">
        <v>1202</v>
      </c>
      <c r="B1204" s="2">
        <v>1521352</v>
      </c>
      <c r="C1204" s="2">
        <v>31310996730026</v>
      </c>
      <c r="D1204" s="2" t="s">
        <v>45</v>
      </c>
      <c r="E1204" s="2">
        <v>5525742</v>
      </c>
      <c r="F1204" s="2">
        <v>949225522</v>
      </c>
      <c r="G1204" s="3">
        <v>36446</v>
      </c>
      <c r="H1204" s="2" t="s">
        <v>2608</v>
      </c>
      <c r="I1204" s="2" t="s">
        <v>2609</v>
      </c>
      <c r="J1204" s="2" t="s">
        <v>527</v>
      </c>
      <c r="K1204" s="2" t="s">
        <v>39</v>
      </c>
      <c r="L1204" s="2" t="s">
        <v>57</v>
      </c>
      <c r="M1204" s="2">
        <v>5310400</v>
      </c>
      <c r="N1204" s="2" t="s">
        <v>232</v>
      </c>
      <c r="O1204" s="2" t="s">
        <v>88</v>
      </c>
      <c r="P1204" s="2" t="s">
        <v>139</v>
      </c>
      <c r="Q1204" s="4">
        <v>11110</v>
      </c>
      <c r="R1204" s="2" t="s">
        <v>62</v>
      </c>
      <c r="S1204" s="2">
        <v>8</v>
      </c>
      <c r="T1204" s="2" t="s">
        <v>33</v>
      </c>
      <c r="U1204" s="2" t="s">
        <v>34</v>
      </c>
      <c r="V1204" s="32">
        <v>59781040</v>
      </c>
      <c r="Y1204" s="30">
        <f t="shared" si="36"/>
        <v>59781040</v>
      </c>
      <c r="Z1204" s="41">
        <f t="shared" si="37"/>
        <v>0</v>
      </c>
    </row>
    <row r="1205" spans="1:27" ht="15.75">
      <c r="A1205" s="2">
        <v>1203</v>
      </c>
      <c r="B1205" s="2">
        <v>1981336</v>
      </c>
      <c r="C1205" s="2">
        <v>62502016570039</v>
      </c>
      <c r="D1205" s="2" t="s">
        <v>45</v>
      </c>
      <c r="E1205" s="2">
        <v>6268640</v>
      </c>
      <c r="F1205" s="2">
        <v>908092626</v>
      </c>
      <c r="G1205" s="3">
        <v>36947</v>
      </c>
      <c r="H1205" s="2" t="s">
        <v>2610</v>
      </c>
      <c r="I1205" s="2" t="s">
        <v>2611</v>
      </c>
      <c r="J1205" s="2" t="s">
        <v>2612</v>
      </c>
      <c r="K1205" s="2" t="s">
        <v>26</v>
      </c>
      <c r="L1205" s="2" t="s">
        <v>27</v>
      </c>
      <c r="M1205" s="2">
        <v>5230407</v>
      </c>
      <c r="N1205" s="2" t="s">
        <v>186</v>
      </c>
      <c r="O1205" s="2" t="s">
        <v>175</v>
      </c>
      <c r="P1205" s="2" t="s">
        <v>187</v>
      </c>
      <c r="Q1205" s="2" t="s">
        <v>43</v>
      </c>
      <c r="R1205" s="2" t="s">
        <v>134</v>
      </c>
      <c r="S1205" s="2">
        <v>10</v>
      </c>
      <c r="T1205" s="2" t="s">
        <v>33</v>
      </c>
      <c r="U1205" s="2" t="s">
        <v>34</v>
      </c>
      <c r="V1205" s="32">
        <v>82169370</v>
      </c>
      <c r="W1205" s="20">
        <v>41085000</v>
      </c>
      <c r="X1205" s="17" t="s">
        <v>2671</v>
      </c>
      <c r="Y1205" s="30">
        <f t="shared" si="36"/>
        <v>41084370</v>
      </c>
      <c r="Z1205" s="41">
        <f t="shared" si="37"/>
        <v>0.50000383354527367</v>
      </c>
    </row>
    <row r="1206" spans="1:27" ht="51.75">
      <c r="A1206" s="2">
        <v>1204</v>
      </c>
      <c r="B1206" s="2">
        <v>1951600</v>
      </c>
      <c r="C1206" s="2">
        <v>31401995700012</v>
      </c>
      <c r="D1206" s="2" t="s">
        <v>45</v>
      </c>
      <c r="E1206" s="2">
        <v>5948147</v>
      </c>
      <c r="F1206" s="2">
        <v>909813959</v>
      </c>
      <c r="G1206" s="3">
        <v>36174</v>
      </c>
      <c r="H1206" s="2" t="s">
        <v>2613</v>
      </c>
      <c r="I1206" s="2" t="s">
        <v>2614</v>
      </c>
      <c r="J1206" s="2" t="s">
        <v>2615</v>
      </c>
      <c r="K1206" s="2" t="s">
        <v>39</v>
      </c>
      <c r="L1206" s="2" t="s">
        <v>27</v>
      </c>
      <c r="M1206" s="2">
        <v>5640202</v>
      </c>
      <c r="N1206" s="2" t="s">
        <v>240</v>
      </c>
      <c r="O1206" s="2" t="s">
        <v>41</v>
      </c>
      <c r="P1206" s="2" t="s">
        <v>241</v>
      </c>
      <c r="Q1206" s="2" t="s">
        <v>170</v>
      </c>
      <c r="R1206" s="2" t="s">
        <v>62</v>
      </c>
      <c r="S1206" s="2">
        <v>8</v>
      </c>
      <c r="T1206" s="2" t="s">
        <v>33</v>
      </c>
      <c r="U1206" s="2" t="s">
        <v>34</v>
      </c>
      <c r="V1206" s="29" t="s">
        <v>2748</v>
      </c>
      <c r="W1206" s="20">
        <f>32902000+7000000+6500000</f>
        <v>46402000</v>
      </c>
      <c r="X1206" s="2" t="s">
        <v>2942</v>
      </c>
      <c r="Y1206" s="30">
        <f t="shared" si="36"/>
        <v>7400936</v>
      </c>
      <c r="Z1206" s="41">
        <f t="shared" si="37"/>
        <v>0.86244364062214007</v>
      </c>
      <c r="AA1206" s="42" t="s">
        <v>2798</v>
      </c>
    </row>
    <row r="1207" spans="1:27" ht="26.25">
      <c r="A1207" s="2">
        <v>1205</v>
      </c>
      <c r="B1207" s="2">
        <v>2556498</v>
      </c>
      <c r="C1207" s="2">
        <v>32204937180016</v>
      </c>
      <c r="D1207" s="2" t="s">
        <v>145</v>
      </c>
      <c r="E1207" s="2">
        <v>9422976</v>
      </c>
      <c r="F1207" s="2">
        <v>888599393</v>
      </c>
      <c r="G1207" s="3">
        <v>34081</v>
      </c>
      <c r="H1207" s="2" t="s">
        <v>2616</v>
      </c>
      <c r="I1207" s="2" t="s">
        <v>1768</v>
      </c>
      <c r="J1207" s="2" t="s">
        <v>2617</v>
      </c>
      <c r="K1207" s="2" t="s">
        <v>39</v>
      </c>
      <c r="L1207" s="2" t="s">
        <v>27</v>
      </c>
      <c r="M1207" s="2">
        <v>5310605</v>
      </c>
      <c r="N1207" s="2" t="s">
        <v>97</v>
      </c>
      <c r="O1207" s="2" t="s">
        <v>199</v>
      </c>
      <c r="P1207" s="2" t="s">
        <v>79</v>
      </c>
      <c r="Q1207" s="4">
        <v>42064</v>
      </c>
      <c r="R1207" s="2" t="s">
        <v>62</v>
      </c>
      <c r="S1207" s="2">
        <v>8</v>
      </c>
      <c r="T1207" s="2" t="s">
        <v>508</v>
      </c>
      <c r="U1207" s="2" t="s">
        <v>34</v>
      </c>
      <c r="V1207" s="32">
        <v>22417890</v>
      </c>
      <c r="Y1207" s="30">
        <f t="shared" si="36"/>
        <v>22417890</v>
      </c>
      <c r="Z1207" s="41">
        <f t="shared" si="37"/>
        <v>0</v>
      </c>
    </row>
    <row r="1208" spans="1:27" ht="26.25">
      <c r="A1208" s="2">
        <v>1206</v>
      </c>
      <c r="B1208" s="2">
        <v>2820281</v>
      </c>
      <c r="C1208" s="2">
        <v>32501985590041</v>
      </c>
      <c r="D1208" s="2" t="s">
        <v>45</v>
      </c>
      <c r="E1208" s="2">
        <v>427024</v>
      </c>
      <c r="F1208" s="2">
        <v>906090930</v>
      </c>
      <c r="G1208" s="3">
        <v>35820</v>
      </c>
      <c r="H1208" s="2" t="s">
        <v>2618</v>
      </c>
      <c r="I1208" s="2" t="s">
        <v>2619</v>
      </c>
      <c r="J1208" s="2" t="s">
        <v>1333</v>
      </c>
      <c r="K1208" s="2" t="s">
        <v>39</v>
      </c>
      <c r="L1208" s="2" t="s">
        <v>27</v>
      </c>
      <c r="M1208" s="2">
        <v>5340604</v>
      </c>
      <c r="N1208" s="2" t="s">
        <v>354</v>
      </c>
      <c r="O1208" s="2" t="s">
        <v>122</v>
      </c>
      <c r="P1208" s="2" t="s">
        <v>42</v>
      </c>
      <c r="Q1208" s="2" t="s">
        <v>170</v>
      </c>
      <c r="R1208" s="2" t="s">
        <v>44</v>
      </c>
      <c r="S1208" s="2">
        <v>8</v>
      </c>
      <c r="T1208" s="2" t="s">
        <v>33</v>
      </c>
      <c r="U1208" s="2" t="s">
        <v>34</v>
      </c>
      <c r="V1208" s="29" t="s">
        <v>2722</v>
      </c>
      <c r="W1208" s="20">
        <v>29592000</v>
      </c>
      <c r="X1208" s="2" t="s">
        <v>2686</v>
      </c>
      <c r="Y1208" s="30">
        <f t="shared" si="36"/>
        <v>29591229.600000001</v>
      </c>
      <c r="Z1208" s="41">
        <f t="shared" si="37"/>
        <v>0.50000650860053775</v>
      </c>
    </row>
    <row r="1209" spans="1:27" ht="26.25">
      <c r="A1209" s="2">
        <v>1207</v>
      </c>
      <c r="B1209" s="2">
        <v>3448099</v>
      </c>
      <c r="C1209" s="2">
        <v>52009035650012</v>
      </c>
      <c r="D1209" s="2" t="s">
        <v>22</v>
      </c>
      <c r="E1209" s="2">
        <v>2243708</v>
      </c>
      <c r="F1209" s="2">
        <v>906154632</v>
      </c>
      <c r="G1209" s="3">
        <v>37884</v>
      </c>
      <c r="H1209" s="2" t="s">
        <v>278</v>
      </c>
      <c r="I1209" s="2" t="s">
        <v>2620</v>
      </c>
      <c r="J1209" s="2" t="s">
        <v>511</v>
      </c>
      <c r="K1209" s="2" t="s">
        <v>26</v>
      </c>
      <c r="L1209" s="2" t="s">
        <v>27</v>
      </c>
      <c r="M1209" s="2">
        <v>5620701</v>
      </c>
      <c r="N1209" s="2" t="s">
        <v>218</v>
      </c>
      <c r="O1209" s="2">
        <v>42</v>
      </c>
      <c r="P1209" s="2" t="s">
        <v>224</v>
      </c>
      <c r="Q1209" s="2" t="s">
        <v>1675</v>
      </c>
      <c r="R1209" s="2" t="s">
        <v>53</v>
      </c>
      <c r="S1209" s="2">
        <v>8</v>
      </c>
      <c r="T1209" s="2" t="s">
        <v>33</v>
      </c>
      <c r="U1209" s="2" t="s">
        <v>34</v>
      </c>
      <c r="V1209" s="32">
        <v>92341584</v>
      </c>
      <c r="W1209" s="20">
        <v>46200000</v>
      </c>
      <c r="X1209" s="2" t="s">
        <v>2671</v>
      </c>
      <c r="Y1209" s="30">
        <f t="shared" si="36"/>
        <v>46141584</v>
      </c>
      <c r="Z1209" s="41">
        <f t="shared" si="37"/>
        <v>0.50031630386587256</v>
      </c>
    </row>
    <row r="1210" spans="1:27" ht="15.75" thickTop="1">
      <c r="A1210" s="6">
        <v>1208</v>
      </c>
      <c r="B1210" s="6">
        <v>3192668</v>
      </c>
      <c r="C1210" s="6"/>
      <c r="D1210" s="6" t="s">
        <v>2737</v>
      </c>
      <c r="E1210" s="6">
        <v>6677985</v>
      </c>
      <c r="F1210" s="6">
        <v>970000427</v>
      </c>
      <c r="G1210" s="6" t="s">
        <v>2738</v>
      </c>
      <c r="H1210" s="6" t="s">
        <v>1673</v>
      </c>
      <c r="I1210" s="6" t="s">
        <v>410</v>
      </c>
      <c r="J1210" s="6" t="s">
        <v>2739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34" t="s">
        <v>2740</v>
      </c>
      <c r="W1210" s="20">
        <v>34000000</v>
      </c>
      <c r="X1210" s="2" t="s">
        <v>2741</v>
      </c>
      <c r="Y1210" s="30">
        <f t="shared" si="36"/>
        <v>25781040</v>
      </c>
      <c r="Z1210" s="41">
        <f t="shared" si="37"/>
        <v>0.56874219652250946</v>
      </c>
    </row>
    <row r="1211" spans="1:27" s="37" customFormat="1">
      <c r="A1211" s="2">
        <v>1209</v>
      </c>
      <c r="D1211" s="2" t="s">
        <v>22</v>
      </c>
      <c r="E1211" s="2">
        <v>2042796</v>
      </c>
      <c r="F1211" s="37">
        <v>996172332</v>
      </c>
      <c r="G1211" s="37" t="s">
        <v>2758</v>
      </c>
      <c r="H1211" s="37" t="s">
        <v>734</v>
      </c>
      <c r="I1211" s="37" t="s">
        <v>2759</v>
      </c>
      <c r="J1211" s="37" t="s">
        <v>2760</v>
      </c>
      <c r="V1211" s="38" t="s">
        <v>2761</v>
      </c>
      <c r="W1211" s="39">
        <v>3209800</v>
      </c>
      <c r="X1211" s="37" t="s">
        <v>2762</v>
      </c>
      <c r="Y1211" s="30">
        <f t="shared" si="36"/>
        <v>3202810</v>
      </c>
      <c r="Z1211" s="41">
        <f t="shared" si="37"/>
        <v>0.50054501989049704</v>
      </c>
      <c r="AA1211" s="37" t="s">
        <v>2763</v>
      </c>
    </row>
    <row r="1212" spans="1:27">
      <c r="A1212" s="2">
        <v>1210</v>
      </c>
      <c r="D1212" s="2" t="s">
        <v>145</v>
      </c>
      <c r="E1212" s="2">
        <v>9598723</v>
      </c>
      <c r="F1212" s="2">
        <v>995614420</v>
      </c>
      <c r="G1212" t="s">
        <v>2764</v>
      </c>
      <c r="H1212" s="2" t="s">
        <v>2765</v>
      </c>
      <c r="I1212" s="2" t="s">
        <v>505</v>
      </c>
      <c r="J1212" s="2" t="s">
        <v>1333</v>
      </c>
      <c r="V1212" s="35" t="s">
        <v>2766</v>
      </c>
      <c r="W1212" s="20">
        <v>2890000</v>
      </c>
      <c r="X1212" s="2" t="s">
        <v>2767</v>
      </c>
      <c r="Y1212" s="30">
        <f t="shared" si="36"/>
        <v>2881349</v>
      </c>
      <c r="Z1212" s="41">
        <f t="shared" si="37"/>
        <v>0.50074947815493398</v>
      </c>
      <c r="AA1212" t="s">
        <v>2763</v>
      </c>
    </row>
    <row r="1213" spans="1:27">
      <c r="A1213" s="2">
        <v>1211</v>
      </c>
      <c r="D1213" s="2" t="s">
        <v>45</v>
      </c>
      <c r="E1213" s="2">
        <v>9870000</v>
      </c>
      <c r="F1213" s="2">
        <v>974641881</v>
      </c>
      <c r="G1213" t="s">
        <v>2768</v>
      </c>
      <c r="H1213" s="2" t="s">
        <v>622</v>
      </c>
      <c r="I1213" s="2" t="s">
        <v>2769</v>
      </c>
      <c r="J1213" s="2" t="s">
        <v>1426</v>
      </c>
      <c r="V1213" s="35" t="s">
        <v>2761</v>
      </c>
      <c r="W1213" s="20">
        <v>3412610</v>
      </c>
      <c r="X1213" s="2" t="s">
        <v>2770</v>
      </c>
      <c r="Y1213" s="30">
        <f t="shared" si="36"/>
        <v>3000000</v>
      </c>
      <c r="Z1213" s="41">
        <f t="shared" si="37"/>
        <v>0.53217176781372955</v>
      </c>
      <c r="AA1213" t="s">
        <v>2763</v>
      </c>
    </row>
    <row r="1214" spans="1:27">
      <c r="A1214" s="2">
        <v>1212</v>
      </c>
      <c r="D1214" s="2" t="s">
        <v>145</v>
      </c>
      <c r="E1214" s="2">
        <v>6138185</v>
      </c>
      <c r="F1214" s="2">
        <v>977413116</v>
      </c>
      <c r="G1214" t="s">
        <v>2776</v>
      </c>
      <c r="H1214" s="2" t="s">
        <v>2777</v>
      </c>
      <c r="I1214" s="2" t="s">
        <v>2778</v>
      </c>
      <c r="J1214" s="2" t="s">
        <v>2779</v>
      </c>
      <c r="V1214" s="35" t="s">
        <v>2780</v>
      </c>
      <c r="W1214" s="20">
        <v>4110000</v>
      </c>
      <c r="X1214" s="2" t="s">
        <v>2781</v>
      </c>
      <c r="Y1214" s="30">
        <f t="shared" si="36"/>
        <v>-53.5</v>
      </c>
      <c r="Z1214" s="41">
        <f t="shared" si="37"/>
        <v>1.0000130172010755</v>
      </c>
      <c r="AA1214" t="s">
        <v>2763</v>
      </c>
    </row>
    <row r="1215" spans="1:27">
      <c r="A1215" s="2">
        <v>1213</v>
      </c>
      <c r="D1215" s="2" t="s">
        <v>145</v>
      </c>
      <c r="E1215" s="2">
        <v>3456678</v>
      </c>
      <c r="F1215" s="2">
        <v>334270507</v>
      </c>
      <c r="G1215" t="s">
        <v>2782</v>
      </c>
      <c r="H1215" s="2" t="s">
        <v>2057</v>
      </c>
      <c r="I1215" s="2" t="s">
        <v>1961</v>
      </c>
      <c r="J1215" s="2" t="s">
        <v>2783</v>
      </c>
      <c r="V1215" s="35" t="s">
        <v>2761</v>
      </c>
      <c r="W1215" s="20">
        <v>3210000</v>
      </c>
      <c r="X1215" s="2" t="s">
        <v>2784</v>
      </c>
      <c r="Y1215" s="30">
        <f t="shared" si="36"/>
        <v>3202610</v>
      </c>
      <c r="Z1215" s="41">
        <f t="shared" si="37"/>
        <v>0.50057620843930939</v>
      </c>
      <c r="AA1215" t="s">
        <v>2763</v>
      </c>
    </row>
    <row r="1216" spans="1:27" ht="15.75" thickBot="1">
      <c r="A1216" s="2">
        <v>1214</v>
      </c>
      <c r="D1216" s="2" t="s">
        <v>22</v>
      </c>
      <c r="E1216" s="2">
        <v>1452447</v>
      </c>
      <c r="F1216" s="2">
        <v>997967674</v>
      </c>
      <c r="G1216" t="s">
        <v>2785</v>
      </c>
      <c r="H1216" s="2" t="s">
        <v>2786</v>
      </c>
      <c r="I1216" s="2" t="s">
        <v>2787</v>
      </c>
      <c r="J1216" s="2" t="s">
        <v>2788</v>
      </c>
      <c r="V1216" s="35" t="s">
        <v>2789</v>
      </c>
      <c r="W1216" s="20">
        <v>52000000</v>
      </c>
      <c r="X1216" s="2" t="s">
        <v>2790</v>
      </c>
      <c r="Y1216" s="30">
        <f t="shared" si="36"/>
        <v>50601760</v>
      </c>
      <c r="Z1216" s="41">
        <f t="shared" si="37"/>
        <v>0.506813918201793</v>
      </c>
    </row>
    <row r="1217" spans="1:23" s="37" customFormat="1" ht="14.25" thickTop="1" thickBot="1">
      <c r="A1217" s="6">
        <v>1215</v>
      </c>
      <c r="B1217" s="37">
        <v>3261080</v>
      </c>
      <c r="C1217" s="37">
        <v>52801000000000</v>
      </c>
      <c r="D1217" s="37" t="s">
        <v>22</v>
      </c>
      <c r="E1217" s="37">
        <v>2444433</v>
      </c>
      <c r="F1217" s="37">
        <v>930087129</v>
      </c>
      <c r="G1217" s="37">
        <v>38014</v>
      </c>
      <c r="H1217" s="37" t="s">
        <v>2803</v>
      </c>
      <c r="I1217" s="37" t="s">
        <v>2804</v>
      </c>
      <c r="J1217" s="37" t="s">
        <v>2805</v>
      </c>
      <c r="K1217" s="37" t="s">
        <v>26</v>
      </c>
      <c r="L1217" s="37" t="s">
        <v>27</v>
      </c>
      <c r="M1217" s="37">
        <v>5230902</v>
      </c>
      <c r="N1217" s="37" t="s">
        <v>251</v>
      </c>
      <c r="O1217" s="37" t="s">
        <v>2115</v>
      </c>
      <c r="P1217" s="37" t="s">
        <v>798</v>
      </c>
      <c r="Q1217" s="37">
        <v>44682</v>
      </c>
      <c r="R1217" s="37" t="s">
        <v>134</v>
      </c>
      <c r="S1217" s="37">
        <v>10</v>
      </c>
      <c r="T1217" s="37" t="s">
        <v>33</v>
      </c>
      <c r="U1217" s="37" t="s">
        <v>34</v>
      </c>
      <c r="V1217" s="37" t="s">
        <v>2806</v>
      </c>
      <c r="W1217" s="39"/>
    </row>
    <row r="1218" spans="1:23" s="37" customFormat="1" ht="13.5" thickTop="1">
      <c r="A1218" s="6">
        <v>1216</v>
      </c>
      <c r="B1218" s="37">
        <v>3304996</v>
      </c>
      <c r="C1218" s="37">
        <v>51108047420017</v>
      </c>
      <c r="D1218" s="37" t="s">
        <v>22</v>
      </c>
      <c r="E1218" s="37">
        <v>3075494</v>
      </c>
      <c r="F1218" s="37">
        <v>976042303</v>
      </c>
      <c r="G1218" s="37">
        <v>38210</v>
      </c>
      <c r="H1218" s="37" t="s">
        <v>2807</v>
      </c>
      <c r="I1218" s="37" t="s">
        <v>821</v>
      </c>
      <c r="J1218" s="37" t="s">
        <v>102</v>
      </c>
      <c r="K1218" s="37" t="s">
        <v>26</v>
      </c>
      <c r="L1218" s="37" t="s">
        <v>57</v>
      </c>
      <c r="M1218" s="37">
        <v>5310605</v>
      </c>
      <c r="N1218" s="37" t="s">
        <v>97</v>
      </c>
      <c r="O1218" s="37">
        <v>63</v>
      </c>
      <c r="P1218" s="37" t="s">
        <v>41</v>
      </c>
      <c r="Q1218" s="37">
        <v>44836</v>
      </c>
      <c r="R1218" s="37" t="s">
        <v>53</v>
      </c>
      <c r="S1218" s="37">
        <v>8</v>
      </c>
      <c r="T1218" s="37" t="s">
        <v>33</v>
      </c>
      <c r="U1218" s="37" t="s">
        <v>34</v>
      </c>
      <c r="V1218" s="37" t="s">
        <v>2808</v>
      </c>
      <c r="W1218" s="39"/>
    </row>
    <row r="1219" spans="1:23">
      <c r="A1219" s="2">
        <v>1217</v>
      </c>
    </row>
  </sheetData>
  <autoFilter ref="A1:AA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ExportWorksheet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User</cp:lastModifiedBy>
  <dcterms:created xsi:type="dcterms:W3CDTF">2021-11-22T06:12:32Z</dcterms:created>
  <dcterms:modified xsi:type="dcterms:W3CDTF">2022-04-08T11:11:13Z</dcterms:modified>
</cp:coreProperties>
</file>