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Автоматизированный расчет" sheetId="1" state="visible" r:id="rId3"/>
    <sheet name="Соответствие" sheetId="2" state="visible" r:id="rId4"/>
    <sheet name="SummaryReport" sheetId="3" state="visible" r:id="rId5"/>
    <sheet name="Результаты всех тестов" sheetId="4" state="visible" r:id="rId6"/>
  </sheets>
  <calcPr iterateCount="100" refMode="A1" iterate="false" iterateDelta="0.0001"/>
  <pivotCaches>
    <pivotCache cacheId="1" r:id="rId8"/>
  </pivotCaches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Microsoft Office User</author>
  </authors>
  <commentList>
    <comment ref="M28" authorId="0">
      <text>
        <r>
          <rPr>
            <sz val="10"/>
            <rFont val="Arial"/>
            <family val="2"/>
            <charset val="204"/>
          </rPr>
          <t xml:space="preserve">Microsoft Office User:
</t>
        </r>
        <r>
          <rPr>
            <sz val="10"/>
            <color rgb="FF000000"/>
            <rFont val="Tahoma"/>
            <family val="2"/>
            <charset val="1"/>
          </rPr>
          <t xml:space="preserve">1. Отображение состояния скриптов
2. Расчёт интенсивности
3. Расчёт интенсивности для каждой транзакции</t>
        </r>
      </text>
    </comment>
    <comment ref="N2" authorId="0">
      <text>
        <r>
          <rPr>
            <sz val="10"/>
            <rFont val="Arial"/>
            <family val="2"/>
            <charset val="204"/>
          </rPr>
          <t xml:space="preserve">Microsoft Office User:
</t>
        </r>
        <r>
          <rPr>
            <sz val="10"/>
            <color rgb="FF000000"/>
            <rFont val="Tahoma"/>
            <family val="2"/>
            <charset val="204"/>
          </rPr>
          <t xml:space="preserve">Duration - заполняется на основе данных после выполнения итерации соотвествующего скрипта в Vugen'е</t>
        </r>
      </text>
    </comment>
    <comment ref="O2" authorId="0">
      <text>
        <r>
          <rPr>
            <sz val="10"/>
            <rFont val="Arial"/>
            <family val="2"/>
            <charset val="204"/>
          </rPr>
          <t xml:space="preserve">Microsoft Office User:
</t>
        </r>
        <r>
          <rPr>
            <sz val="10"/>
            <color rgb="FF000000"/>
            <rFont val="Tahoma"/>
            <family val="2"/>
            <charset val="204"/>
          </rPr>
          <t xml:space="preserve">ThinkTime - заполнятеся на основе ThinkTime'ов по выполнению одной итерации соотвествующего скрипта в Vugen'е</t>
        </r>
      </text>
    </comment>
    <comment ref="Q2" authorId="0">
      <text>
        <r>
          <rPr>
            <sz val="10"/>
            <rFont val="Arial"/>
            <family val="2"/>
            <charset val="204"/>
          </rPr>
          <t xml:space="preserve">Microsoft Office User:
</t>
        </r>
        <r>
          <rPr>
            <sz val="10"/>
            <color rgb="FF000000"/>
            <rFont val="Tahoma"/>
            <family val="2"/>
            <charset val="204"/>
          </rPr>
          <t xml:space="preserve"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>
      <text>
        <r>
          <rPr>
            <sz val="10"/>
            <rFont val="Arial"/>
            <family val="2"/>
            <charset val="204"/>
          </rPr>
          <t xml:space="preserve">Microsoft Office User:
</t>
        </r>
        <r>
          <rPr>
            <sz val="10"/>
            <color rgb="FF000000"/>
            <rFont val="Tahoma"/>
            <family val="2"/>
            <charset val="204"/>
          </rPr>
          <t xml:space="preserve"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<sst xmlns="http://schemas.openxmlformats.org/spreadsheetml/2006/main" count="345" uniqueCount="94">
  <si>
    <t xml:space="preserve">Script name</t>
  </si>
  <si>
    <t xml:space="preserve">transaction rq</t>
  </si>
  <si>
    <t xml:space="preserve">count</t>
  </si>
  <si>
    <t xml:space="preserve">VU</t>
  </si>
  <si>
    <t xml:space="preserve">pacing</t>
  </si>
  <si>
    <t xml:space="preserve">одним пользователем в минуту</t>
  </si>
  <si>
    <t xml:space="preserve">Длительность ступени</t>
  </si>
  <si>
    <t xml:space="preserve">Итого</t>
  </si>
  <si>
    <t xml:space="preserve">Сумма по полю Итого</t>
  </si>
  <si>
    <t xml:space="preserve">Операция (бизнес процесс)</t>
  </si>
  <si>
    <t xml:space="preserve">Duration</t>
  </si>
  <si>
    <t xml:space="preserve">Think_time</t>
  </si>
  <si>
    <t xml:space="preserve">Duration + Think_time</t>
  </si>
  <si>
    <t xml:space="preserve">Pacing</t>
  </si>
  <si>
    <t xml:space="preserve">% Распределения пользователей</t>
  </si>
  <si>
    <t xml:space="preserve">Jmeter, throughput per minute</t>
  </si>
  <si>
    <t xml:space="preserve">Длительность ступени в минутах</t>
  </si>
  <si>
    <t xml:space="preserve">Интенсивность операций</t>
  </si>
  <si>
    <t xml:space="preserve">Всего пользователей на ступени</t>
  </si>
  <si>
    <t xml:space="preserve">Покупка билета</t>
  </si>
  <si>
    <t xml:space="preserve">Главная Welcome страница</t>
  </si>
  <si>
    <t xml:space="preserve">Вход в систему</t>
  </si>
  <si>
    <t xml:space="preserve">Выбор рейса из найденных </t>
  </si>
  <si>
    <t xml:space="preserve">Удаление бронирования </t>
  </si>
  <si>
    <t xml:space="preserve">Переход на страницу поиска билетов</t>
  </si>
  <si>
    <t xml:space="preserve">Выход из системы</t>
  </si>
  <si>
    <t xml:space="preserve">Регистрация новых пользователей</t>
  </si>
  <si>
    <t xml:space="preserve">Заполнение полей для поиска билета </t>
  </si>
  <si>
    <t xml:space="preserve">Поиск билета без покупки</t>
  </si>
  <si>
    <t xml:space="preserve">Оплата билета</t>
  </si>
  <si>
    <t xml:space="preserve">Ознакомление с путевым листом</t>
  </si>
  <si>
    <t xml:space="preserve">Отмена бронирования </t>
  </si>
  <si>
    <t xml:space="preserve">Логин</t>
  </si>
  <si>
    <t xml:space="preserve">Просмотр квитанций</t>
  </si>
  <si>
    <t xml:space="preserve">Перход на страницу регистрации</t>
  </si>
  <si>
    <t xml:space="preserve">Заполнение полей регистарции</t>
  </si>
  <si>
    <t xml:space="preserve">Переход на следуюущий эран после регистарции</t>
  </si>
  <si>
    <t xml:space="preserve">(пусто)</t>
  </si>
  <si>
    <t xml:space="preserve">Итог Результат</t>
  </si>
  <si>
    <t xml:space="preserve">Статистика с ПРОДа</t>
  </si>
  <si>
    <t xml:space="preserve">Профиль</t>
  </si>
  <si>
    <t xml:space="preserve">Название запроса</t>
  </si>
  <si>
    <t xml:space="preserve">Интенсивность по статистике запросов / час</t>
  </si>
  <si>
    <t xml:space="preserve">Расчетная интенсивность запросов / час</t>
  </si>
  <si>
    <t xml:space="preserve">% Соотвествия расчетанной интенсивности статистики</t>
  </si>
  <si>
    <t xml:space="preserve">ScriptName</t>
  </si>
  <si>
    <t xml:space="preserve">Расчетная интенсивность запросов / 20 мин</t>
  </si>
  <si>
    <t xml:space="preserve">Фактическая интенсивность в тесте</t>
  </si>
  <si>
    <t xml:space="preserve">% Отклонение от Профиля</t>
  </si>
  <si>
    <t xml:space="preserve"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</si>
  <si>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 xml:space="preserve">Имя в статистике</t>
  </si>
  <si>
    <t xml:space="preserve">Имя в скрипте</t>
  </si>
  <si>
    <t xml:space="preserve">home_page</t>
  </si>
  <si>
    <t xml:space="preserve">login</t>
  </si>
  <si>
    <t xml:space="preserve">flights</t>
  </si>
  <si>
    <t xml:space="preserve">find_flight</t>
  </si>
  <si>
    <t xml:space="preserve">payment</t>
  </si>
  <si>
    <t xml:space="preserve">true_invoice</t>
  </si>
  <si>
    <t xml:space="preserve">itinerary</t>
  </si>
  <si>
    <t xml:space="preserve">delete_flights</t>
  </si>
  <si>
    <t xml:space="preserve">sign_off</t>
  </si>
  <si>
    <t xml:space="preserve">sign_up</t>
  </si>
  <si>
    <t xml:space="preserve">registration</t>
  </si>
  <si>
    <t xml:space="preserve">continue_registration</t>
  </si>
  <si>
    <t xml:space="preserve">Transaction Name</t>
  </si>
  <si>
    <t xml:space="preserve">SLA Status</t>
  </si>
  <si>
    <t xml:space="preserve">Minimum</t>
  </si>
  <si>
    <t xml:space="preserve">Average</t>
  </si>
  <si>
    <t xml:space="preserve">Maximum</t>
  </si>
  <si>
    <t xml:space="preserve">Std. Deviation</t>
  </si>
  <si>
    <t xml:space="preserve">90 Percent</t>
  </si>
  <si>
    <t xml:space="preserve">Pass</t>
  </si>
  <si>
    <t xml:space="preserve">Fail</t>
  </si>
  <si>
    <t xml:space="preserve">Stop</t>
  </si>
  <si>
    <t xml:space="preserve">Action_Transaction</t>
  </si>
  <si>
    <t xml:space="preserve">No Data</t>
  </si>
  <si>
    <t xml:space="preserve">UC01_registration</t>
  </si>
  <si>
    <t xml:space="preserve">UC02_searchTicket_withoutBuy</t>
  </si>
  <si>
    <t xml:space="preserve">UC03_viewingItinerary</t>
  </si>
  <si>
    <t xml:space="preserve">UC04_buyTicket</t>
  </si>
  <si>
    <t xml:space="preserve">UC05_deleteTicket</t>
  </si>
  <si>
    <t xml:space="preserve">UC06_searchTicket_withoutSelectFlight</t>
  </si>
  <si>
    <t xml:space="preserve">UC07_login</t>
  </si>
  <si>
    <t xml:space="preserve">Профиль для 10 пользователей</t>
  </si>
  <si>
    <t xml:space="preserve">Наименование операции</t>
  </si>
  <si>
    <t xml:space="preserve">Наименование транзакции</t>
  </si>
  <si>
    <t xml:space="preserve">По профилю</t>
  </si>
  <si>
    <t xml:space="preserve">По факту</t>
  </si>
  <si>
    <t xml:space="preserve">% отклонения</t>
  </si>
  <si>
    <t xml:space="preserve">Заполнение полей для поиска билета</t>
  </si>
  <si>
    <t xml:space="preserve">Поиск максимума для 110 пользователей</t>
  </si>
  <si>
    <r>
      <rPr>
        <sz val="11"/>
        <color theme="1"/>
        <rFont val="Calibri"/>
        <family val="2"/>
        <charset val="1"/>
      </rPr>
      <t xml:space="preserve">Подтверждение максимума</t>
    </r>
    <r>
      <rPr>
        <sz val="11"/>
        <color theme="1"/>
        <rFont val="Calibri"/>
        <family val="2"/>
        <charset val="204"/>
      </rPr>
      <t xml:space="preserve"> для 110 пользователей</t>
    </r>
  </si>
  <si>
    <t xml:space="preserve">Стресс пиковое для 220 пользователей</t>
  </si>
  <si>
    <t xml:space="preserve">Стресс объемное для 110 пользователей</t>
  </si>
</sst>
</file>

<file path=xl/styles.xml><?xml version="1.0" encoding="utf-8"?>
<styleSheet xmlns="http://schemas.openxmlformats.org/spreadsheetml/2006/main">
  <numFmts count="10">
    <numFmt numFmtId="164" formatCode="0.000000"/>
    <numFmt numFmtId="165" formatCode="0.00000"/>
    <numFmt numFmtId="166" formatCode="0.0000"/>
    <numFmt numFmtId="167" formatCode="0.000"/>
    <numFmt numFmtId="168" formatCode="0.00"/>
    <numFmt numFmtId="169" formatCode="0.0"/>
    <numFmt numFmtId="170" formatCode="0"/>
    <numFmt numFmtId="171" formatCode="General"/>
    <numFmt numFmtId="172" formatCode="0%"/>
    <numFmt numFmtId="173" formatCode="0.0%"/>
  </numFmts>
  <fonts count="19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2"/>
      <charset val="204"/>
    </font>
    <font>
      <sz val="11"/>
      <color theme="0"/>
      <name val="Calibri"/>
      <family val="2"/>
      <charset val="204"/>
    </font>
    <font>
      <b val="true"/>
      <sz val="11"/>
      <color theme="1"/>
      <name val="Calibri"/>
      <family val="2"/>
      <charset val="1"/>
    </font>
    <font>
      <sz val="11"/>
      <color rgb="FF9C6500"/>
      <name val="Calibri"/>
      <family val="2"/>
      <charset val="204"/>
    </font>
    <font>
      <sz val="11"/>
      <name val="Calibri"/>
      <family val="2"/>
      <charset val="1"/>
    </font>
    <font>
      <sz val="11"/>
      <color theme="0" tint="-0.25"/>
      <name val="Calibri"/>
      <family val="2"/>
      <charset val="1"/>
    </font>
    <font>
      <sz val="14"/>
      <color theme="1"/>
      <name val="Calibri"/>
      <family val="2"/>
      <charset val="1"/>
    </font>
    <font>
      <sz val="14"/>
      <color rgb="FF000000"/>
      <name val="Times New Roman"/>
      <family val="1"/>
      <charset val="204"/>
    </font>
    <font>
      <b val="true"/>
      <sz val="14"/>
      <color rgb="FF000000"/>
      <name val="Times New Roman"/>
      <family val="1"/>
      <charset val="204"/>
    </font>
    <font>
      <sz val="10"/>
      <name val="Arial"/>
      <family val="2"/>
      <charset val="204"/>
    </font>
    <font>
      <sz val="10"/>
      <color rgb="FF000000"/>
      <name val="Tahoma"/>
      <family val="2"/>
      <charset val="1"/>
    </font>
    <font>
      <sz val="10"/>
      <color rgb="FF000000"/>
      <name val="Tahoma"/>
      <family val="2"/>
      <charset val="204"/>
    </font>
    <font>
      <b val="true"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</fonts>
  <fills count="28">
    <fill>
      <patternFill patternType="none"/>
    </fill>
    <fill>
      <patternFill patternType="gray125"/>
    </fill>
    <fill>
      <patternFill patternType="solid">
        <fgColor theme="4" tint="0.7999"/>
        <bgColor rgb="FFDAE3F3"/>
      </patternFill>
    </fill>
    <fill>
      <patternFill patternType="solid">
        <fgColor theme="5" tint="0.7999"/>
        <bgColor rgb="FFFFF2CC"/>
      </patternFill>
    </fill>
    <fill>
      <patternFill patternType="solid">
        <fgColor theme="6" tint="0.7999"/>
        <bgColor rgb="FFDEEBF7"/>
      </patternFill>
    </fill>
    <fill>
      <patternFill patternType="solid">
        <fgColor theme="7" tint="0.7999"/>
        <bgColor rgb="FFFFFFCC"/>
      </patternFill>
    </fill>
    <fill>
      <patternFill patternType="solid">
        <fgColor theme="8" tint="0.7999"/>
        <bgColor rgb="FFDEEBF7"/>
      </patternFill>
    </fill>
    <fill>
      <patternFill patternType="solid">
        <fgColor theme="9" tint="0.7999"/>
        <bgColor rgb="FFEDEDED"/>
      </patternFill>
    </fill>
    <fill>
      <patternFill patternType="solid">
        <fgColor theme="4" tint="0.5999"/>
        <bgColor rgb="FFB4C7E7"/>
      </patternFill>
    </fill>
    <fill>
      <patternFill patternType="solid">
        <fgColor theme="5" tint="0.5999"/>
        <bgColor rgb="FFFFE699"/>
      </patternFill>
    </fill>
    <fill>
      <patternFill patternType="solid">
        <fgColor theme="6" tint="0.5999"/>
        <bgColor rgb="FFD9D9D9"/>
      </patternFill>
    </fill>
    <fill>
      <patternFill patternType="solid">
        <fgColor theme="7" tint="0.5999"/>
        <bgColor rgb="FFFFEB9C"/>
      </patternFill>
    </fill>
    <fill>
      <patternFill patternType="solid">
        <fgColor theme="8" tint="0.5999"/>
        <bgColor rgb="FF9DC3E6"/>
      </patternFill>
    </fill>
    <fill>
      <patternFill patternType="solid">
        <fgColor theme="9" tint="0.5999"/>
        <bgColor rgb="FFD9D9D9"/>
      </patternFill>
    </fill>
    <fill>
      <patternFill patternType="solid">
        <fgColor theme="4" tint="0.3999"/>
        <bgColor rgb="FFB4C7E7"/>
      </patternFill>
    </fill>
    <fill>
      <patternFill patternType="solid">
        <fgColor theme="5" tint="0.3999"/>
        <bgColor rgb="FFF8CBAD"/>
      </patternFill>
    </fill>
    <fill>
      <patternFill patternType="solid">
        <fgColor theme="6" tint="0.3999"/>
        <bgColor rgb="FFD0CECE"/>
      </patternFill>
    </fill>
    <fill>
      <patternFill patternType="solid">
        <fgColor theme="7" tint="0.3999"/>
        <bgColor rgb="FFFFE699"/>
      </patternFill>
    </fill>
    <fill>
      <patternFill patternType="solid">
        <fgColor theme="8" tint="0.3999"/>
        <bgColor rgb="FF9DC3E6"/>
      </patternFill>
    </fill>
    <fill>
      <patternFill patternType="solid">
        <fgColor theme="9" tint="0.3999"/>
        <bgColor rgb="FFC5E0B4"/>
      </patternFill>
    </fill>
    <fill>
      <patternFill patternType="solid">
        <fgColor rgb="FFFFEB9C"/>
        <bgColor rgb="FFFFE699"/>
      </patternFill>
    </fill>
    <fill>
      <patternFill patternType="solid">
        <fgColor rgb="FFFFFFCC"/>
        <bgColor rgb="FFFFF2CC"/>
      </patternFill>
    </fill>
    <fill>
      <patternFill patternType="solid">
        <fgColor theme="2" tint="-0.1"/>
        <bgColor rgb="FFC9C9C9"/>
      </patternFill>
    </fill>
    <fill>
      <patternFill patternType="solid">
        <fgColor theme="7"/>
        <bgColor rgb="FFFFD966"/>
      </patternFill>
    </fill>
    <fill>
      <patternFill patternType="solid">
        <fgColor rgb="FFFFFF00"/>
        <bgColor rgb="FFFFD966"/>
      </patternFill>
    </fill>
    <fill>
      <patternFill patternType="solid">
        <fgColor theme="0" tint="-0.15"/>
        <bgColor rgb="FFDBDBDB"/>
      </patternFill>
    </fill>
    <fill>
      <patternFill patternType="solid">
        <fgColor theme="3" tint="0.5999"/>
        <bgColor rgb="FFB2B2B2"/>
      </patternFill>
    </fill>
    <fill>
      <patternFill patternType="solid">
        <fgColor theme="0"/>
        <bgColor rgb="FFFFFFCC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/>
      <diagonal/>
    </border>
  </borders>
  <cellStyleXfs count="64">
    <xf numFmtId="171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4" fillId="2" borderId="0" applyFont="true" applyBorder="false" applyAlignment="true" applyProtection="false">
      <alignment horizontal="general" vertical="bottom" textRotation="0" wrapText="false" indent="0" shrinkToFit="false"/>
    </xf>
    <xf numFmtId="171" fontId="4" fillId="2" borderId="0" applyFont="true" applyBorder="false" applyAlignment="true" applyProtection="false">
      <alignment horizontal="general" vertical="bottom" textRotation="0" wrapText="false" indent="0" shrinkToFit="false"/>
    </xf>
    <xf numFmtId="171" fontId="4" fillId="3" borderId="0" applyFont="true" applyBorder="false" applyAlignment="true" applyProtection="false">
      <alignment horizontal="general" vertical="bottom" textRotation="0" wrapText="false" indent="0" shrinkToFit="false"/>
    </xf>
    <xf numFmtId="171" fontId="4" fillId="3" borderId="0" applyFont="true" applyBorder="false" applyAlignment="true" applyProtection="false">
      <alignment horizontal="general" vertical="bottom" textRotation="0" wrapText="false" indent="0" shrinkToFit="false"/>
    </xf>
    <xf numFmtId="171" fontId="4" fillId="4" borderId="0" applyFont="true" applyBorder="false" applyAlignment="true" applyProtection="false">
      <alignment horizontal="general" vertical="bottom" textRotation="0" wrapText="false" indent="0" shrinkToFit="false"/>
    </xf>
    <xf numFmtId="171" fontId="4" fillId="4" borderId="0" applyFont="true" applyBorder="false" applyAlignment="true" applyProtection="false">
      <alignment horizontal="general" vertical="bottom" textRotation="0" wrapText="false" indent="0" shrinkToFit="false"/>
    </xf>
    <xf numFmtId="171" fontId="4" fillId="5" borderId="0" applyFont="true" applyBorder="false" applyAlignment="true" applyProtection="false">
      <alignment horizontal="general" vertical="bottom" textRotation="0" wrapText="false" indent="0" shrinkToFit="false"/>
    </xf>
    <xf numFmtId="171" fontId="4" fillId="5" borderId="0" applyFont="true" applyBorder="false" applyAlignment="true" applyProtection="false">
      <alignment horizontal="general" vertical="bottom" textRotation="0" wrapText="false" indent="0" shrinkToFit="false"/>
    </xf>
    <xf numFmtId="171" fontId="4" fillId="6" borderId="0" applyFont="true" applyBorder="false" applyAlignment="true" applyProtection="false">
      <alignment horizontal="general" vertical="bottom" textRotation="0" wrapText="false" indent="0" shrinkToFit="false"/>
    </xf>
    <xf numFmtId="171" fontId="4" fillId="6" borderId="0" applyFont="true" applyBorder="false" applyAlignment="true" applyProtection="false">
      <alignment horizontal="general" vertical="bottom" textRotation="0" wrapText="false" indent="0" shrinkToFit="false"/>
    </xf>
    <xf numFmtId="171" fontId="4" fillId="7" borderId="0" applyFont="true" applyBorder="false" applyAlignment="true" applyProtection="false">
      <alignment horizontal="general" vertical="bottom" textRotation="0" wrapText="false" indent="0" shrinkToFit="false"/>
    </xf>
    <xf numFmtId="171" fontId="4" fillId="7" borderId="0" applyFont="true" applyBorder="false" applyAlignment="true" applyProtection="false">
      <alignment horizontal="general" vertical="bottom" textRotation="0" wrapText="false" indent="0" shrinkToFit="false"/>
    </xf>
    <xf numFmtId="171" fontId="4" fillId="8" borderId="0" applyFont="true" applyBorder="false" applyAlignment="true" applyProtection="false">
      <alignment horizontal="general" vertical="bottom" textRotation="0" wrapText="false" indent="0" shrinkToFit="false"/>
    </xf>
    <xf numFmtId="171" fontId="4" fillId="8" borderId="0" applyFont="true" applyBorder="false" applyAlignment="true" applyProtection="false">
      <alignment horizontal="general" vertical="bottom" textRotation="0" wrapText="false" indent="0" shrinkToFit="false"/>
    </xf>
    <xf numFmtId="171" fontId="4" fillId="9" borderId="0" applyFont="true" applyBorder="false" applyAlignment="true" applyProtection="false">
      <alignment horizontal="general" vertical="bottom" textRotation="0" wrapText="false" indent="0" shrinkToFit="false"/>
    </xf>
    <xf numFmtId="171" fontId="4" fillId="9" borderId="0" applyFont="true" applyBorder="false" applyAlignment="true" applyProtection="false">
      <alignment horizontal="general" vertical="bottom" textRotation="0" wrapText="false" indent="0" shrinkToFit="false"/>
    </xf>
    <xf numFmtId="171" fontId="4" fillId="10" borderId="0" applyFont="true" applyBorder="false" applyAlignment="true" applyProtection="false">
      <alignment horizontal="general" vertical="bottom" textRotation="0" wrapText="false" indent="0" shrinkToFit="false"/>
    </xf>
    <xf numFmtId="171" fontId="4" fillId="10" borderId="0" applyFont="true" applyBorder="false" applyAlignment="true" applyProtection="false">
      <alignment horizontal="general" vertical="bottom" textRotation="0" wrapText="false" indent="0" shrinkToFit="false"/>
    </xf>
    <xf numFmtId="171" fontId="4" fillId="11" borderId="0" applyFont="true" applyBorder="false" applyAlignment="true" applyProtection="false">
      <alignment horizontal="general" vertical="bottom" textRotation="0" wrapText="false" indent="0" shrinkToFit="false"/>
    </xf>
    <xf numFmtId="171" fontId="4" fillId="11" borderId="0" applyFont="true" applyBorder="false" applyAlignment="true" applyProtection="false">
      <alignment horizontal="general" vertical="bottom" textRotation="0" wrapText="false" indent="0" shrinkToFit="false"/>
    </xf>
    <xf numFmtId="171" fontId="4" fillId="12" borderId="0" applyFont="true" applyBorder="false" applyAlignment="true" applyProtection="false">
      <alignment horizontal="general" vertical="bottom" textRotation="0" wrapText="false" indent="0" shrinkToFit="false"/>
    </xf>
    <xf numFmtId="171" fontId="4" fillId="12" borderId="0" applyFont="true" applyBorder="false" applyAlignment="true" applyProtection="false">
      <alignment horizontal="general" vertical="bottom" textRotation="0" wrapText="false" indent="0" shrinkToFit="false"/>
    </xf>
    <xf numFmtId="171" fontId="4" fillId="13" borderId="0" applyFont="true" applyBorder="false" applyAlignment="true" applyProtection="false">
      <alignment horizontal="general" vertical="bottom" textRotation="0" wrapText="false" indent="0" shrinkToFit="false"/>
    </xf>
    <xf numFmtId="171" fontId="4" fillId="13" borderId="0" applyFont="true" applyBorder="false" applyAlignment="true" applyProtection="false">
      <alignment horizontal="general" vertical="bottom" textRotation="0" wrapText="false" indent="0" shrinkToFit="false"/>
    </xf>
    <xf numFmtId="171" fontId="5" fillId="14" borderId="0" applyFont="true" applyBorder="false" applyAlignment="true" applyProtection="false">
      <alignment horizontal="general" vertical="bottom" textRotation="0" wrapText="false" indent="0" shrinkToFit="false"/>
    </xf>
    <xf numFmtId="171" fontId="5" fillId="15" borderId="0" applyFont="true" applyBorder="false" applyAlignment="true" applyProtection="false">
      <alignment horizontal="general" vertical="bottom" textRotation="0" wrapText="false" indent="0" shrinkToFit="false"/>
    </xf>
    <xf numFmtId="171" fontId="5" fillId="16" borderId="0" applyFont="true" applyBorder="false" applyAlignment="true" applyProtection="false">
      <alignment horizontal="general" vertical="bottom" textRotation="0" wrapText="false" indent="0" shrinkToFit="false"/>
    </xf>
    <xf numFmtId="171" fontId="5" fillId="17" borderId="0" applyFont="true" applyBorder="false" applyAlignment="true" applyProtection="false">
      <alignment horizontal="general" vertical="bottom" textRotation="0" wrapText="false" indent="0" shrinkToFit="false"/>
    </xf>
    <xf numFmtId="171" fontId="5" fillId="18" borderId="0" applyFont="true" applyBorder="false" applyAlignment="true" applyProtection="false">
      <alignment horizontal="general" vertical="bottom" textRotation="0" wrapText="false" indent="0" shrinkToFit="false"/>
    </xf>
    <xf numFmtId="171" fontId="5" fillId="19" borderId="0" applyFont="true" applyBorder="false" applyAlignment="true" applyProtection="false">
      <alignment horizontal="general" vertical="bottom" textRotation="0" wrapText="false" indent="0" shrinkToFit="false"/>
    </xf>
    <xf numFmtId="171" fontId="6" fillId="0" borderId="0" applyFont="true" applyBorder="false" applyAlignment="true" applyProtection="false">
      <alignment horizontal="left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left" vertical="bottom" textRotation="0" wrapText="false" indent="0" shrinkToFit="false"/>
    </xf>
    <xf numFmtId="171" fontId="7" fillId="20" borderId="0" applyFont="true" applyBorder="false" applyAlignment="true" applyProtection="false">
      <alignment horizontal="general" vertical="bottom" textRotation="0" wrapText="false" indent="0" shrinkToFit="false"/>
    </xf>
    <xf numFmtId="171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21" borderId="1" applyFont="true" applyBorder="true" applyAlignment="true" applyProtection="false">
      <alignment horizontal="general" vertical="bottom" textRotation="0" wrapText="false" indent="0" shrinkToFit="false"/>
    </xf>
    <xf numFmtId="171" fontId="0" fillId="21" borderId="1" applyFont="true" applyBorder="true" applyAlignment="true" applyProtection="false">
      <alignment horizontal="general" vertical="bottom" textRotation="0" wrapText="false" indent="0" shrinkToFit="false"/>
    </xf>
    <xf numFmtId="171" fontId="0" fillId="21" borderId="1" applyFont="true" applyBorder="true" applyAlignment="true" applyProtection="false">
      <alignment horizontal="general" vertical="bottom" textRotation="0" wrapText="false" indent="0" shrinkToFit="false"/>
    </xf>
    <xf numFmtId="171" fontId="6" fillId="0" borderId="0" applyFont="true" applyBorder="false" applyAlignment="true" applyProtection="false">
      <alignment horizontal="general" vertical="bottom" textRotation="0" wrapText="false" indent="0" shrinkToFit="false"/>
    </xf>
    <xf numFmtId="171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4"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" xfId="5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" xfId="6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2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5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1" xfId="5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0" fillId="0" borderId="12" xfId="5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3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24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24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2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6" xfId="5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0" fillId="0" borderId="17" xfId="5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1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2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2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22" xfId="5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23" xfId="5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70" fontId="6" fillId="0" borderId="24" xfId="6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0" fillId="25" borderId="2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10" fillId="25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10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10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71" fontId="1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11" fillId="2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9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13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1" fillId="25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11" fillId="24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2" fillId="25" borderId="2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1" fontId="11" fillId="25" borderId="2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1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25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4" fillId="0" borderId="0" xfId="5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2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16" fillId="27" borderId="29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71" fontId="4" fillId="0" borderId="8" xfId="54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4" fillId="0" borderId="8" xfId="54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1" fontId="4" fillId="0" borderId="8" xfId="54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3" fontId="1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1" fontId="16" fillId="27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1" fontId="1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1" fontId="4" fillId="0" borderId="0" xfId="5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18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5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— акцент1 2" xfId="20"/>
    <cellStyle name="20% — акцент1 3" xfId="21"/>
    <cellStyle name="20% — акцент2 2" xfId="22"/>
    <cellStyle name="20% — акцент2 3" xfId="23"/>
    <cellStyle name="20% — акцент3 2" xfId="24"/>
    <cellStyle name="20% — акцент3 3" xfId="25"/>
    <cellStyle name="20% — акцент4 2" xfId="26"/>
    <cellStyle name="20% — акцент4 3" xfId="27"/>
    <cellStyle name="20% — акцент5 2" xfId="28"/>
    <cellStyle name="20% — акцент5 3" xfId="29"/>
    <cellStyle name="20% — акцент6 2" xfId="30"/>
    <cellStyle name="20% — акцент6 3" xfId="31"/>
    <cellStyle name="40% — акцент1 2" xfId="32"/>
    <cellStyle name="40% — акцент1 3" xfId="33"/>
    <cellStyle name="40% — акцент2 2" xfId="34"/>
    <cellStyle name="40% — акцент2 3" xfId="35"/>
    <cellStyle name="40% — акцент3 2" xfId="36"/>
    <cellStyle name="40% — акцент3 3" xfId="37"/>
    <cellStyle name="40% — акцент4 2" xfId="38"/>
    <cellStyle name="40% — акцент4 3" xfId="39"/>
    <cellStyle name="40% — акцент5 2" xfId="40"/>
    <cellStyle name="40% — акцент5 3" xfId="41"/>
    <cellStyle name="40% — акцент6 2" xfId="42"/>
    <cellStyle name="40% — акцент6 3" xfId="43"/>
    <cellStyle name="60% — акцент1 2" xfId="44"/>
    <cellStyle name="60% — акцент2 2" xfId="45"/>
    <cellStyle name="60% — акцент3 2" xfId="46"/>
    <cellStyle name="60% — акцент4 2" xfId="47"/>
    <cellStyle name="60% — акцент5 2" xfId="48"/>
    <cellStyle name="60% — акцент6 2" xfId="49"/>
    <cellStyle name="Заглавие сводной таблицы" xfId="50"/>
    <cellStyle name="Значение сводной таблицы" xfId="51"/>
    <cellStyle name="Категория сводной таблицы" xfId="52"/>
    <cellStyle name="Нейтральный 2" xfId="53"/>
    <cellStyle name="Обычный 2" xfId="54"/>
    <cellStyle name="Обычный 3" xfId="55"/>
    <cellStyle name="Обычный 4" xfId="56"/>
    <cellStyle name="Обычный 5" xfId="57"/>
    <cellStyle name="Поле сводной таблицы" xfId="58"/>
    <cellStyle name="Примечание 2" xfId="59"/>
    <cellStyle name="Примечание 3" xfId="60"/>
    <cellStyle name="Примечание 4" xfId="61"/>
    <cellStyle name="Результат сводной таблицы" xfId="62"/>
    <cellStyle name="Угол сводной таблицы" xfId="63"/>
  </cellStyles>
  <dxfs count="7">
    <dxf>
      <numFmt numFmtId="164" formatCode="0.000000"/>
    </dxf>
    <dxf>
      <numFmt numFmtId="165" formatCode="0.00000"/>
    </dxf>
    <dxf>
      <numFmt numFmtId="166" formatCode="0.0000"/>
    </dxf>
    <dxf>
      <numFmt numFmtId="167" formatCode="0.000"/>
    </dxf>
    <dxf>
      <numFmt numFmtId="168" formatCode="0.00"/>
    </dxf>
    <dxf>
      <numFmt numFmtId="169" formatCode="0.0"/>
    </dxf>
    <dxf>
      <numFmt numFmtId="170" formatCode="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EDEDED"/>
      <rgbColor rgb="FF800000"/>
      <rgbColor rgb="FF008000"/>
      <rgbColor rgb="FF000080"/>
      <rgbColor rgb="FF9C6500"/>
      <rgbColor rgb="FF800080"/>
      <rgbColor rgb="FF008080"/>
      <rgbColor rgb="FFBFBFBF"/>
      <rgbColor rgb="FFB4C7E7"/>
      <rgbColor rgb="FF8FAADC"/>
      <rgbColor rgb="FF993366"/>
      <rgbColor rgb="FFFFFFCC"/>
      <rgbColor rgb="FFDEEBF7"/>
      <rgbColor rgb="FF660066"/>
      <rgbColor rgb="FFC9C9C9"/>
      <rgbColor rgb="FF0066CC"/>
      <rgbColor rgb="FFBDD7EE"/>
      <rgbColor rgb="FF000080"/>
      <rgbColor rgb="FFFF00FF"/>
      <rgbColor rgb="FFFFD966"/>
      <rgbColor rgb="FFFFF2CC"/>
      <rgbColor rgb="FF800080"/>
      <rgbColor rgb="FF800000"/>
      <rgbColor rgb="FF008080"/>
      <rgbColor rgb="FF0000FF"/>
      <rgbColor rgb="FFFBE5D6"/>
      <rgbColor rgb="FFDAE3F3"/>
      <rgbColor rgb="FFE2F0D9"/>
      <rgbColor rgb="FFFFEB9C"/>
      <rgbColor rgb="FF9DC3E6"/>
      <rgbColor rgb="FFF4B183"/>
      <rgbColor rgb="FFADB9CA"/>
      <rgbColor rgb="FFF8CBAD"/>
      <rgbColor rgb="FF3366FF"/>
      <rgbColor rgb="FFC5E0B4"/>
      <rgbColor rgb="FFA9D18E"/>
      <rgbColor rgb="FFFFC000"/>
      <rgbColor rgb="FFFFE699"/>
      <rgbColor rgb="FFDBDBDB"/>
      <rgbColor rgb="FFD0CECE"/>
      <rgbColor rgb="FFB2B2B2"/>
      <rgbColor rgb="FF003366"/>
      <rgbColor rgb="FFD9D9D9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Relationship Id="rId8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3" createdVersion="3">
  <cacheSource type="worksheet">
    <worksheetSource ref="A1:H35" sheet="Автоматизированный расчет"/>
  </cacheSource>
  <cacheFields count="8">
    <cacheField name="Script name" numFmtId="0">
      <sharedItems containsBlank="1" count="7">
        <s v="Логин"/>
        <s v="Ознакомление с путевым листом"/>
        <s v="Поиск билета без покупки"/>
        <s v="Покупка билета"/>
        <s v="Регистрация новых пользователей"/>
        <s v="Удаление бронирования "/>
        <m/>
      </sharedItems>
    </cacheField>
    <cacheField name="transaction rq" numFmtId="0">
      <sharedItems containsBlank="1" count="13">
        <s v="Вход в систему"/>
        <s v="Выбор рейса из найденных "/>
        <s v="Выход из системы"/>
        <s v="Главная Welcome страница"/>
        <s v="Заполнение полей для поиска билета "/>
        <s v="Заполнение полей регистарции"/>
        <s v="Оплата билета"/>
        <s v="Отмена бронирования "/>
        <s v="Переход на следуюущий эран после регистарции"/>
        <s v="Переход на страницу поиска билетов"/>
        <s v="Перход на страницу регистрации"/>
        <s v="Просмотр квитанций"/>
        <m/>
      </sharedItems>
    </cacheField>
    <cacheField name="count" numFmtId="0">
      <sharedItems containsString="0" containsBlank="1" containsNumber="1" containsInteger="1" minValue="0" maxValue="1" count="3">
        <n v="0"/>
        <n v="1"/>
        <m/>
      </sharedItems>
    </cacheField>
    <cacheField name="VU" numFmtId="0">
      <sharedItems containsString="0" containsBlank="1" containsNumber="1" containsInteger="1" minValue="1" maxValue="2" count="3">
        <n v="1"/>
        <n v="2"/>
        <m/>
      </sharedItems>
    </cacheField>
    <cacheField name="pacing" numFmtId="0">
      <sharedItems containsString="0" containsBlank="1" containsNumber="1" containsInteger="1" minValue="40" maxValue="128" count="7">
        <n v="40"/>
        <n v="48"/>
        <n v="74"/>
        <n v="76"/>
        <n v="90"/>
        <n v="128"/>
        <m/>
      </sharedItems>
    </cacheField>
    <cacheField name="одним пользователем в минуту" numFmtId="0">
      <sharedItems containsString="0" containsBlank="1" containsNumber="1" minValue="0" maxValue="1.5" count="8">
        <n v="0"/>
        <n v="0.46875"/>
        <n v="0.666666666666667"/>
        <n v="0.789473684210526"/>
        <n v="0.810810810810811"/>
        <n v="1.25"/>
        <n v="1.5"/>
        <m/>
      </sharedItems>
    </cacheField>
    <cacheField name="Длительность ступени" numFmtId="0">
      <sharedItems containsString="0" containsBlank="1" containsNumber="1" containsInteger="1" minValue="20" maxValue="20" count="2">
        <n v="20"/>
        <m/>
      </sharedItems>
    </cacheField>
    <cacheField name="Итого" numFmtId="0">
      <sharedItems containsString="0" containsBlank="1" containsNumber="1" minValue="0" maxValue="60" count="8">
        <n v="0"/>
        <n v="13.3333333333333"/>
        <n v="18.75"/>
        <n v="25"/>
        <n v="31.5789473684211"/>
        <n v="32.4324324324324"/>
        <n v="6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3"/>
    <x v="3"/>
    <x v="1"/>
    <x v="1"/>
    <x v="0"/>
    <x v="6"/>
    <x v="0"/>
    <x v="6"/>
  </r>
  <r>
    <x v="3"/>
    <x v="0"/>
    <x v="1"/>
    <x v="1"/>
    <x v="0"/>
    <x v="6"/>
    <x v="0"/>
    <x v="6"/>
  </r>
  <r>
    <x v="3"/>
    <x v="9"/>
    <x v="1"/>
    <x v="1"/>
    <x v="0"/>
    <x v="6"/>
    <x v="0"/>
    <x v="6"/>
  </r>
  <r>
    <x v="3"/>
    <x v="4"/>
    <x v="1"/>
    <x v="1"/>
    <x v="0"/>
    <x v="6"/>
    <x v="0"/>
    <x v="6"/>
  </r>
  <r>
    <x v="3"/>
    <x v="1"/>
    <x v="1"/>
    <x v="1"/>
    <x v="0"/>
    <x v="6"/>
    <x v="0"/>
    <x v="6"/>
  </r>
  <r>
    <x v="3"/>
    <x v="6"/>
    <x v="1"/>
    <x v="1"/>
    <x v="0"/>
    <x v="6"/>
    <x v="0"/>
    <x v="6"/>
  </r>
  <r>
    <x v="3"/>
    <x v="2"/>
    <x v="1"/>
    <x v="1"/>
    <x v="0"/>
    <x v="6"/>
    <x v="0"/>
    <x v="6"/>
  </r>
  <r>
    <x v="5"/>
    <x v="3"/>
    <x v="1"/>
    <x v="0"/>
    <x v="1"/>
    <x v="5"/>
    <x v="0"/>
    <x v="3"/>
  </r>
  <r>
    <x v="5"/>
    <x v="0"/>
    <x v="1"/>
    <x v="0"/>
    <x v="1"/>
    <x v="5"/>
    <x v="0"/>
    <x v="3"/>
  </r>
  <r>
    <x v="5"/>
    <x v="11"/>
    <x v="1"/>
    <x v="0"/>
    <x v="1"/>
    <x v="5"/>
    <x v="0"/>
    <x v="3"/>
  </r>
  <r>
    <x v="5"/>
    <x v="7"/>
    <x v="1"/>
    <x v="0"/>
    <x v="1"/>
    <x v="5"/>
    <x v="0"/>
    <x v="3"/>
  </r>
  <r>
    <x v="5"/>
    <x v="2"/>
    <x v="0"/>
    <x v="0"/>
    <x v="1"/>
    <x v="0"/>
    <x v="0"/>
    <x v="0"/>
  </r>
  <r>
    <x v="4"/>
    <x v="3"/>
    <x v="1"/>
    <x v="1"/>
    <x v="2"/>
    <x v="4"/>
    <x v="0"/>
    <x v="5"/>
  </r>
  <r>
    <x v="4"/>
    <x v="10"/>
    <x v="1"/>
    <x v="1"/>
    <x v="2"/>
    <x v="4"/>
    <x v="0"/>
    <x v="5"/>
  </r>
  <r>
    <x v="4"/>
    <x v="5"/>
    <x v="1"/>
    <x v="1"/>
    <x v="2"/>
    <x v="4"/>
    <x v="0"/>
    <x v="5"/>
  </r>
  <r>
    <x v="4"/>
    <x v="8"/>
    <x v="1"/>
    <x v="1"/>
    <x v="2"/>
    <x v="4"/>
    <x v="0"/>
    <x v="5"/>
  </r>
  <r>
    <x v="4"/>
    <x v="2"/>
    <x v="0"/>
    <x v="1"/>
    <x v="2"/>
    <x v="0"/>
    <x v="0"/>
    <x v="0"/>
  </r>
  <r>
    <x v="0"/>
    <x v="3"/>
    <x v="1"/>
    <x v="0"/>
    <x v="4"/>
    <x v="2"/>
    <x v="0"/>
    <x v="1"/>
  </r>
  <r>
    <x v="0"/>
    <x v="0"/>
    <x v="1"/>
    <x v="0"/>
    <x v="4"/>
    <x v="2"/>
    <x v="0"/>
    <x v="1"/>
  </r>
  <r>
    <x v="0"/>
    <x v="9"/>
    <x v="1"/>
    <x v="0"/>
    <x v="4"/>
    <x v="2"/>
    <x v="0"/>
    <x v="1"/>
  </r>
  <r>
    <x v="0"/>
    <x v="11"/>
    <x v="1"/>
    <x v="0"/>
    <x v="4"/>
    <x v="2"/>
    <x v="0"/>
    <x v="1"/>
  </r>
  <r>
    <x v="0"/>
    <x v="2"/>
    <x v="1"/>
    <x v="0"/>
    <x v="4"/>
    <x v="2"/>
    <x v="0"/>
    <x v="1"/>
  </r>
  <r>
    <x v="2"/>
    <x v="3"/>
    <x v="1"/>
    <x v="1"/>
    <x v="3"/>
    <x v="3"/>
    <x v="0"/>
    <x v="4"/>
  </r>
  <r>
    <x v="2"/>
    <x v="0"/>
    <x v="1"/>
    <x v="1"/>
    <x v="3"/>
    <x v="3"/>
    <x v="0"/>
    <x v="4"/>
  </r>
  <r>
    <x v="2"/>
    <x v="9"/>
    <x v="1"/>
    <x v="1"/>
    <x v="3"/>
    <x v="3"/>
    <x v="0"/>
    <x v="4"/>
  </r>
  <r>
    <x v="2"/>
    <x v="4"/>
    <x v="1"/>
    <x v="1"/>
    <x v="3"/>
    <x v="3"/>
    <x v="0"/>
    <x v="4"/>
  </r>
  <r>
    <x v="2"/>
    <x v="1"/>
    <x v="1"/>
    <x v="1"/>
    <x v="3"/>
    <x v="3"/>
    <x v="0"/>
    <x v="4"/>
  </r>
  <r>
    <x v="2"/>
    <x v="11"/>
    <x v="1"/>
    <x v="1"/>
    <x v="3"/>
    <x v="3"/>
    <x v="0"/>
    <x v="4"/>
  </r>
  <r>
    <x v="2"/>
    <x v="2"/>
    <x v="1"/>
    <x v="1"/>
    <x v="3"/>
    <x v="3"/>
    <x v="0"/>
    <x v="4"/>
  </r>
  <r>
    <x v="1"/>
    <x v="3"/>
    <x v="1"/>
    <x v="1"/>
    <x v="5"/>
    <x v="1"/>
    <x v="0"/>
    <x v="2"/>
  </r>
  <r>
    <x v="1"/>
    <x v="0"/>
    <x v="1"/>
    <x v="1"/>
    <x v="5"/>
    <x v="1"/>
    <x v="0"/>
    <x v="2"/>
  </r>
  <r>
    <x v="1"/>
    <x v="11"/>
    <x v="1"/>
    <x v="1"/>
    <x v="5"/>
    <x v="1"/>
    <x v="0"/>
    <x v="2"/>
  </r>
  <r>
    <x v="1"/>
    <x v="2"/>
    <x v="0"/>
    <x v="1"/>
    <x v="5"/>
    <x v="0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Сводная таблица2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I1:J15" firstHeaderRow="1" firstDataRow="1" firstDataCol="1"/>
  <pivotFields count="8">
    <pivotField showAll="0"/>
    <pivotField axis="axisRow" showAll="0">
      <items count="14">
        <item x="0"/>
        <item x="1"/>
        <item x="2"/>
        <item x="4"/>
        <item x="6"/>
        <item x="7"/>
        <item x="11"/>
        <item x="3"/>
        <item x="10"/>
        <item x="5"/>
        <item x="8"/>
        <item x="9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dataFields count="1">
    <dataField name="Сумма по полю Итого" fld="7" subtotal="sum" numFmtId="170"/>
  </dataFields>
  <formats count="7">
    <format dxfId="0">
      <pivotArea outline="0" fieldPosition="0"/>
    </format>
    <format dxfId="1">
      <pivotArea outline="0" fieldPosition="0"/>
    </format>
    <format dxfId="2">
      <pivotArea outline="0" fieldPosition="0"/>
    </format>
    <format dxfId="3">
      <pivotArea outline="0" fieldPosition="0"/>
    </format>
    <format dxfId="4">
      <pivotArea outline="0" fieldPosition="0"/>
    </format>
    <format dxfId="5">
      <pivotArea outline="0" fieldPosition="0"/>
    </format>
    <format dxfId="6">
      <pivotArea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3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J43" activeCellId="0" sqref="J43"/>
    </sheetView>
  </sheetViews>
  <sheetFormatPr defaultColWidth="11.5078125" defaultRowHeight="15" customHeight="true" zeroHeight="false" outlineLevelRow="0" outlineLevelCol="0"/>
  <cols>
    <col collapsed="false" customWidth="true" hidden="false" outlineLevel="0" max="1" min="1" style="1" width="31.67"/>
    <col collapsed="false" customWidth="true" hidden="false" outlineLevel="0" max="2" min="2" style="1" width="31.5"/>
    <col collapsed="false" customWidth="true" hidden="false" outlineLevel="0" max="3" min="3" style="1" width="18.16"/>
    <col collapsed="false" customWidth="true" hidden="false" outlineLevel="0" max="4" min="4" style="1" width="17.83"/>
    <col collapsed="false" customWidth="true" hidden="false" outlineLevel="0" max="5" min="5" style="1" width="19.16"/>
    <col collapsed="false" customWidth="true" hidden="false" outlineLevel="0" max="6" min="6" style="1" width="28.33"/>
    <col collapsed="false" customWidth="true" hidden="false" outlineLevel="0" max="7" min="7" style="1" width="18.67"/>
    <col collapsed="false" customWidth="true" hidden="false" outlineLevel="0" max="8" min="8" style="1" width="17"/>
    <col collapsed="false" customWidth="true" hidden="false" outlineLevel="0" max="9" min="9" style="1" width="41.33"/>
    <col collapsed="false" customWidth="true" hidden="false" outlineLevel="0" max="10" min="10" style="1" width="19"/>
    <col collapsed="false" customWidth="true" hidden="false" outlineLevel="0" max="11" min="11" style="1" width="18.16"/>
    <col collapsed="false" customWidth="true" hidden="false" outlineLevel="0" max="12" min="12" style="1" width="26.67"/>
    <col collapsed="false" customWidth="true" hidden="false" outlineLevel="0" max="13" min="13" style="1" width="35.16"/>
    <col collapsed="false" customWidth="true" hidden="false" outlineLevel="0" max="14" min="14" style="1" width="17.83"/>
    <col collapsed="false" customWidth="true" hidden="false" outlineLevel="0" max="15" min="15" style="1" width="14.63"/>
    <col collapsed="false" customWidth="true" hidden="false" outlineLevel="0" max="16" min="16" style="1" width="23.5"/>
    <col collapsed="false" customWidth="true" hidden="false" outlineLevel="0" max="17" min="17" style="1" width="14.74"/>
    <col collapsed="false" customWidth="true" hidden="false" outlineLevel="0" max="18" min="18" style="1" width="10.51"/>
    <col collapsed="false" customWidth="true" hidden="false" outlineLevel="0" max="19" min="19" style="1" width="34.16"/>
    <col collapsed="false" customWidth="true" hidden="false" outlineLevel="0" max="20" min="20" style="1" width="35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</v>
      </c>
      <c r="J1" s="3" t="s">
        <v>8</v>
      </c>
      <c r="M1" s="4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3</v>
      </c>
      <c r="S1" s="6" t="s">
        <v>14</v>
      </c>
      <c r="T1" s="7" t="s">
        <v>15</v>
      </c>
      <c r="U1" s="8" t="s">
        <v>16</v>
      </c>
      <c r="V1" s="8" t="s">
        <v>17</v>
      </c>
      <c r="W1" s="9" t="s">
        <v>18</v>
      </c>
    </row>
    <row r="2" customFormat="false" ht="15" hidden="false" customHeight="false" outlineLevel="0" collapsed="false">
      <c r="A2" s="10" t="s">
        <v>19</v>
      </c>
      <c r="B2" s="10" t="s">
        <v>20</v>
      </c>
      <c r="C2" s="11" t="n">
        <v>1</v>
      </c>
      <c r="D2" s="12" t="n">
        <f aca="false">VLOOKUP(A2,$M$1:$X$8,6,FALSE())</f>
        <v>2</v>
      </c>
      <c r="E2" s="1" t="n">
        <f aca="false">VLOOKUP(A2,$M$1:$X$8,5,FALSE())</f>
        <v>40</v>
      </c>
      <c r="F2" s="13" t="n">
        <f aca="false">60/E2*C2</f>
        <v>1.5</v>
      </c>
      <c r="G2" s="1" t="n">
        <f aca="false">VLOOKUP(A2,$M$1:$X$8,9,FALSE())</f>
        <v>20</v>
      </c>
      <c r="H2" s="14" t="n">
        <f aca="false">D2*F2*G2</f>
        <v>60</v>
      </c>
      <c r="I2" s="15" t="s">
        <v>21</v>
      </c>
      <c r="J2" s="16" t="n">
        <v>148.662280701754</v>
      </c>
      <c r="M2" s="17" t="s">
        <v>19</v>
      </c>
      <c r="N2" s="18" t="n">
        <v>0.511</v>
      </c>
      <c r="O2" s="19" t="n">
        <v>19</v>
      </c>
      <c r="P2" s="20" t="n">
        <f aca="false">N2+O2</f>
        <v>19.511</v>
      </c>
      <c r="Q2" s="21" t="n">
        <v>40</v>
      </c>
      <c r="R2" s="22" t="n">
        <v>2</v>
      </c>
      <c r="S2" s="23" t="n">
        <f aca="false">R2/W$2</f>
        <v>0.2</v>
      </c>
      <c r="T2" s="24" t="n">
        <f aca="false">60/(Q2)</f>
        <v>1.5</v>
      </c>
      <c r="U2" s="25" t="n">
        <v>20</v>
      </c>
      <c r="V2" s="26" t="n">
        <f aca="false">ROUND(R2*T2*U2,0)</f>
        <v>60</v>
      </c>
      <c r="W2" s="27" t="n">
        <f aca="false">SUM(R2:R7)</f>
        <v>10</v>
      </c>
    </row>
    <row r="3" customFormat="false" ht="15" hidden="false" customHeight="false" outlineLevel="0" collapsed="false">
      <c r="A3" s="10" t="s">
        <v>19</v>
      </c>
      <c r="B3" s="10" t="s">
        <v>21</v>
      </c>
      <c r="C3" s="11" t="n">
        <v>1</v>
      </c>
      <c r="D3" s="28" t="n">
        <f aca="false">VLOOKUP(A3,$M$1:$X$8,6,FALSE())</f>
        <v>2</v>
      </c>
      <c r="E3" s="1" t="n">
        <f aca="false">VLOOKUP(A3,$M$1:$X$8,5,FALSE())</f>
        <v>40</v>
      </c>
      <c r="F3" s="13" t="n">
        <f aca="false">60/E3*C3</f>
        <v>1.5</v>
      </c>
      <c r="G3" s="1" t="n">
        <f aca="false">VLOOKUP(A3,$M$1:$X$8,9,FALSE())</f>
        <v>20</v>
      </c>
      <c r="H3" s="14" t="n">
        <f aca="false">D3*F3*G3</f>
        <v>60</v>
      </c>
      <c r="I3" s="29" t="s">
        <v>22</v>
      </c>
      <c r="J3" s="30" t="n">
        <v>91.5789473684211</v>
      </c>
      <c r="M3" s="17" t="s">
        <v>23</v>
      </c>
      <c r="N3" s="18" t="n">
        <v>0.301</v>
      </c>
      <c r="O3" s="19" t="n">
        <v>24</v>
      </c>
      <c r="P3" s="20" t="n">
        <f aca="false">N3+O3</f>
        <v>24.301</v>
      </c>
      <c r="Q3" s="21" t="n">
        <v>48</v>
      </c>
      <c r="R3" s="22" t="n">
        <v>1</v>
      </c>
      <c r="S3" s="23" t="n">
        <f aca="false">R3/W$2</f>
        <v>0.1</v>
      </c>
      <c r="T3" s="24" t="n">
        <f aca="false">60/(Q3)</f>
        <v>1.25</v>
      </c>
      <c r="U3" s="25" t="n">
        <v>20</v>
      </c>
      <c r="V3" s="26" t="n">
        <f aca="false">ROUND(R3*T3*U3,0)</f>
        <v>25</v>
      </c>
      <c r="W3" s="27"/>
    </row>
    <row r="4" customFormat="false" ht="15" hidden="false" customHeight="false" outlineLevel="0" collapsed="false">
      <c r="A4" s="10" t="s">
        <v>19</v>
      </c>
      <c r="B4" s="10" t="s">
        <v>24</v>
      </c>
      <c r="C4" s="11" t="n">
        <v>1</v>
      </c>
      <c r="D4" s="28" t="n">
        <f aca="false">VLOOKUP(A5,$M$1:$X$8,6,FALSE())</f>
        <v>2</v>
      </c>
      <c r="E4" s="1" t="n">
        <f aca="false">VLOOKUP(A5,$M$1:$X$8,5,FALSE())</f>
        <v>40</v>
      </c>
      <c r="F4" s="13" t="n">
        <f aca="false">60/E4*C4</f>
        <v>1.5</v>
      </c>
      <c r="G4" s="1" t="n">
        <f aca="false">VLOOKUP(A4,$M$1:$X$8,9,FALSE())</f>
        <v>20</v>
      </c>
      <c r="H4" s="14" t="n">
        <f aca="false">D4*F4*G4</f>
        <v>60</v>
      </c>
      <c r="I4" s="29" t="s">
        <v>25</v>
      </c>
      <c r="J4" s="30" t="n">
        <v>104.912280701754</v>
      </c>
      <c r="M4" s="17" t="s">
        <v>26</v>
      </c>
      <c r="N4" s="18" t="n">
        <v>0.252</v>
      </c>
      <c r="O4" s="19" t="n">
        <v>37</v>
      </c>
      <c r="P4" s="20" t="n">
        <f aca="false">N4+O4</f>
        <v>37.252</v>
      </c>
      <c r="Q4" s="21" t="n">
        <v>74</v>
      </c>
      <c r="R4" s="22" t="n">
        <v>2</v>
      </c>
      <c r="S4" s="23" t="n">
        <f aca="false">R4/W$2</f>
        <v>0.2</v>
      </c>
      <c r="T4" s="24" t="n">
        <f aca="false">60/(Q4)</f>
        <v>0.810810810810811</v>
      </c>
      <c r="U4" s="25" t="n">
        <v>20</v>
      </c>
      <c r="V4" s="26" t="n">
        <f aca="false">ROUND(R4*T4*U4,0)</f>
        <v>32</v>
      </c>
      <c r="W4" s="27"/>
    </row>
    <row r="5" customFormat="false" ht="15" hidden="false" customHeight="false" outlineLevel="0" collapsed="false">
      <c r="A5" s="10" t="s">
        <v>19</v>
      </c>
      <c r="B5" s="10" t="s">
        <v>27</v>
      </c>
      <c r="C5" s="11" t="n">
        <v>1</v>
      </c>
      <c r="D5" s="28" t="n">
        <f aca="false">VLOOKUP(A6,$M$1:$X$8,6,FALSE())</f>
        <v>2</v>
      </c>
      <c r="E5" s="1" t="n">
        <f aca="false">VLOOKUP(A6,$M$1:$X$8,5,FALSE())</f>
        <v>40</v>
      </c>
      <c r="F5" s="13" t="n">
        <f aca="false">60/E5*C5</f>
        <v>1.5</v>
      </c>
      <c r="G5" s="1" t="n">
        <f aca="false">VLOOKUP(A5,$M$1:$X$8,9,FALSE())</f>
        <v>20</v>
      </c>
      <c r="H5" s="14" t="n">
        <f aca="false">D5*F5*G5</f>
        <v>60</v>
      </c>
      <c r="I5" s="29" t="s">
        <v>27</v>
      </c>
      <c r="J5" s="30" t="n">
        <v>91.5789473684211</v>
      </c>
      <c r="M5" s="31" t="s">
        <v>28</v>
      </c>
      <c r="N5" s="18" t="n">
        <v>0.371</v>
      </c>
      <c r="O5" s="19" t="n">
        <v>38</v>
      </c>
      <c r="P5" s="20" t="n">
        <f aca="false">N5+O5</f>
        <v>38.371</v>
      </c>
      <c r="Q5" s="21" t="n">
        <v>76</v>
      </c>
      <c r="R5" s="22" t="n">
        <v>2</v>
      </c>
      <c r="S5" s="23" t="n">
        <f aca="false">R5/W$2</f>
        <v>0.2</v>
      </c>
      <c r="T5" s="24" t="n">
        <f aca="false">60/(Q5)</f>
        <v>0.789473684210526</v>
      </c>
      <c r="U5" s="25" t="n">
        <v>20</v>
      </c>
      <c r="V5" s="26" t="n">
        <f aca="false">ROUND(R5*T5*U5,0)</f>
        <v>32</v>
      </c>
      <c r="W5" s="27"/>
    </row>
    <row r="6" customFormat="false" ht="15" hidden="false" customHeight="false" outlineLevel="0" collapsed="false">
      <c r="A6" s="10" t="s">
        <v>19</v>
      </c>
      <c r="B6" s="10" t="s">
        <v>22</v>
      </c>
      <c r="C6" s="11" t="n">
        <v>1</v>
      </c>
      <c r="D6" s="28" t="n">
        <f aca="false">VLOOKUP(A6,$M$1:$X$8,6,FALSE())</f>
        <v>2</v>
      </c>
      <c r="E6" s="1" t="n">
        <f aca="false">VLOOKUP(A6,$M$1:$X$8,5,FALSE())</f>
        <v>40</v>
      </c>
      <c r="F6" s="13" t="n">
        <f aca="false">60/E6*C6</f>
        <v>1.5</v>
      </c>
      <c r="G6" s="1" t="n">
        <f aca="false">VLOOKUP(A6,$M$1:$X$8,9,FALSE())</f>
        <v>20</v>
      </c>
      <c r="H6" s="14" t="n">
        <f aca="false">D6*F6*G6</f>
        <v>60</v>
      </c>
      <c r="I6" s="29" t="s">
        <v>29</v>
      </c>
      <c r="J6" s="30" t="n">
        <v>60</v>
      </c>
      <c r="M6" s="17" t="s">
        <v>30</v>
      </c>
      <c r="N6" s="18" t="n">
        <v>0.378</v>
      </c>
      <c r="O6" s="19" t="n">
        <v>64</v>
      </c>
      <c r="P6" s="20" t="n">
        <f aca="false">N6+O6</f>
        <v>64.378</v>
      </c>
      <c r="Q6" s="21" t="n">
        <v>128</v>
      </c>
      <c r="R6" s="22" t="n">
        <v>2</v>
      </c>
      <c r="S6" s="23" t="n">
        <f aca="false">R6/W$2</f>
        <v>0.2</v>
      </c>
      <c r="T6" s="24" t="n">
        <f aca="false">60/(Q6)</f>
        <v>0.46875</v>
      </c>
      <c r="U6" s="25" t="n">
        <v>20</v>
      </c>
      <c r="V6" s="26" t="n">
        <f aca="false">ROUND(R6*T6*U6,0)</f>
        <v>19</v>
      </c>
      <c r="W6" s="27"/>
    </row>
    <row r="7" customFormat="false" ht="15" hidden="false" customHeight="false" outlineLevel="0" collapsed="false">
      <c r="A7" s="10" t="s">
        <v>19</v>
      </c>
      <c r="B7" s="10" t="s">
        <v>29</v>
      </c>
      <c r="C7" s="10" t="n">
        <v>1</v>
      </c>
      <c r="D7" s="28" t="n">
        <f aca="false">VLOOKUP(A7,$M$1:$X$8,6,FALSE())</f>
        <v>2</v>
      </c>
      <c r="E7" s="1" t="n">
        <f aca="false">VLOOKUP(A7,$M$1:$X$8,5,FALSE())</f>
        <v>40</v>
      </c>
      <c r="F7" s="13" t="n">
        <f aca="false">60/E7*C7</f>
        <v>1.5</v>
      </c>
      <c r="G7" s="1" t="n">
        <f aca="false">VLOOKUP(A7,$M$1:$X$8,9,FALSE())</f>
        <v>20</v>
      </c>
      <c r="H7" s="14" t="n">
        <f aca="false">D7*F7*G7</f>
        <v>60</v>
      </c>
      <c r="I7" s="29" t="s">
        <v>31</v>
      </c>
      <c r="J7" s="30" t="n">
        <v>25</v>
      </c>
      <c r="M7" s="17" t="s">
        <v>32</v>
      </c>
      <c r="N7" s="18" t="n">
        <v>0.258</v>
      </c>
      <c r="O7" s="19" t="n">
        <v>45</v>
      </c>
      <c r="P7" s="20" t="n">
        <f aca="false">N7+O7</f>
        <v>45.258</v>
      </c>
      <c r="Q7" s="21" t="n">
        <v>90</v>
      </c>
      <c r="R7" s="22" t="n">
        <v>1</v>
      </c>
      <c r="S7" s="23" t="n">
        <f aca="false">R7/W$2</f>
        <v>0.1</v>
      </c>
      <c r="T7" s="24" t="n">
        <f aca="false">60/(Q7)</f>
        <v>0.666666666666667</v>
      </c>
      <c r="U7" s="25" t="n">
        <v>20</v>
      </c>
      <c r="V7" s="26" t="n">
        <f aca="false">ROUND(R7*T7*U7,0)</f>
        <v>13</v>
      </c>
      <c r="W7" s="27"/>
    </row>
    <row r="8" customFormat="false" ht="15" hidden="false" customHeight="false" outlineLevel="0" collapsed="false">
      <c r="A8" s="10" t="s">
        <v>19</v>
      </c>
      <c r="B8" s="10" t="s">
        <v>25</v>
      </c>
      <c r="C8" s="11" t="n">
        <v>1</v>
      </c>
      <c r="D8" s="28" t="n">
        <f aca="false">VLOOKUP(A8,$M$1:$X$8,6,FALSE())</f>
        <v>2</v>
      </c>
      <c r="E8" s="1" t="n">
        <f aca="false">VLOOKUP(A8,$M$1:$X$8,5,FALSE())</f>
        <v>40</v>
      </c>
      <c r="F8" s="13" t="n">
        <f aca="false">60/E8*C8</f>
        <v>1.5</v>
      </c>
      <c r="G8" s="1" t="n">
        <f aca="false">VLOOKUP(A8,$M$1:$X$8,9,FALSE())</f>
        <v>20</v>
      </c>
      <c r="H8" s="14" t="n">
        <f aca="false">D8*F8*G8</f>
        <v>60</v>
      </c>
      <c r="I8" s="29" t="s">
        <v>33</v>
      </c>
      <c r="J8" s="30" t="n">
        <v>88.6622807017544</v>
      </c>
      <c r="M8" s="32"/>
      <c r="N8" s="33"/>
      <c r="O8" s="33"/>
      <c r="P8" s="33"/>
      <c r="Q8" s="33"/>
      <c r="R8" s="33"/>
      <c r="S8" s="34" t="n">
        <f aca="false">SUM(S2:S7)</f>
        <v>1</v>
      </c>
      <c r="T8" s="35"/>
      <c r="U8" s="33"/>
      <c r="V8" s="33"/>
      <c r="W8" s="36"/>
    </row>
    <row r="9" customFormat="false" ht="15" hidden="false" customHeight="false" outlineLevel="0" collapsed="false">
      <c r="A9" s="10" t="s">
        <v>23</v>
      </c>
      <c r="B9" s="10" t="s">
        <v>20</v>
      </c>
      <c r="C9" s="10" t="n">
        <v>1</v>
      </c>
      <c r="D9" s="9" t="n">
        <f aca="false">VLOOKUP(A9,$M$1:$X$8,6,FALSE())</f>
        <v>1</v>
      </c>
      <c r="E9" s="14" t="n">
        <f aca="false">VLOOKUP(A9,$M$1:$X$8,5,FALSE())</f>
        <v>48</v>
      </c>
      <c r="F9" s="13" t="n">
        <f aca="false">60/E9*C9</f>
        <v>1.25</v>
      </c>
      <c r="G9" s="1" t="n">
        <f aca="false">VLOOKUP(A9,$M$1:$X$8,9,FALSE())</f>
        <v>20</v>
      </c>
      <c r="H9" s="14" t="n">
        <f aca="false">D9*F9*G9</f>
        <v>25</v>
      </c>
      <c r="I9" s="29" t="s">
        <v>20</v>
      </c>
      <c r="J9" s="30" t="n">
        <v>181.094713134187</v>
      </c>
    </row>
    <row r="10" customFormat="false" ht="15" hidden="false" customHeight="false" outlineLevel="0" collapsed="false">
      <c r="A10" s="10" t="s">
        <v>23</v>
      </c>
      <c r="B10" s="10" t="s">
        <v>21</v>
      </c>
      <c r="C10" s="10" t="n">
        <v>1</v>
      </c>
      <c r="D10" s="27" t="n">
        <f aca="false">VLOOKUP(A10,$M$1:$X$8,6,FALSE())</f>
        <v>1</v>
      </c>
      <c r="E10" s="14" t="n">
        <f aca="false">VLOOKUP(A10,$M$1:$X$8,5,FALSE())</f>
        <v>48</v>
      </c>
      <c r="F10" s="13" t="n">
        <f aca="false">60/E10*C10</f>
        <v>1.25</v>
      </c>
      <c r="G10" s="1" t="n">
        <f aca="false">VLOOKUP(A10,$M$1:$X$8,9,FALSE())</f>
        <v>20</v>
      </c>
      <c r="H10" s="14" t="n">
        <f aca="false">D10*F10*G10</f>
        <v>25</v>
      </c>
      <c r="I10" s="29" t="s">
        <v>34</v>
      </c>
      <c r="J10" s="30" t="n">
        <v>32.4324324324324</v>
      </c>
    </row>
    <row r="11" customFormat="false" ht="15" hidden="false" customHeight="false" outlineLevel="0" collapsed="false">
      <c r="A11" s="10" t="s">
        <v>23</v>
      </c>
      <c r="B11" s="10" t="s">
        <v>33</v>
      </c>
      <c r="C11" s="10" t="n">
        <v>1</v>
      </c>
      <c r="D11" s="27" t="n">
        <f aca="false">VLOOKUP(A11,$M$1:$X$8,6,FALSE())</f>
        <v>1</v>
      </c>
      <c r="E11" s="14" t="n">
        <f aca="false">VLOOKUP(A11,$M$1:$X$8,5,FALSE())</f>
        <v>48</v>
      </c>
      <c r="F11" s="13" t="n">
        <f aca="false">60/E11*C11</f>
        <v>1.25</v>
      </c>
      <c r="G11" s="1" t="n">
        <f aca="false">VLOOKUP(A11,$M$1:$X$8,9,FALSE())</f>
        <v>20</v>
      </c>
      <c r="H11" s="14" t="n">
        <f aca="false">D11*F11*G11</f>
        <v>25</v>
      </c>
      <c r="I11" s="29" t="s">
        <v>35</v>
      </c>
      <c r="J11" s="30" t="n">
        <v>32.4324324324324</v>
      </c>
    </row>
    <row r="12" customFormat="false" ht="15" hidden="false" customHeight="false" outlineLevel="0" collapsed="false">
      <c r="A12" s="10" t="s">
        <v>23</v>
      </c>
      <c r="B12" s="10" t="s">
        <v>31</v>
      </c>
      <c r="C12" s="10" t="n">
        <v>1</v>
      </c>
      <c r="D12" s="27" t="n">
        <f aca="false">VLOOKUP(A12,$M$1:$X$8,6,FALSE())</f>
        <v>1</v>
      </c>
      <c r="E12" s="14" t="n">
        <f aca="false">VLOOKUP(A12,$M$1:$X$8,5,FALSE())</f>
        <v>48</v>
      </c>
      <c r="F12" s="13" t="n">
        <f aca="false">60/E12*C12</f>
        <v>1.25</v>
      </c>
      <c r="G12" s="1" t="n">
        <f aca="false">VLOOKUP(A12,$M$1:$X$8,9,FALSE())</f>
        <v>20</v>
      </c>
      <c r="H12" s="14" t="n">
        <f aca="false">D12*F12*G12</f>
        <v>25</v>
      </c>
      <c r="I12" s="29" t="s">
        <v>36</v>
      </c>
      <c r="J12" s="30" t="n">
        <v>32.4324324324324</v>
      </c>
    </row>
    <row r="13" customFormat="false" ht="15" hidden="false" customHeight="false" outlineLevel="0" collapsed="false">
      <c r="A13" s="10" t="s">
        <v>23</v>
      </c>
      <c r="B13" s="10" t="s">
        <v>25</v>
      </c>
      <c r="C13" s="10" t="n">
        <v>0</v>
      </c>
      <c r="D13" s="36" t="n">
        <f aca="false">VLOOKUP(A13,$M$1:$X$8,6,FALSE())</f>
        <v>1</v>
      </c>
      <c r="E13" s="14" t="n">
        <f aca="false">VLOOKUP(A13,$M$1:$X$8,5,FALSE())</f>
        <v>48</v>
      </c>
      <c r="F13" s="13" t="n">
        <f aca="false">60/E13*C13</f>
        <v>0</v>
      </c>
      <c r="G13" s="1" t="n">
        <f aca="false">VLOOKUP(A13,$M$1:$X$8,9,FALSE())</f>
        <v>20</v>
      </c>
      <c r="H13" s="14" t="n">
        <f aca="false">D13*F13*G13</f>
        <v>0</v>
      </c>
      <c r="I13" s="29" t="s">
        <v>24</v>
      </c>
      <c r="J13" s="30" t="n">
        <v>104.912280701754</v>
      </c>
    </row>
    <row r="14" customFormat="false" ht="15" hidden="false" customHeight="false" outlineLevel="0" collapsed="false">
      <c r="A14" s="10" t="s">
        <v>26</v>
      </c>
      <c r="B14" s="10" t="s">
        <v>20</v>
      </c>
      <c r="C14" s="10" t="n">
        <v>1</v>
      </c>
      <c r="D14" s="9" t="n">
        <f aca="false">VLOOKUP(A14,$M$1:$X$8,6,FALSE())</f>
        <v>2</v>
      </c>
      <c r="E14" s="14" t="n">
        <f aca="false">VLOOKUP(A14,$M$1:$X$8,5,FALSE())</f>
        <v>74</v>
      </c>
      <c r="F14" s="13" t="n">
        <f aca="false">60/E14*C14</f>
        <v>0.810810810810811</v>
      </c>
      <c r="G14" s="1" t="n">
        <f aca="false">VLOOKUP(A14,$M$1:$X$8,9,FALSE())</f>
        <v>20</v>
      </c>
      <c r="H14" s="14" t="n">
        <f aca="false">D14*F14*G14</f>
        <v>32.4324324324324</v>
      </c>
      <c r="I14" s="29" t="s">
        <v>37</v>
      </c>
      <c r="J14" s="37"/>
    </row>
    <row r="15" customFormat="false" ht="15" hidden="false" customHeight="false" outlineLevel="0" collapsed="false">
      <c r="A15" s="10" t="s">
        <v>26</v>
      </c>
      <c r="B15" s="10" t="s">
        <v>34</v>
      </c>
      <c r="C15" s="10" t="n">
        <v>1</v>
      </c>
      <c r="D15" s="27" t="n">
        <f aca="false">VLOOKUP(A15,$M$1:$X$8,6,FALSE())</f>
        <v>2</v>
      </c>
      <c r="E15" s="14" t="n">
        <f aca="false">VLOOKUP(A15,$M$1:$X$8,5,FALSE())</f>
        <v>74</v>
      </c>
      <c r="F15" s="13" t="n">
        <f aca="false">60/E15*C15</f>
        <v>0.810810810810811</v>
      </c>
      <c r="G15" s="1" t="n">
        <f aca="false">VLOOKUP(A15,$M$1:$X$8,9,FALSE())</f>
        <v>20</v>
      </c>
      <c r="H15" s="14" t="n">
        <f aca="false">D15*F15*G15</f>
        <v>32.4324324324324</v>
      </c>
      <c r="I15" s="38" t="s">
        <v>38</v>
      </c>
      <c r="J15" s="39" t="n">
        <v>993.699027975344</v>
      </c>
    </row>
    <row r="16" customFormat="false" ht="15" hidden="false" customHeight="false" outlineLevel="0" collapsed="false">
      <c r="A16" s="10" t="s">
        <v>26</v>
      </c>
      <c r="B16" s="10" t="s">
        <v>35</v>
      </c>
      <c r="C16" s="10" t="n">
        <v>1</v>
      </c>
      <c r="D16" s="27" t="n">
        <f aca="false">VLOOKUP(A16,$M$1:$X$8,6,FALSE())</f>
        <v>2</v>
      </c>
      <c r="E16" s="14" t="n">
        <f aca="false">VLOOKUP(A16,$M$1:$X$8,5,FALSE())</f>
        <v>74</v>
      </c>
      <c r="F16" s="13" t="n">
        <f aca="false">60/E16*C16</f>
        <v>0.810810810810811</v>
      </c>
      <c r="G16" s="1" t="n">
        <f aca="false">VLOOKUP(A16,$M$1:$X$8,9,FALSE())</f>
        <v>20</v>
      </c>
      <c r="H16" s="14" t="n">
        <f aca="false">D16*F16*G16</f>
        <v>32.4324324324324</v>
      </c>
    </row>
    <row r="17" customFormat="false" ht="15" hidden="false" customHeight="false" outlineLevel="0" collapsed="false">
      <c r="A17" s="10" t="s">
        <v>26</v>
      </c>
      <c r="B17" s="10" t="s">
        <v>36</v>
      </c>
      <c r="C17" s="10" t="n">
        <v>1</v>
      </c>
      <c r="D17" s="27" t="n">
        <f aca="false">VLOOKUP(A17,$M$1:$X$8,6,FALSE())</f>
        <v>2</v>
      </c>
      <c r="E17" s="14" t="n">
        <f aca="false">VLOOKUP(A17,$M$1:$X$8,5,FALSE())</f>
        <v>74</v>
      </c>
      <c r="F17" s="13" t="n">
        <f aca="false">60/E17*C17</f>
        <v>0.810810810810811</v>
      </c>
      <c r="G17" s="1" t="n">
        <f aca="false">VLOOKUP(A17,$M$1:$X$8,9,FALSE())</f>
        <v>20</v>
      </c>
      <c r="H17" s="14" t="n">
        <f aca="false">D17*F17*G17</f>
        <v>32.4324324324324</v>
      </c>
    </row>
    <row r="18" customFormat="false" ht="15" hidden="false" customHeight="false" outlineLevel="0" collapsed="false">
      <c r="A18" s="10" t="s">
        <v>26</v>
      </c>
      <c r="B18" s="10" t="s">
        <v>25</v>
      </c>
      <c r="C18" s="10" t="n">
        <v>0</v>
      </c>
      <c r="D18" s="27" t="n">
        <f aca="false">VLOOKUP(A18,$M$1:$X$8,6,FALSE())</f>
        <v>2</v>
      </c>
      <c r="E18" s="14" t="n">
        <f aca="false">VLOOKUP(A18,$M$1:$X$8,5,FALSE())</f>
        <v>74</v>
      </c>
      <c r="F18" s="13" t="n">
        <f aca="false">60/E18*C18</f>
        <v>0</v>
      </c>
      <c r="G18" s="1" t="n">
        <f aca="false">VLOOKUP(A18,$M$1:$X$8,9,FALSE())</f>
        <v>20</v>
      </c>
      <c r="H18" s="14" t="n">
        <f aca="false">D18*F18*G18</f>
        <v>0</v>
      </c>
    </row>
    <row r="19" customFormat="false" ht="15" hidden="false" customHeight="false" outlineLevel="0" collapsed="false">
      <c r="A19" s="10" t="s">
        <v>32</v>
      </c>
      <c r="B19" s="10" t="s">
        <v>20</v>
      </c>
      <c r="C19" s="10" t="n">
        <v>1</v>
      </c>
      <c r="D19" s="12" t="n">
        <f aca="false">VLOOKUP(A19,$M$1:$X$8,6,FALSE())</f>
        <v>1</v>
      </c>
      <c r="E19" s="1" t="n">
        <f aca="false">VLOOKUP(A19,$M$1:$X$8,5,FALSE())</f>
        <v>90</v>
      </c>
      <c r="F19" s="13" t="n">
        <f aca="false">60/E19*C19</f>
        <v>0.666666666666667</v>
      </c>
      <c r="G19" s="1" t="n">
        <f aca="false">VLOOKUP(A19,$M$1:$X$8,9,FALSE())</f>
        <v>20</v>
      </c>
      <c r="H19" s="14" t="n">
        <f aca="false">D19*F19*G19</f>
        <v>13.3333333333333</v>
      </c>
    </row>
    <row r="20" customFormat="false" ht="15" hidden="false" customHeight="false" outlineLevel="0" collapsed="false">
      <c r="A20" s="10" t="s">
        <v>32</v>
      </c>
      <c r="B20" s="10" t="s">
        <v>21</v>
      </c>
      <c r="C20" s="10" t="n">
        <v>1</v>
      </c>
      <c r="D20" s="28" t="n">
        <f aca="false">VLOOKUP(A20,$M$1:$X$8,6,FALSE())</f>
        <v>1</v>
      </c>
      <c r="E20" s="1" t="n">
        <f aca="false">VLOOKUP(A20,$M$1:$X$8,5,FALSE())</f>
        <v>90</v>
      </c>
      <c r="F20" s="13" t="n">
        <f aca="false">60/E20*C20</f>
        <v>0.666666666666667</v>
      </c>
      <c r="G20" s="1" t="n">
        <f aca="false">VLOOKUP(A20,$M$1:$X$8,9,FALSE())</f>
        <v>20</v>
      </c>
      <c r="H20" s="14" t="n">
        <f aca="false">D20*F20*G20</f>
        <v>13.3333333333333</v>
      </c>
    </row>
    <row r="21" customFormat="false" ht="15" hidden="false" customHeight="false" outlineLevel="0" collapsed="false">
      <c r="A21" s="10" t="s">
        <v>32</v>
      </c>
      <c r="B21" s="1" t="s">
        <v>24</v>
      </c>
      <c r="C21" s="10" t="n">
        <v>1</v>
      </c>
      <c r="D21" s="28" t="n">
        <f aca="false">VLOOKUP(A21,$M$1:$X$8,6,FALSE())</f>
        <v>1</v>
      </c>
      <c r="E21" s="1" t="n">
        <f aca="false">VLOOKUP(A21,$M$1:$X$8,5,FALSE())</f>
        <v>90</v>
      </c>
      <c r="F21" s="13" t="n">
        <f aca="false">60/E21*C21</f>
        <v>0.666666666666667</v>
      </c>
      <c r="G21" s="1" t="n">
        <f aca="false">VLOOKUP(A21,$M$1:$X$8,9,FALSE())</f>
        <v>20</v>
      </c>
      <c r="H21" s="14" t="n">
        <f aca="false">D21*F21*G21</f>
        <v>13.3333333333333</v>
      </c>
    </row>
    <row r="22" customFormat="false" ht="15" hidden="false" customHeight="false" outlineLevel="0" collapsed="false">
      <c r="A22" s="10" t="s">
        <v>32</v>
      </c>
      <c r="B22" s="1" t="s">
        <v>33</v>
      </c>
      <c r="C22" s="10" t="n">
        <v>1</v>
      </c>
      <c r="D22" s="28" t="n">
        <f aca="false">VLOOKUP(A22,$M$1:$X$8,6,FALSE())</f>
        <v>1</v>
      </c>
      <c r="E22" s="1" t="n">
        <f aca="false">VLOOKUP(A22,$M$1:$X$8,5,FALSE())</f>
        <v>90</v>
      </c>
      <c r="F22" s="13" t="n">
        <f aca="false">60/E22*C22</f>
        <v>0.666666666666667</v>
      </c>
      <c r="G22" s="1" t="n">
        <f aca="false">VLOOKUP(A22,$M$1:$X$8,9,FALSE())</f>
        <v>20</v>
      </c>
      <c r="H22" s="14" t="n">
        <f aca="false">D22*F22*G22</f>
        <v>13.3333333333333</v>
      </c>
    </row>
    <row r="23" customFormat="false" ht="15" hidden="false" customHeight="false" outlineLevel="0" collapsed="false">
      <c r="A23" s="10" t="s">
        <v>32</v>
      </c>
      <c r="B23" s="10" t="s">
        <v>25</v>
      </c>
      <c r="C23" s="10" t="n">
        <v>1</v>
      </c>
      <c r="D23" s="40" t="n">
        <f aca="false">VLOOKUP(A23,$M$1:$X$8,6,FALSE())</f>
        <v>1</v>
      </c>
      <c r="E23" s="1" t="n">
        <f aca="false">VLOOKUP(A23,$M$1:$X$8,5,FALSE())</f>
        <v>90</v>
      </c>
      <c r="F23" s="13" t="n">
        <f aca="false">60/E23*C23</f>
        <v>0.666666666666667</v>
      </c>
      <c r="G23" s="1" t="n">
        <f aca="false">VLOOKUP(A23,$M$1:$X$8,9,FALSE())</f>
        <v>20</v>
      </c>
      <c r="H23" s="14" t="n">
        <f aca="false">D23*F23*G23</f>
        <v>13.3333333333333</v>
      </c>
    </row>
    <row r="24" customFormat="false" ht="15" hidden="false" customHeight="false" outlineLevel="0" collapsed="false">
      <c r="A24" s="10" t="s">
        <v>28</v>
      </c>
      <c r="B24" s="10" t="s">
        <v>20</v>
      </c>
      <c r="C24" s="10" t="n">
        <v>1</v>
      </c>
      <c r="D24" s="27" t="n">
        <f aca="false">VLOOKUP(A24,$M$1:$X$8,6,FALSE())</f>
        <v>2</v>
      </c>
      <c r="E24" s="1" t="n">
        <f aca="false">VLOOKUP(A24,$M$1:$X$8,5,FALSE())</f>
        <v>76</v>
      </c>
      <c r="F24" s="13" t="n">
        <f aca="false">60/E24*C24</f>
        <v>0.789473684210526</v>
      </c>
      <c r="G24" s="1" t="n">
        <f aca="false">VLOOKUP(A24,$M$1:$X$8,9,FALSE())</f>
        <v>20</v>
      </c>
      <c r="H24" s="14" t="n">
        <f aca="false">D24*F24*G24</f>
        <v>31.5789473684211</v>
      </c>
    </row>
    <row r="25" customFormat="false" ht="15" hidden="false" customHeight="false" outlineLevel="0" collapsed="false">
      <c r="A25" s="10" t="s">
        <v>28</v>
      </c>
      <c r="B25" s="10" t="s">
        <v>21</v>
      </c>
      <c r="C25" s="10" t="n">
        <v>1</v>
      </c>
      <c r="D25" s="27" t="n">
        <f aca="false">VLOOKUP(A25,$M$1:$X$8,6,FALSE())</f>
        <v>2</v>
      </c>
      <c r="E25" s="1" t="n">
        <f aca="false">VLOOKUP(A25,$M$1:$X$8,5,FALSE())</f>
        <v>76</v>
      </c>
      <c r="F25" s="13" t="n">
        <f aca="false">60/E25*C25</f>
        <v>0.789473684210526</v>
      </c>
      <c r="G25" s="1" t="n">
        <f aca="false">VLOOKUP(A25,$M$1:$X$8,9,FALSE())</f>
        <v>20</v>
      </c>
      <c r="H25" s="14" t="n">
        <f aca="false">D25*F25*G25</f>
        <v>31.5789473684211</v>
      </c>
    </row>
    <row r="26" customFormat="false" ht="15" hidden="false" customHeight="false" outlineLevel="0" collapsed="false">
      <c r="A26" s="10" t="s">
        <v>28</v>
      </c>
      <c r="B26" s="10" t="s">
        <v>24</v>
      </c>
      <c r="C26" s="10" t="n">
        <v>1</v>
      </c>
      <c r="D26" s="27" t="n">
        <f aca="false">VLOOKUP(A26,$M$1:$X$8,6,FALSE())</f>
        <v>2</v>
      </c>
      <c r="E26" s="1" t="n">
        <f aca="false">VLOOKUP(A26,$M$1:$X$8,5,FALSE())</f>
        <v>76</v>
      </c>
      <c r="F26" s="13" t="n">
        <f aca="false">60/E26*C26</f>
        <v>0.789473684210526</v>
      </c>
      <c r="G26" s="1" t="n">
        <f aca="false">VLOOKUP(A26,$M$1:$X$8,9,FALSE())</f>
        <v>20</v>
      </c>
      <c r="H26" s="14" t="n">
        <f aca="false">D26*F26*G26</f>
        <v>31.5789473684211</v>
      </c>
    </row>
    <row r="27" customFormat="false" ht="15" hidden="false" customHeight="false" outlineLevel="0" collapsed="false">
      <c r="A27" s="10" t="s">
        <v>28</v>
      </c>
      <c r="B27" s="10" t="s">
        <v>27</v>
      </c>
      <c r="C27" s="10" t="n">
        <v>1</v>
      </c>
      <c r="D27" s="27" t="n">
        <f aca="false">VLOOKUP(A27,$M$1:$X$8,6,FALSE())</f>
        <v>2</v>
      </c>
      <c r="E27" s="1" t="n">
        <f aca="false">VLOOKUP(A27,$M$1:$X$8,5,FALSE())</f>
        <v>76</v>
      </c>
      <c r="F27" s="13" t="n">
        <f aca="false">60/E27*C27</f>
        <v>0.789473684210526</v>
      </c>
      <c r="G27" s="1" t="n">
        <f aca="false">VLOOKUP(A27,$M$1:$X$8,9,FALSE())</f>
        <v>20</v>
      </c>
      <c r="H27" s="14" t="n">
        <f aca="false">D27*F27*G27</f>
        <v>31.5789473684211</v>
      </c>
    </row>
    <row r="28" customFormat="false" ht="15" hidden="false" customHeight="false" outlineLevel="0" collapsed="false">
      <c r="A28" s="10" t="s">
        <v>28</v>
      </c>
      <c r="B28" s="10" t="s">
        <v>22</v>
      </c>
      <c r="C28" s="10" t="n">
        <v>1</v>
      </c>
      <c r="D28" s="27" t="n">
        <f aca="false">VLOOKUP(A28,$M$1:$X$8,6,FALSE())</f>
        <v>2</v>
      </c>
      <c r="E28" s="1" t="n">
        <f aca="false">VLOOKUP(A28,$M$1:$X$8,5,FALSE())</f>
        <v>76</v>
      </c>
      <c r="F28" s="13" t="n">
        <f aca="false">60/E28*C28</f>
        <v>0.789473684210526</v>
      </c>
      <c r="G28" s="1" t="n">
        <f aca="false">VLOOKUP(A28,$M$1:$X$8,9,FALSE())</f>
        <v>20</v>
      </c>
      <c r="H28" s="14" t="n">
        <f aca="false">D28*F28*G28</f>
        <v>31.5789473684211</v>
      </c>
    </row>
    <row r="29" customFormat="false" ht="15" hidden="false" customHeight="false" outlineLevel="0" collapsed="false">
      <c r="A29" s="10" t="s">
        <v>28</v>
      </c>
      <c r="B29" s="10" t="s">
        <v>33</v>
      </c>
      <c r="C29" s="10" t="n">
        <v>1</v>
      </c>
      <c r="D29" s="27" t="n">
        <f aca="false">VLOOKUP(A29,$M$1:$X$8,6,FALSE())</f>
        <v>2</v>
      </c>
      <c r="E29" s="1" t="n">
        <f aca="false">VLOOKUP(A29,$M$1:$X$8,5,FALSE())</f>
        <v>76</v>
      </c>
      <c r="F29" s="13" t="n">
        <f aca="false">60/E29*C29</f>
        <v>0.789473684210526</v>
      </c>
      <c r="G29" s="1" t="n">
        <f aca="false">VLOOKUP(A29,$M$1:$X$8,9,FALSE())</f>
        <v>20</v>
      </c>
      <c r="H29" s="14" t="n">
        <f aca="false">D29*F29*G29</f>
        <v>31.5789473684211</v>
      </c>
    </row>
    <row r="30" customFormat="false" ht="15" hidden="false" customHeight="false" outlineLevel="0" collapsed="false">
      <c r="A30" s="10" t="s">
        <v>28</v>
      </c>
      <c r="B30" s="10" t="s">
        <v>25</v>
      </c>
      <c r="C30" s="10" t="n">
        <v>1</v>
      </c>
      <c r="D30" s="27" t="n">
        <f aca="false">VLOOKUP(A30,$M$1:$X$8,6,FALSE())</f>
        <v>2</v>
      </c>
      <c r="E30" s="1" t="n">
        <f aca="false">VLOOKUP(A30,$M$1:$X$8,5,FALSE())</f>
        <v>76</v>
      </c>
      <c r="F30" s="13" t="n">
        <f aca="false">60/E30*C30</f>
        <v>0.789473684210526</v>
      </c>
      <c r="G30" s="1" t="n">
        <f aca="false">VLOOKUP(A30,$M$1:$X$8,9,FALSE())</f>
        <v>20</v>
      </c>
      <c r="H30" s="14" t="n">
        <f aca="false">D30*F30*G30</f>
        <v>31.5789473684211</v>
      </c>
    </row>
    <row r="31" customFormat="false" ht="15" hidden="false" customHeight="false" outlineLevel="0" collapsed="false">
      <c r="A31" s="10" t="s">
        <v>30</v>
      </c>
      <c r="B31" s="10" t="s">
        <v>20</v>
      </c>
      <c r="C31" s="10" t="n">
        <v>1</v>
      </c>
      <c r="D31" s="9" t="n">
        <f aca="false">VLOOKUP(A31,$M$1:$X$8,6,FALSE())</f>
        <v>2</v>
      </c>
      <c r="E31" s="1" t="n">
        <f aca="false">VLOOKUP(A31,$M$1:$X$8,5,FALSE())</f>
        <v>128</v>
      </c>
      <c r="F31" s="13" t="n">
        <f aca="false">60/E31*C31</f>
        <v>0.46875</v>
      </c>
      <c r="G31" s="1" t="n">
        <f aca="false">VLOOKUP(A31,$M$1:$X$8,9,FALSE())</f>
        <v>20</v>
      </c>
      <c r="H31" s="14" t="n">
        <f aca="false">D31*F31*G31</f>
        <v>18.75</v>
      </c>
    </row>
    <row r="32" customFormat="false" ht="15" hidden="false" customHeight="false" outlineLevel="0" collapsed="false">
      <c r="A32" s="10" t="s">
        <v>30</v>
      </c>
      <c r="B32" s="10" t="s">
        <v>21</v>
      </c>
      <c r="C32" s="10" t="n">
        <v>1</v>
      </c>
      <c r="D32" s="27" t="n">
        <f aca="false">VLOOKUP(A32,$M$1:$X$8,6,FALSE())</f>
        <v>2</v>
      </c>
      <c r="E32" s="1" t="n">
        <f aca="false">VLOOKUP(A32,$M$1:$X$8,5,FALSE())</f>
        <v>128</v>
      </c>
      <c r="F32" s="13" t="n">
        <f aca="false">60/E32*C32</f>
        <v>0.46875</v>
      </c>
      <c r="G32" s="1" t="n">
        <f aca="false">VLOOKUP(A32,$M$1:$X$8,9,FALSE())</f>
        <v>20</v>
      </c>
      <c r="H32" s="14" t="n">
        <f aca="false">D32*F32*G32</f>
        <v>18.75</v>
      </c>
    </row>
    <row r="33" customFormat="false" ht="15" hidden="false" customHeight="false" outlineLevel="0" collapsed="false">
      <c r="A33" s="10" t="s">
        <v>30</v>
      </c>
      <c r="B33" s="10" t="s">
        <v>33</v>
      </c>
      <c r="C33" s="10" t="n">
        <v>1</v>
      </c>
      <c r="D33" s="27" t="n">
        <f aca="false">VLOOKUP(A33,$M$1:$X$8,6,FALSE())</f>
        <v>2</v>
      </c>
      <c r="E33" s="1" t="n">
        <f aca="false">VLOOKUP(A33,$M$1:$X$8,5,FALSE())</f>
        <v>128</v>
      </c>
      <c r="F33" s="13" t="n">
        <f aca="false">60/E33*C33</f>
        <v>0.46875</v>
      </c>
      <c r="G33" s="1" t="n">
        <f aca="false">VLOOKUP(A33,$M$1:$X$8,9,FALSE())</f>
        <v>20</v>
      </c>
      <c r="H33" s="14" t="n">
        <f aca="false">D33*F33*G33</f>
        <v>18.75</v>
      </c>
    </row>
    <row r="34" customFormat="false" ht="15" hidden="false" customHeight="false" outlineLevel="0" collapsed="false">
      <c r="A34" s="10" t="s">
        <v>30</v>
      </c>
      <c r="B34" s="10" t="s">
        <v>25</v>
      </c>
      <c r="C34" s="10" t="n">
        <v>0</v>
      </c>
      <c r="D34" s="36" t="n">
        <f aca="false">VLOOKUP(A34,$M$1:$X$8,6,FALSE())</f>
        <v>2</v>
      </c>
      <c r="E34" s="1" t="n">
        <f aca="false">VLOOKUP(A34,$M$1:$X$8,5,FALSE())</f>
        <v>128</v>
      </c>
      <c r="F34" s="13" t="n">
        <f aca="false">60/E34*C34</f>
        <v>0</v>
      </c>
      <c r="G34" s="1" t="n">
        <f aca="false">VLOOKUP(A34,$M$1:$X$8,9,FALSE())</f>
        <v>20</v>
      </c>
      <c r="H34" s="14" t="n">
        <f aca="false">D34*F34*G34</f>
        <v>0</v>
      </c>
    </row>
    <row r="37" customFormat="false" ht="15" hidden="false" customHeight="false" outlineLevel="0" collapsed="false">
      <c r="A37" s="41" t="s">
        <v>39</v>
      </c>
      <c r="B37" s="41"/>
      <c r="C37" s="42" t="s">
        <v>40</v>
      </c>
      <c r="D37" s="42"/>
    </row>
    <row r="38" customFormat="false" ht="56.6" hidden="false" customHeight="false" outlineLevel="0" collapsed="false">
      <c r="A38" s="43" t="s">
        <v>41</v>
      </c>
      <c r="B38" s="44" t="s">
        <v>42</v>
      </c>
      <c r="C38" s="45" t="s">
        <v>43</v>
      </c>
      <c r="D38" s="45" t="s">
        <v>44</v>
      </c>
      <c r="E38" s="46"/>
      <c r="F38" s="47" t="s">
        <v>45</v>
      </c>
      <c r="G38" s="45" t="s">
        <v>46</v>
      </c>
      <c r="H38" s="45" t="s">
        <v>47</v>
      </c>
      <c r="I38" s="45" t="s">
        <v>48</v>
      </c>
    </row>
    <row r="39" customFormat="false" ht="17.35" hidden="false" customHeight="false" outlineLevel="0" collapsed="false">
      <c r="A39" s="43" t="s">
        <v>20</v>
      </c>
      <c r="B39" s="48" t="n">
        <v>520</v>
      </c>
      <c r="C39" s="20" t="n">
        <f aca="false">GETPIVOTDATA("Итого",$I$1,"transaction rq",A39)*3</f>
        <v>543.28413940256</v>
      </c>
      <c r="D39" s="49" t="n">
        <f aca="false">1-B39/C39</f>
        <v>0.0428581247156701</v>
      </c>
      <c r="E39" s="50"/>
      <c r="F39" s="51" t="str">
        <f aca="false">VLOOKUP(A39,Соответствие!A:B,2,FALSE())</f>
        <v>home_page</v>
      </c>
      <c r="G39" s="52" t="n">
        <f aca="false">C39/3</f>
        <v>181.094713134187</v>
      </c>
      <c r="H39" s="10" t="n">
        <f aca="false">VLOOKUP(F39,SummaryReport!A:J,8,FALSE())</f>
        <v>185</v>
      </c>
      <c r="I39" s="53" t="n">
        <f aca="false">1-G39/H39</f>
        <v>0.0211096587341254</v>
      </c>
    </row>
    <row r="40" customFormat="false" ht="17.35" hidden="false" customHeight="false" outlineLevel="0" collapsed="false">
      <c r="A40" s="54" t="s">
        <v>21</v>
      </c>
      <c r="B40" s="48" t="n">
        <v>422</v>
      </c>
      <c r="C40" s="20" t="n">
        <f aca="false">GETPIVOTDATA("Итого",$I$1,"transaction rq",A40)*3</f>
        <v>445.986842105263</v>
      </c>
      <c r="D40" s="49" t="n">
        <f aca="false">1-B40/C40</f>
        <v>0.0537837439150319</v>
      </c>
      <c r="E40" s="50"/>
      <c r="F40" s="51" t="str">
        <f aca="false">VLOOKUP(A40,Соответствие!A:B,2,FALSE())</f>
        <v>login</v>
      </c>
      <c r="G40" s="52" t="n">
        <f aca="false">C40/3</f>
        <v>148.662280701754</v>
      </c>
      <c r="H40" s="10" t="n">
        <f aca="false">VLOOKUP(F40,SummaryReport!A:J,8,FALSE())</f>
        <v>152</v>
      </c>
      <c r="I40" s="53" t="n">
        <f aca="false">1-G40/H40</f>
        <v>0.021958679593721</v>
      </c>
    </row>
    <row r="41" customFormat="false" ht="31.3" hidden="false" customHeight="false" outlineLevel="0" collapsed="false">
      <c r="A41" s="55" t="s">
        <v>24</v>
      </c>
      <c r="B41" s="48" t="n">
        <v>305</v>
      </c>
      <c r="C41" s="20" t="n">
        <f aca="false">GETPIVOTDATA("Итого",$I$1,"transaction rq",A41)*3</f>
        <v>314.736842105263</v>
      </c>
      <c r="D41" s="49" t="n">
        <f aca="false">1-B41/C41</f>
        <v>0.0309364548494984</v>
      </c>
      <c r="E41" s="50"/>
      <c r="F41" s="51" t="str">
        <f aca="false">VLOOKUP(A41,Соответствие!A:B,2,FALSE())</f>
        <v>flights</v>
      </c>
      <c r="G41" s="52" t="n">
        <f aca="false">C41/3</f>
        <v>104.912280701754</v>
      </c>
      <c r="H41" s="10" t="n">
        <f aca="false">VLOOKUP(F41,SummaryReport!A:J,8,FALSE())</f>
        <v>106</v>
      </c>
      <c r="I41" s="53" t="n">
        <f aca="false">1-G41/H41</f>
        <v>0.0102615028136378</v>
      </c>
    </row>
    <row r="42" customFormat="false" ht="31.3" hidden="false" customHeight="false" outlineLevel="0" collapsed="false">
      <c r="A42" s="54" t="s">
        <v>27</v>
      </c>
      <c r="B42" s="48" t="n">
        <v>282</v>
      </c>
      <c r="C42" s="20" t="n">
        <f aca="false">GETPIVOTDATA("Итого",$I$1,"transaction rq",A42)*3</f>
        <v>274.736842105263</v>
      </c>
      <c r="D42" s="49" t="n">
        <f aca="false">1-B42/C42</f>
        <v>-0.0264367816091948</v>
      </c>
      <c r="E42" s="50"/>
      <c r="F42" s="51" t="str">
        <f aca="false">VLOOKUP(A42,Соответствие!A:B,2,FALSE())</f>
        <v>find_flight</v>
      </c>
      <c r="G42" s="52" t="n">
        <f aca="false">C42/3</f>
        <v>91.5789473684211</v>
      </c>
      <c r="H42" s="10" t="n">
        <f aca="false">VLOOKUP(F42,SummaryReport!A:J,8,FALSE())</f>
        <v>93</v>
      </c>
      <c r="I42" s="53" t="n">
        <f aca="false">1-G42/H42</f>
        <v>0.015280135823429</v>
      </c>
    </row>
    <row r="43" customFormat="false" ht="17.35" hidden="false" customHeight="false" outlineLevel="0" collapsed="false">
      <c r="A43" s="54" t="s">
        <v>22</v>
      </c>
      <c r="B43" s="48" t="n">
        <v>270</v>
      </c>
      <c r="C43" s="20" t="n">
        <f aca="false">GETPIVOTDATA("Итого",$I$1,"transaction rq",A43)*3</f>
        <v>274.736842105263</v>
      </c>
      <c r="D43" s="49" t="n">
        <f aca="false">1-B43/C43</f>
        <v>0.0172413793103453</v>
      </c>
      <c r="E43" s="50"/>
      <c r="F43" s="51" t="str">
        <f aca="false">VLOOKUP(A43,Соответствие!A:B,2,FALSE())</f>
        <v>payment</v>
      </c>
      <c r="G43" s="52" t="n">
        <f aca="false">C43/3</f>
        <v>91.5789473684211</v>
      </c>
      <c r="H43" s="10" t="n">
        <f aca="false">VLOOKUP(F43,SummaryReport!A:J,8,FALSE())</f>
        <v>93</v>
      </c>
      <c r="I43" s="53" t="n">
        <f aca="false">1-G43/H43</f>
        <v>0.015280135823429</v>
      </c>
    </row>
    <row r="44" customFormat="false" ht="17.35" hidden="false" customHeight="false" outlineLevel="0" collapsed="false">
      <c r="A44" s="54" t="s">
        <v>29</v>
      </c>
      <c r="B44" s="48" t="n">
        <v>175</v>
      </c>
      <c r="C44" s="20" t="n">
        <f aca="false">GETPIVOTDATA("Итого",$I$1,"transaction rq",A44)*3</f>
        <v>180</v>
      </c>
      <c r="D44" s="49" t="n">
        <f aca="false">1-B44/C44</f>
        <v>0.0277777777777778</v>
      </c>
      <c r="E44" s="50"/>
      <c r="F44" s="51" t="str">
        <f aca="false">VLOOKUP(A44,Соответствие!A:B,2,FALSE())</f>
        <v>true_invoice</v>
      </c>
      <c r="G44" s="52" t="n">
        <f aca="false">C44/3</f>
        <v>60</v>
      </c>
      <c r="H44" s="10" t="n">
        <f aca="false">VLOOKUP(F44,SummaryReport!A:J,8,FALSE())</f>
        <v>60</v>
      </c>
      <c r="I44" s="53" t="n">
        <f aca="false">1-G44/H44</f>
        <v>0</v>
      </c>
    </row>
    <row r="45" customFormat="false" ht="17.35" hidden="false" customHeight="false" outlineLevel="0" collapsed="false">
      <c r="A45" s="54" t="s">
        <v>33</v>
      </c>
      <c r="B45" s="48" t="n">
        <v>280</v>
      </c>
      <c r="C45" s="20" t="n">
        <f aca="false">GETPIVOTDATA("Итого",$I$1,"transaction rq",A45)*3</f>
        <v>265.986842105263</v>
      </c>
      <c r="D45" s="49" t="n">
        <f aca="false">1-B45/C45</f>
        <v>-0.0526836507543902</v>
      </c>
      <c r="E45" s="56"/>
      <c r="F45" s="51" t="str">
        <f aca="false">VLOOKUP(A45,Соответствие!A:B,2,FALSE())</f>
        <v>itinerary</v>
      </c>
      <c r="G45" s="52" t="n">
        <f aca="false">C45/3</f>
        <v>88.6622807017544</v>
      </c>
      <c r="H45" s="10" t="n">
        <f aca="false">VLOOKUP(F45,SummaryReport!A:J,8,FALSE())</f>
        <v>92</v>
      </c>
      <c r="I45" s="53" t="n">
        <f aca="false">1-G45/H45</f>
        <v>0.0362795575896261</v>
      </c>
    </row>
    <row r="46" customFormat="false" ht="17.35" hidden="false" customHeight="false" outlineLevel="0" collapsed="false">
      <c r="A46" s="54" t="s">
        <v>31</v>
      </c>
      <c r="B46" s="48" t="n">
        <v>73</v>
      </c>
      <c r="C46" s="20" t="n">
        <f aca="false">GETPIVOTDATA("Итого",$I$1,"transaction rq",A46)*3</f>
        <v>75</v>
      </c>
      <c r="D46" s="49" t="n">
        <f aca="false">1-B46/C46</f>
        <v>0.0266666666666666</v>
      </c>
      <c r="E46" s="50"/>
      <c r="F46" s="51" t="str">
        <f aca="false">VLOOKUP(A46,Соответствие!A:B,2,FALSE())</f>
        <v>delete_flights</v>
      </c>
      <c r="G46" s="52" t="n">
        <f aca="false">C46/3</f>
        <v>25</v>
      </c>
      <c r="H46" s="10" t="n">
        <f aca="false">VLOOKUP(F46,SummaryReport!A:J,8,FALSE())</f>
        <v>25</v>
      </c>
      <c r="I46" s="53" t="n">
        <f aca="false">1-G46/H46</f>
        <v>0</v>
      </c>
    </row>
    <row r="47" customFormat="false" ht="17.35" hidden="false" customHeight="false" outlineLevel="0" collapsed="false">
      <c r="A47" s="54" t="s">
        <v>25</v>
      </c>
      <c r="B47" s="48" t="n">
        <v>326</v>
      </c>
      <c r="C47" s="20" t="n">
        <f aca="false">GETPIVOTDATA("Итого",$I$1,"transaction rq",A47)*3</f>
        <v>314.736842105263</v>
      </c>
      <c r="D47" s="49" t="n">
        <f aca="false">1-B47/C47</f>
        <v>-0.0357859531772575</v>
      </c>
      <c r="E47" s="50"/>
      <c r="F47" s="51" t="str">
        <f aca="false">VLOOKUP(A47,Соответствие!A:B,2,FALSE())</f>
        <v>sign_off</v>
      </c>
      <c r="G47" s="52" t="n">
        <f aca="false">C47/3</f>
        <v>104.912280701754</v>
      </c>
      <c r="H47" s="10" t="n">
        <f aca="false">VLOOKUP(F47,SummaryReport!A:J,8,FALSE())</f>
        <v>106</v>
      </c>
      <c r="I47" s="53" t="n">
        <f aca="false">1-G47/H47</f>
        <v>0.0102615028136378</v>
      </c>
    </row>
    <row r="48" customFormat="false" ht="31.3" hidden="false" customHeight="false" outlineLevel="0" collapsed="false">
      <c r="A48" s="54" t="s">
        <v>34</v>
      </c>
      <c r="B48" s="48" t="n">
        <v>97</v>
      </c>
      <c r="C48" s="20" t="n">
        <f aca="false">GETPIVOTDATA("Итого",$I$1,"transaction rq",A48)*3</f>
        <v>97.2972972972972</v>
      </c>
      <c r="D48" s="49" t="n">
        <f aca="false">1-B48/C48</f>
        <v>0.00305555555555459</v>
      </c>
      <c r="E48" s="50"/>
      <c r="F48" s="51" t="str">
        <f aca="false">VLOOKUP(A48,Соответствие!A:B,2,FALSE())</f>
        <v>sign_up</v>
      </c>
      <c r="G48" s="52" t="n">
        <f aca="false">C48/3</f>
        <v>32.4324324324324</v>
      </c>
      <c r="H48" s="10" t="n">
        <f aca="false">VLOOKUP(F48,SummaryReport!A:J,8,FALSE())</f>
        <v>33</v>
      </c>
      <c r="I48" s="53" t="n">
        <f aca="false">1-G48/H48</f>
        <v>0.0171990171990182</v>
      </c>
    </row>
    <row r="49" customFormat="false" ht="31.3" hidden="false" customHeight="false" outlineLevel="0" collapsed="false">
      <c r="A49" s="54" t="s">
        <v>35</v>
      </c>
      <c r="B49" s="48" t="n">
        <v>97</v>
      </c>
      <c r="C49" s="20" t="n">
        <f aca="false">GETPIVOTDATA("Итого",$I$1,"transaction rq",A49)*3</f>
        <v>97.2972972972972</v>
      </c>
      <c r="D49" s="49" t="n">
        <f aca="false">1-B49/C49</f>
        <v>0.00305555555555459</v>
      </c>
      <c r="E49" s="50"/>
      <c r="F49" s="51" t="str">
        <f aca="false">VLOOKUP(A49,Соответствие!A:B,2,FALSE())</f>
        <v>registration</v>
      </c>
      <c r="G49" s="52" t="n">
        <f aca="false">C49/3</f>
        <v>32.4324324324324</v>
      </c>
      <c r="H49" s="10" t="n">
        <f aca="false">VLOOKUP(F49,SummaryReport!A:J,8,FALSE())</f>
        <v>33</v>
      </c>
      <c r="I49" s="53" t="n">
        <f aca="false">1-G49/H49</f>
        <v>0.0171990171990182</v>
      </c>
    </row>
    <row r="50" customFormat="false" ht="31.3" hidden="false" customHeight="false" outlineLevel="0" collapsed="false">
      <c r="A50" s="54" t="s">
        <v>36</v>
      </c>
      <c r="B50" s="48" t="n">
        <v>97</v>
      </c>
      <c r="C50" s="20" t="n">
        <f aca="false">GETPIVOTDATA("Итого",$I$1,"transaction rq",A50)*3</f>
        <v>97.2972972972972</v>
      </c>
      <c r="D50" s="49" t="n">
        <f aca="false">1-B50/C50</f>
        <v>0.00305555555555459</v>
      </c>
      <c r="E50" s="50"/>
      <c r="F50" s="51" t="str">
        <f aca="false">VLOOKUP(A50,Соответствие!A:B,2,FALSE())</f>
        <v>continue_registration</v>
      </c>
      <c r="G50" s="52" t="n">
        <f aca="false">C50/3</f>
        <v>32.4324324324324</v>
      </c>
      <c r="H50" s="10" t="n">
        <f aca="false">VLOOKUP(F50,SummaryReport!A:J,8,FALSE())</f>
        <v>33</v>
      </c>
      <c r="I50" s="53" t="n">
        <f aca="false">1-G50/H50</f>
        <v>0.0171990171990182</v>
      </c>
    </row>
    <row r="51" customFormat="false" ht="17.35" hidden="false" customHeight="false" outlineLevel="0" collapsed="false">
      <c r="A51" s="57" t="s">
        <v>7</v>
      </c>
      <c r="B51" s="58" t="n">
        <f aca="false">SUM(B39:B50)</f>
        <v>2944</v>
      </c>
      <c r="C51" s="59" t="n">
        <f aca="false">SUM(C39:C50)</f>
        <v>2981.09708392603</v>
      </c>
      <c r="D51" s="49" t="n">
        <f aca="false">1-B51/C51</f>
        <v>0.0124441045969477</v>
      </c>
    </row>
    <row r="52" customFormat="false" ht="15" hidden="false" customHeight="false" outlineLevel="0" collapsed="false">
      <c r="I52" s="60"/>
    </row>
    <row r="53" customFormat="false" ht="15" hidden="false" customHeight="false" outlineLevel="0" collapsed="false">
      <c r="A53" s="4"/>
      <c r="B53" s="5"/>
      <c r="C53" s="61" t="s">
        <v>49</v>
      </c>
      <c r="D53" s="61"/>
      <c r="E53" s="61"/>
      <c r="F53" s="61"/>
      <c r="G53" s="61"/>
      <c r="H53" s="61"/>
      <c r="I53" s="9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37:B37"/>
    <mergeCell ref="C37:D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83203125" defaultRowHeight="15" customHeight="true" zeroHeight="false" outlineLevelRow="0" outlineLevelCol="0"/>
  <cols>
    <col collapsed="false" customWidth="true" hidden="false" outlineLevel="0" max="1" min="1" style="1" width="47.5"/>
    <col collapsed="false" customWidth="true" hidden="false" outlineLevel="0" max="2" min="2" style="1" width="14.16"/>
  </cols>
  <sheetData>
    <row r="1" customFormat="false" ht="15" hidden="false" customHeight="false" outlineLevel="0" collapsed="false">
      <c r="A1" s="62" t="s">
        <v>50</v>
      </c>
      <c r="B1" s="62" t="s">
        <v>51</v>
      </c>
    </row>
    <row r="2" customFormat="false" ht="15" hidden="false" customHeight="false" outlineLevel="0" collapsed="false">
      <c r="A2" s="51" t="str">
        <f aca="false">'Автоматизированный расчет'!A39</f>
        <v>Главная Welcome страница</v>
      </c>
      <c r="B2" s="51" t="s">
        <v>52</v>
      </c>
    </row>
    <row r="3" customFormat="false" ht="15" hidden="false" customHeight="false" outlineLevel="0" collapsed="false">
      <c r="A3" s="51" t="str">
        <f aca="false">'Автоматизированный расчет'!A40</f>
        <v>Вход в систему</v>
      </c>
      <c r="B3" s="51" t="s">
        <v>53</v>
      </c>
    </row>
    <row r="4" customFormat="false" ht="15" hidden="false" customHeight="false" outlineLevel="0" collapsed="false">
      <c r="A4" s="51" t="str">
        <f aca="false">'Автоматизированный расчет'!A41</f>
        <v>Переход на страницу поиска билетов</v>
      </c>
      <c r="B4" s="51" t="s">
        <v>54</v>
      </c>
    </row>
    <row r="5" customFormat="false" ht="15" hidden="false" customHeight="false" outlineLevel="0" collapsed="false">
      <c r="A5" s="51" t="str">
        <f aca="false">'Автоматизированный расчет'!A42</f>
        <v>Заполнение полей для поиска билета </v>
      </c>
      <c r="B5" s="51" t="s">
        <v>55</v>
      </c>
    </row>
    <row r="6" customFormat="false" ht="15" hidden="false" customHeight="false" outlineLevel="0" collapsed="false">
      <c r="A6" s="51" t="str">
        <f aca="false">'Автоматизированный расчет'!A43</f>
        <v>Выбор рейса из найденных </v>
      </c>
      <c r="B6" s="51" t="s">
        <v>56</v>
      </c>
    </row>
    <row r="7" customFormat="false" ht="15" hidden="false" customHeight="false" outlineLevel="0" collapsed="false">
      <c r="A7" s="51" t="str">
        <f aca="false">'Автоматизированный расчет'!A44</f>
        <v>Оплата билета</v>
      </c>
      <c r="B7" s="51" t="s">
        <v>57</v>
      </c>
    </row>
    <row r="8" customFormat="false" ht="15" hidden="false" customHeight="false" outlineLevel="0" collapsed="false">
      <c r="A8" s="51" t="str">
        <f aca="false">'Автоматизированный расчет'!A45</f>
        <v>Просмотр квитанций</v>
      </c>
      <c r="B8" s="51" t="s">
        <v>58</v>
      </c>
    </row>
    <row r="9" customFormat="false" ht="15" hidden="false" customHeight="false" outlineLevel="0" collapsed="false">
      <c r="A9" s="51" t="str">
        <f aca="false">'Автоматизированный расчет'!A46</f>
        <v>Отмена бронирования </v>
      </c>
      <c r="B9" s="51" t="s">
        <v>59</v>
      </c>
    </row>
    <row r="10" customFormat="false" ht="15" hidden="false" customHeight="false" outlineLevel="0" collapsed="false">
      <c r="A10" s="51" t="str">
        <f aca="false">'Автоматизированный расчет'!A47</f>
        <v>Выход из системы</v>
      </c>
      <c r="B10" s="51" t="s">
        <v>60</v>
      </c>
    </row>
    <row r="11" customFormat="false" ht="15" hidden="false" customHeight="false" outlineLevel="0" collapsed="false">
      <c r="A11" s="51" t="str">
        <f aca="false">'Автоматизированный расчет'!A48</f>
        <v>Перход на страницу регистрации</v>
      </c>
      <c r="B11" s="51" t="s">
        <v>61</v>
      </c>
    </row>
    <row r="12" customFormat="false" ht="15" hidden="false" customHeight="false" outlineLevel="0" collapsed="false">
      <c r="A12" s="51" t="str">
        <f aca="false">'Автоматизированный расчет'!A49</f>
        <v>Заполнение полей регистарции</v>
      </c>
      <c r="B12" s="51" t="s">
        <v>62</v>
      </c>
    </row>
    <row r="13" customFormat="false" ht="15" hidden="false" customHeight="false" outlineLevel="0" collapsed="false">
      <c r="A13" s="51" t="str">
        <f aca="false">'Автоматизированный расчет'!A50</f>
        <v>Переход на следуюущий эран после регистарции</v>
      </c>
      <c r="B13" s="51" t="s">
        <v>63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8.83203125" defaultRowHeight="15" customHeight="true" zeroHeight="false" outlineLevelRow="0" outlineLevelCol="0"/>
  <cols>
    <col collapsed="false" customWidth="true" hidden="false" outlineLevel="0" max="1" min="1" style="1" width="36.5"/>
  </cols>
  <sheetData>
    <row r="1" customFormat="false" ht="15" hidden="false" customHeight="false" outlineLevel="0" collapsed="false">
      <c r="A1" s="63" t="s">
        <v>64</v>
      </c>
      <c r="B1" s="63" t="s">
        <v>65</v>
      </c>
      <c r="C1" s="63" t="s">
        <v>66</v>
      </c>
      <c r="D1" s="63" t="s">
        <v>67</v>
      </c>
      <c r="E1" s="63" t="s">
        <v>68</v>
      </c>
      <c r="F1" s="63" t="s">
        <v>69</v>
      </c>
      <c r="G1" s="63" t="s">
        <v>70</v>
      </c>
      <c r="H1" s="63" t="s">
        <v>71</v>
      </c>
      <c r="I1" s="63" t="s">
        <v>72</v>
      </c>
      <c r="J1" s="63" t="s">
        <v>73</v>
      </c>
    </row>
    <row r="2" customFormat="false" ht="15" hidden="false" customHeight="false" outlineLevel="0" collapsed="false">
      <c r="A2" s="63" t="s">
        <v>74</v>
      </c>
      <c r="B2" s="63" t="s">
        <v>75</v>
      </c>
      <c r="C2" s="63" t="n">
        <v>0.454</v>
      </c>
      <c r="D2" s="63" t="n">
        <v>0.863</v>
      </c>
      <c r="E2" s="63" t="n">
        <v>1.232</v>
      </c>
      <c r="F2" s="63" t="n">
        <v>0.184</v>
      </c>
      <c r="G2" s="63" t="n">
        <v>1.097</v>
      </c>
      <c r="H2" s="63" t="n">
        <v>178</v>
      </c>
      <c r="I2" s="63" t="n">
        <v>0</v>
      </c>
      <c r="J2" s="63" t="n">
        <v>0</v>
      </c>
    </row>
    <row r="3" s="1" customFormat="true" ht="15" hidden="false" customHeight="false" outlineLevel="0" collapsed="false">
      <c r="A3" s="63" t="s">
        <v>59</v>
      </c>
      <c r="B3" s="63" t="s">
        <v>75</v>
      </c>
      <c r="C3" s="63" t="n">
        <v>0</v>
      </c>
      <c r="D3" s="63" t="n">
        <v>0.129</v>
      </c>
      <c r="E3" s="63" t="n">
        <v>0.214</v>
      </c>
      <c r="F3" s="63" t="n">
        <v>0.076</v>
      </c>
      <c r="G3" s="63" t="n">
        <v>0.192</v>
      </c>
      <c r="H3" s="63" t="n">
        <v>25</v>
      </c>
      <c r="I3" s="63" t="n">
        <v>0</v>
      </c>
      <c r="J3" s="63" t="n">
        <v>0</v>
      </c>
    </row>
    <row r="4" s="1" customFormat="true" ht="15" hidden="false" customHeight="false" outlineLevel="0" collapsed="false">
      <c r="A4" s="63" t="s">
        <v>54</v>
      </c>
      <c r="B4" s="63" t="s">
        <v>75</v>
      </c>
      <c r="C4" s="63" t="n">
        <v>0.16</v>
      </c>
      <c r="D4" s="63" t="n">
        <v>0.208</v>
      </c>
      <c r="E4" s="63" t="n">
        <v>0.423</v>
      </c>
      <c r="F4" s="63" t="n">
        <v>0.041</v>
      </c>
      <c r="G4" s="63" t="n">
        <v>0.243</v>
      </c>
      <c r="H4" s="63" t="n">
        <v>106</v>
      </c>
      <c r="I4" s="63" t="n">
        <v>0</v>
      </c>
      <c r="J4" s="63" t="n">
        <v>0</v>
      </c>
    </row>
    <row r="5" s="1" customFormat="true" ht="15" hidden="false" customHeight="false" outlineLevel="0" collapsed="false">
      <c r="A5" s="63" t="s">
        <v>58</v>
      </c>
      <c r="B5" s="63" t="s">
        <v>75</v>
      </c>
      <c r="C5" s="63" t="n">
        <v>0.182</v>
      </c>
      <c r="D5" s="63" t="n">
        <v>0.211</v>
      </c>
      <c r="E5" s="63" t="n">
        <v>0.347</v>
      </c>
      <c r="F5" s="63" t="n">
        <v>0.026</v>
      </c>
      <c r="G5" s="63" t="n">
        <v>0.228</v>
      </c>
      <c r="H5" s="63" t="n">
        <v>92</v>
      </c>
      <c r="I5" s="63" t="n">
        <v>0</v>
      </c>
      <c r="J5" s="63" t="n">
        <v>0</v>
      </c>
    </row>
    <row r="6" s="1" customFormat="true" ht="15" hidden="false" customHeight="false" outlineLevel="0" collapsed="false">
      <c r="A6" s="63" t="s">
        <v>63</v>
      </c>
      <c r="B6" s="63" t="s">
        <v>75</v>
      </c>
      <c r="C6" s="63" t="n">
        <v>0.148</v>
      </c>
      <c r="D6" s="63" t="n">
        <v>0.178</v>
      </c>
      <c r="E6" s="63" t="n">
        <v>0.231</v>
      </c>
      <c r="F6" s="63" t="n">
        <v>0.019</v>
      </c>
      <c r="G6" s="63" t="n">
        <v>0.205</v>
      </c>
      <c r="H6" s="63" t="n">
        <v>33</v>
      </c>
      <c r="I6" s="63" t="n">
        <v>0</v>
      </c>
      <c r="J6" s="63" t="n">
        <v>0</v>
      </c>
    </row>
    <row r="7" s="1" customFormat="true" ht="15" hidden="false" customHeight="false" outlineLevel="0" collapsed="false">
      <c r="A7" s="63" t="s">
        <v>55</v>
      </c>
      <c r="B7" s="63" t="s">
        <v>75</v>
      </c>
      <c r="C7" s="63" t="n">
        <v>0.079</v>
      </c>
      <c r="D7" s="63" t="n">
        <v>0.092</v>
      </c>
      <c r="E7" s="63" t="n">
        <v>0.21</v>
      </c>
      <c r="F7" s="63" t="n">
        <v>0.014</v>
      </c>
      <c r="G7" s="63" t="n">
        <v>0.1</v>
      </c>
      <c r="H7" s="63" t="n">
        <v>93</v>
      </c>
      <c r="I7" s="63" t="n">
        <v>0</v>
      </c>
      <c r="J7" s="63" t="n">
        <v>0</v>
      </c>
    </row>
    <row r="8" s="1" customFormat="true" ht="15" hidden="false" customHeight="false" outlineLevel="0" collapsed="false">
      <c r="A8" s="63" t="s">
        <v>53</v>
      </c>
      <c r="B8" s="63" t="s">
        <v>75</v>
      </c>
      <c r="C8" s="63" t="n">
        <v>0.152</v>
      </c>
      <c r="D8" s="63" t="n">
        <v>0.182</v>
      </c>
      <c r="E8" s="63" t="n">
        <v>0.34</v>
      </c>
      <c r="F8" s="63" t="n">
        <v>0.023</v>
      </c>
      <c r="G8" s="63" t="n">
        <v>0.208</v>
      </c>
      <c r="H8" s="63" t="n">
        <v>152</v>
      </c>
      <c r="I8" s="63" t="n">
        <v>0</v>
      </c>
      <c r="J8" s="63" t="n">
        <v>0</v>
      </c>
    </row>
    <row r="9" s="1" customFormat="true" ht="15" hidden="false" customHeight="false" outlineLevel="0" collapsed="false">
      <c r="A9" s="63" t="s">
        <v>52</v>
      </c>
      <c r="B9" s="63" t="s">
        <v>75</v>
      </c>
      <c r="C9" s="63" t="n">
        <v>0.145</v>
      </c>
      <c r="D9" s="63" t="n">
        <v>0.17</v>
      </c>
      <c r="E9" s="63" t="n">
        <v>0.346</v>
      </c>
      <c r="F9" s="63" t="n">
        <v>0.022</v>
      </c>
      <c r="G9" s="63" t="n">
        <v>0.186</v>
      </c>
      <c r="H9" s="63" t="n">
        <v>185</v>
      </c>
      <c r="I9" s="63" t="n">
        <v>0</v>
      </c>
      <c r="J9" s="63" t="n">
        <v>0</v>
      </c>
    </row>
    <row r="10" s="1" customFormat="true" ht="15" hidden="false" customHeight="false" outlineLevel="0" collapsed="false">
      <c r="A10" s="63" t="s">
        <v>57</v>
      </c>
      <c r="B10" s="63" t="s">
        <v>75</v>
      </c>
      <c r="C10" s="63" t="n">
        <v>0.088</v>
      </c>
      <c r="D10" s="63" t="n">
        <v>0.1</v>
      </c>
      <c r="E10" s="63" t="n">
        <v>0.132</v>
      </c>
      <c r="F10" s="63" t="n">
        <v>0.009</v>
      </c>
      <c r="G10" s="63" t="n">
        <v>0.109</v>
      </c>
      <c r="H10" s="63" t="n">
        <v>60</v>
      </c>
      <c r="I10" s="63" t="n">
        <v>0</v>
      </c>
      <c r="J10" s="63" t="n">
        <v>0</v>
      </c>
    </row>
    <row r="11" s="1" customFormat="true" ht="15" hidden="false" customHeight="false" outlineLevel="0" collapsed="false">
      <c r="A11" s="63" t="s">
        <v>62</v>
      </c>
      <c r="B11" s="63" t="s">
        <v>75</v>
      </c>
      <c r="C11" s="63" t="n">
        <v>0.072</v>
      </c>
      <c r="D11" s="63" t="n">
        <v>0.086</v>
      </c>
      <c r="E11" s="63" t="n">
        <v>0.143</v>
      </c>
      <c r="F11" s="63" t="n">
        <v>0.014</v>
      </c>
      <c r="G11" s="63" t="n">
        <v>0.095</v>
      </c>
      <c r="H11" s="63" t="n">
        <v>33</v>
      </c>
      <c r="I11" s="63" t="n">
        <v>0</v>
      </c>
      <c r="J11" s="63" t="n">
        <v>0</v>
      </c>
    </row>
    <row r="12" s="1" customFormat="true" ht="15" hidden="false" customHeight="false" outlineLevel="0" collapsed="false">
      <c r="A12" s="63" t="s">
        <v>56</v>
      </c>
      <c r="B12" s="63" t="s">
        <v>75</v>
      </c>
      <c r="C12" s="63" t="n">
        <v>0.081</v>
      </c>
      <c r="D12" s="63" t="n">
        <v>0.097</v>
      </c>
      <c r="E12" s="63" t="n">
        <v>0.172</v>
      </c>
      <c r="F12" s="63" t="n">
        <v>0.014</v>
      </c>
      <c r="G12" s="63" t="n">
        <v>0.108</v>
      </c>
      <c r="H12" s="63" t="n">
        <v>93</v>
      </c>
      <c r="I12" s="63" t="n">
        <v>0</v>
      </c>
      <c r="J12" s="63" t="n">
        <v>0</v>
      </c>
    </row>
    <row r="13" s="1" customFormat="true" ht="15" hidden="false" customHeight="false" outlineLevel="0" collapsed="false">
      <c r="A13" s="63" t="s">
        <v>60</v>
      </c>
      <c r="B13" s="63" t="s">
        <v>75</v>
      </c>
      <c r="C13" s="63" t="n">
        <v>0.136</v>
      </c>
      <c r="D13" s="63" t="n">
        <v>0.158</v>
      </c>
      <c r="E13" s="63" t="n">
        <v>0.394</v>
      </c>
      <c r="F13" s="63" t="n">
        <v>0.027</v>
      </c>
      <c r="G13" s="63" t="n">
        <v>0.175</v>
      </c>
      <c r="H13" s="63" t="n">
        <v>106</v>
      </c>
      <c r="I13" s="63" t="n">
        <v>0</v>
      </c>
      <c r="J13" s="63" t="n">
        <v>0</v>
      </c>
    </row>
    <row r="14" s="1" customFormat="true" ht="15" hidden="false" customHeight="false" outlineLevel="0" collapsed="false">
      <c r="A14" s="63" t="s">
        <v>61</v>
      </c>
      <c r="B14" s="63" t="s">
        <v>75</v>
      </c>
      <c r="C14" s="63" t="n">
        <v>0.096</v>
      </c>
      <c r="D14" s="63" t="n">
        <v>0.11</v>
      </c>
      <c r="E14" s="63" t="n">
        <v>0.14</v>
      </c>
      <c r="F14" s="63" t="n">
        <v>0.009</v>
      </c>
      <c r="G14" s="63" t="n">
        <v>0.121</v>
      </c>
      <c r="H14" s="63" t="n">
        <v>33</v>
      </c>
      <c r="I14" s="63" t="n">
        <v>0</v>
      </c>
      <c r="J14" s="63" t="n">
        <v>0</v>
      </c>
    </row>
    <row r="15" customFormat="false" ht="15" hidden="false" customHeight="false" outlineLevel="0" collapsed="false">
      <c r="A15" s="63" t="s">
        <v>76</v>
      </c>
      <c r="B15" s="63" t="s">
        <v>75</v>
      </c>
      <c r="C15" s="63" t="n">
        <v>0.614</v>
      </c>
      <c r="D15" s="63" t="n">
        <v>0.696</v>
      </c>
      <c r="E15" s="63" t="n">
        <v>0.776</v>
      </c>
      <c r="F15" s="63" t="n">
        <v>0.044</v>
      </c>
      <c r="G15" s="63" t="n">
        <v>0.749</v>
      </c>
      <c r="H15" s="63" t="n">
        <v>32</v>
      </c>
      <c r="I15" s="63" t="n">
        <v>0</v>
      </c>
      <c r="J15" s="63" t="n">
        <v>0</v>
      </c>
    </row>
    <row r="16" customFormat="false" ht="15" hidden="false" customHeight="false" outlineLevel="0" collapsed="false">
      <c r="A16" s="63" t="s">
        <v>77</v>
      </c>
      <c r="B16" s="63" t="s">
        <v>75</v>
      </c>
      <c r="C16" s="63" t="n">
        <v>0.768</v>
      </c>
      <c r="D16" s="63" t="n">
        <v>0.921</v>
      </c>
      <c r="E16" s="63" t="n">
        <v>1.174</v>
      </c>
      <c r="F16" s="63" t="n">
        <v>0.097</v>
      </c>
      <c r="G16" s="63" t="n">
        <v>1.041</v>
      </c>
      <c r="H16" s="63" t="n">
        <v>30</v>
      </c>
      <c r="I16" s="63" t="n">
        <v>0</v>
      </c>
      <c r="J16" s="63" t="n">
        <v>0</v>
      </c>
    </row>
    <row r="17" customFormat="false" ht="15" hidden="false" customHeight="false" outlineLevel="0" collapsed="false">
      <c r="A17" s="63" t="s">
        <v>78</v>
      </c>
      <c r="B17" s="63" t="s">
        <v>75</v>
      </c>
      <c r="C17" s="63" t="n">
        <v>0.648</v>
      </c>
      <c r="D17" s="63" t="n">
        <v>0.724</v>
      </c>
      <c r="E17" s="63" t="n">
        <v>0.831</v>
      </c>
      <c r="F17" s="63" t="n">
        <v>0.041</v>
      </c>
      <c r="G17" s="63" t="n">
        <v>0.75</v>
      </c>
      <c r="H17" s="63" t="n">
        <v>12</v>
      </c>
      <c r="I17" s="63" t="n">
        <v>0</v>
      </c>
      <c r="J17" s="63" t="n">
        <v>0</v>
      </c>
    </row>
    <row r="18" customFormat="false" ht="15" hidden="false" customHeight="false" outlineLevel="0" collapsed="false">
      <c r="A18" s="63" t="s">
        <v>79</v>
      </c>
      <c r="B18" s="63" t="s">
        <v>75</v>
      </c>
      <c r="C18" s="63" t="n">
        <v>0.92</v>
      </c>
      <c r="D18" s="63" t="n">
        <v>1.046</v>
      </c>
      <c r="E18" s="63" t="n">
        <v>1.232</v>
      </c>
      <c r="F18" s="63" t="n">
        <v>0.07</v>
      </c>
      <c r="G18" s="63" t="n">
        <v>1.108</v>
      </c>
      <c r="H18" s="63" t="n">
        <v>60</v>
      </c>
      <c r="I18" s="63" t="n">
        <v>0</v>
      </c>
      <c r="J18" s="63" t="n">
        <v>0</v>
      </c>
    </row>
    <row r="19" customFormat="false" ht="15" hidden="false" customHeight="false" outlineLevel="0" collapsed="false">
      <c r="A19" s="63" t="s">
        <v>80</v>
      </c>
      <c r="B19" s="63" t="s">
        <v>75</v>
      </c>
      <c r="C19" s="63" t="n">
        <v>0.706</v>
      </c>
      <c r="D19" s="63" t="n">
        <v>0.866</v>
      </c>
      <c r="E19" s="63" t="n">
        <v>1.141</v>
      </c>
      <c r="F19" s="63" t="n">
        <v>0.102</v>
      </c>
      <c r="G19" s="63" t="n">
        <v>0.979</v>
      </c>
      <c r="H19" s="63" t="n">
        <v>24</v>
      </c>
      <c r="I19" s="63" t="n">
        <v>0</v>
      </c>
      <c r="J19" s="63" t="n">
        <v>0</v>
      </c>
    </row>
    <row r="20" customFormat="false" ht="15" hidden="false" customHeight="false" outlineLevel="0" collapsed="false">
      <c r="A20" s="63" t="s">
        <v>81</v>
      </c>
      <c r="B20" s="63" t="s">
        <v>75</v>
      </c>
      <c r="C20" s="63" t="n">
        <v>0.599</v>
      </c>
      <c r="D20" s="63" t="n">
        <v>0.696</v>
      </c>
      <c r="E20" s="63" t="n">
        <v>0.81</v>
      </c>
      <c r="F20" s="63" t="n">
        <v>0.062</v>
      </c>
      <c r="G20" s="63" t="n">
        <v>0.81</v>
      </c>
      <c r="H20" s="63" t="n">
        <v>8</v>
      </c>
      <c r="I20" s="63" t="n">
        <v>0</v>
      </c>
      <c r="J20" s="63" t="n">
        <v>0</v>
      </c>
    </row>
    <row r="21" customFormat="false" ht="15" hidden="false" customHeight="false" outlineLevel="0" collapsed="false">
      <c r="A21" s="63" t="s">
        <v>82</v>
      </c>
      <c r="B21" s="63" t="s">
        <v>75</v>
      </c>
      <c r="C21" s="63" t="n">
        <v>0.453</v>
      </c>
      <c r="D21" s="63" t="n">
        <v>0.497</v>
      </c>
      <c r="E21" s="63" t="n">
        <v>0.564</v>
      </c>
      <c r="F21" s="63" t="n">
        <v>0.027</v>
      </c>
      <c r="G21" s="63" t="n">
        <v>0.508</v>
      </c>
      <c r="H21" s="63" t="n">
        <v>12</v>
      </c>
      <c r="I21" s="63" t="n">
        <v>0</v>
      </c>
      <c r="J21" s="63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2:R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76" activeCellId="0" sqref="L76"/>
    </sheetView>
  </sheetViews>
  <sheetFormatPr defaultColWidth="8.83203125" defaultRowHeight="15" customHeight="true" zeroHeight="false" outlineLevelRow="0" outlineLevelCol="0"/>
  <cols>
    <col collapsed="false" customWidth="true" hidden="false" outlineLevel="0" max="2" min="2" style="1" width="4.5"/>
    <col collapsed="false" customWidth="true" hidden="true" outlineLevel="0" max="4" min="3" style="1" width="9.16"/>
    <col collapsed="false" customWidth="true" hidden="false" outlineLevel="0" max="5" min="5" style="1" width="29.06"/>
    <col collapsed="false" customWidth="true" hidden="false" outlineLevel="0" max="6" min="6" style="1" width="24.93"/>
    <col collapsed="false" customWidth="true" hidden="false" outlineLevel="0" max="7" min="7" style="1" width="15.33"/>
    <col collapsed="false" customWidth="true" hidden="false" outlineLevel="0" max="8" min="8" style="1" width="15.16"/>
    <col collapsed="false" customWidth="true" hidden="false" outlineLevel="0" max="9" min="9" style="1" width="14"/>
    <col collapsed="false" customWidth="true" hidden="false" outlineLevel="0" max="11" min="11" style="1" width="12.79"/>
    <col collapsed="false" customWidth="true" hidden="false" outlineLevel="0" max="12" min="12" style="1" width="40.33"/>
    <col collapsed="false" customWidth="true" hidden="false" outlineLevel="0" max="13" min="13" style="1" width="6"/>
    <col collapsed="false" customWidth="true" hidden="false" outlineLevel="0" max="14" min="14" style="1" width="4.16"/>
    <col collapsed="false" customWidth="true" hidden="false" outlineLevel="0" max="15" min="15" style="1" width="5"/>
    <col collapsed="false" customWidth="true" hidden="false" outlineLevel="0" max="16" min="16" style="1" width="14.16"/>
    <col collapsed="false" customWidth="true" hidden="false" outlineLevel="0" max="17" min="17" style="1" width="19.52"/>
  </cols>
  <sheetData>
    <row r="2" customFormat="false" ht="15" hidden="false" customHeight="false" outlineLevel="0" collapsed="false">
      <c r="E2" s="64" t="s">
        <v>83</v>
      </c>
      <c r="F2" s="64"/>
      <c r="G2" s="64"/>
      <c r="H2" s="64"/>
      <c r="I2" s="64"/>
    </row>
    <row r="4" customFormat="false" ht="15" hidden="false" customHeight="false" outlineLevel="0" collapsed="false">
      <c r="E4" s="65" t="s">
        <v>84</v>
      </c>
      <c r="F4" s="65" t="s">
        <v>85</v>
      </c>
      <c r="G4" s="65" t="s">
        <v>86</v>
      </c>
      <c r="H4" s="65" t="s">
        <v>87</v>
      </c>
      <c r="I4" s="65" t="s">
        <v>88</v>
      </c>
    </row>
    <row r="5" customFormat="false" ht="15" hidden="false" customHeight="false" outlineLevel="0" collapsed="false">
      <c r="E5" s="66" t="s">
        <v>20</v>
      </c>
      <c r="F5" s="67" t="s">
        <v>52</v>
      </c>
      <c r="G5" s="68" t="n">
        <v>543</v>
      </c>
      <c r="H5" s="68" t="n">
        <f aca="false">185*3</f>
        <v>555</v>
      </c>
      <c r="I5" s="69" t="n">
        <f aca="false">1-G5/H5</f>
        <v>0.0216216216216216</v>
      </c>
    </row>
    <row r="6" customFormat="false" ht="15" hidden="false" customHeight="false" outlineLevel="0" collapsed="false">
      <c r="E6" s="66" t="s">
        <v>21</v>
      </c>
      <c r="F6" s="67" t="s">
        <v>53</v>
      </c>
      <c r="G6" s="68" t="n">
        <v>446</v>
      </c>
      <c r="H6" s="68" t="n">
        <f aca="false">152*3</f>
        <v>456</v>
      </c>
      <c r="I6" s="69" t="n">
        <f aca="false">1-G6/H6</f>
        <v>0.0219298245614035</v>
      </c>
    </row>
    <row r="7" customFormat="false" ht="24.05" hidden="false" customHeight="false" outlineLevel="0" collapsed="false">
      <c r="E7" s="66" t="s">
        <v>24</v>
      </c>
      <c r="F7" s="67" t="s">
        <v>54</v>
      </c>
      <c r="G7" s="68" t="n">
        <v>315</v>
      </c>
      <c r="H7" s="68" t="n">
        <f aca="false">106*3</f>
        <v>318</v>
      </c>
      <c r="I7" s="69" t="n">
        <f aca="false">1-G7/H7</f>
        <v>0.00943396226415094</v>
      </c>
    </row>
    <row r="8" customFormat="false" ht="24.05" hidden="false" customHeight="false" outlineLevel="0" collapsed="false">
      <c r="E8" s="66" t="s">
        <v>89</v>
      </c>
      <c r="F8" s="67" t="s">
        <v>55</v>
      </c>
      <c r="G8" s="68" t="n">
        <v>275</v>
      </c>
      <c r="H8" s="68" t="n">
        <f aca="false">93*3</f>
        <v>279</v>
      </c>
      <c r="I8" s="69" t="n">
        <f aca="false">1-G8/H8</f>
        <v>0.014336917562724</v>
      </c>
    </row>
    <row r="9" customFormat="false" ht="15" hidden="false" customHeight="false" outlineLevel="0" collapsed="false">
      <c r="E9" s="66" t="s">
        <v>22</v>
      </c>
      <c r="F9" s="67" t="s">
        <v>56</v>
      </c>
      <c r="G9" s="68" t="n">
        <v>275</v>
      </c>
      <c r="H9" s="68" t="n">
        <f aca="false">93*3</f>
        <v>279</v>
      </c>
      <c r="I9" s="69" t="n">
        <f aca="false">1-G9/H9</f>
        <v>0.014336917562724</v>
      </c>
    </row>
    <row r="10" customFormat="false" ht="15" hidden="false" customHeight="false" outlineLevel="0" collapsed="false">
      <c r="E10" s="66" t="s">
        <v>29</v>
      </c>
      <c r="F10" s="67" t="s">
        <v>57</v>
      </c>
      <c r="G10" s="68" t="n">
        <v>180</v>
      </c>
      <c r="H10" s="68" t="n">
        <f aca="false">60*3</f>
        <v>180</v>
      </c>
      <c r="I10" s="69" t="n">
        <f aca="false">1-G10/H10</f>
        <v>0</v>
      </c>
    </row>
    <row r="11" customFormat="false" ht="15" hidden="false" customHeight="false" outlineLevel="0" collapsed="false">
      <c r="E11" s="66" t="s">
        <v>33</v>
      </c>
      <c r="F11" s="67" t="s">
        <v>58</v>
      </c>
      <c r="G11" s="68" t="n">
        <v>266</v>
      </c>
      <c r="H11" s="68" t="n">
        <f aca="false">92*3</f>
        <v>276</v>
      </c>
      <c r="I11" s="69" t="n">
        <f aca="false">1-G11/H11</f>
        <v>0.0362318840579711</v>
      </c>
    </row>
    <row r="12" customFormat="false" ht="15" hidden="false" customHeight="false" outlineLevel="0" collapsed="false">
      <c r="E12" s="66" t="s">
        <v>31</v>
      </c>
      <c r="F12" s="67" t="s">
        <v>59</v>
      </c>
      <c r="G12" s="68" t="n">
        <v>75</v>
      </c>
      <c r="H12" s="68" t="n">
        <f aca="false">25*3</f>
        <v>75</v>
      </c>
      <c r="I12" s="69" t="n">
        <f aca="false">1-G12/H12</f>
        <v>0</v>
      </c>
    </row>
    <row r="13" customFormat="false" ht="15" hidden="false" customHeight="false" outlineLevel="0" collapsed="false">
      <c r="E13" s="66" t="s">
        <v>25</v>
      </c>
      <c r="F13" s="67" t="s">
        <v>60</v>
      </c>
      <c r="G13" s="68" t="n">
        <v>315</v>
      </c>
      <c r="H13" s="68" t="n">
        <f aca="false">106*3</f>
        <v>318</v>
      </c>
      <c r="I13" s="69" t="n">
        <f aca="false">1-G13/H13</f>
        <v>0.00943396226415094</v>
      </c>
    </row>
    <row r="14" customFormat="false" ht="15" hidden="false" customHeight="false" outlineLevel="0" collapsed="false">
      <c r="E14" s="66" t="s">
        <v>34</v>
      </c>
      <c r="F14" s="67" t="s">
        <v>61</v>
      </c>
      <c r="G14" s="68" t="n">
        <v>97</v>
      </c>
      <c r="H14" s="68" t="n">
        <f aca="false">33*3</f>
        <v>99</v>
      </c>
      <c r="I14" s="69" t="n">
        <f aca="false">1-G14/H14</f>
        <v>0.0202020202020202</v>
      </c>
    </row>
    <row r="15" customFormat="false" ht="15" hidden="false" customHeight="false" outlineLevel="0" collapsed="false">
      <c r="E15" s="66" t="s">
        <v>35</v>
      </c>
      <c r="F15" s="67" t="s">
        <v>62</v>
      </c>
      <c r="G15" s="68" t="n">
        <v>97</v>
      </c>
      <c r="H15" s="68" t="n">
        <f aca="false">33*3</f>
        <v>99</v>
      </c>
      <c r="I15" s="69" t="n">
        <f aca="false">1-G15/H15</f>
        <v>0.0202020202020202</v>
      </c>
    </row>
    <row r="16" customFormat="false" ht="24.05" hidden="false" customHeight="false" outlineLevel="0" collapsed="false">
      <c r="E16" s="66" t="s">
        <v>36</v>
      </c>
      <c r="F16" s="67" t="s">
        <v>63</v>
      </c>
      <c r="G16" s="68" t="n">
        <v>97</v>
      </c>
      <c r="H16" s="68" t="n">
        <f aca="false">33*3</f>
        <v>99</v>
      </c>
      <c r="I16" s="69" t="n">
        <f aca="false">1-G16/H16</f>
        <v>0.0202020202020202</v>
      </c>
    </row>
    <row r="19" customFormat="false" ht="15" hidden="false" customHeight="false" outlineLevel="0" collapsed="false">
      <c r="E19" s="64" t="s">
        <v>90</v>
      </c>
      <c r="F19" s="64"/>
      <c r="G19" s="64"/>
      <c r="H19" s="64"/>
      <c r="I19" s="64"/>
    </row>
    <row r="21" customFormat="false" ht="21.65" hidden="false" customHeight="true" outlineLevel="0" collapsed="false">
      <c r="E21" s="70" t="s">
        <v>84</v>
      </c>
      <c r="F21" s="70" t="s">
        <v>85</v>
      </c>
      <c r="G21" s="70" t="s">
        <v>86</v>
      </c>
      <c r="H21" s="70" t="s">
        <v>87</v>
      </c>
      <c r="I21" s="70" t="s">
        <v>88</v>
      </c>
    </row>
    <row r="22" customFormat="false" ht="15" hidden="false" customHeight="false" outlineLevel="0" collapsed="false">
      <c r="E22" s="66" t="s">
        <v>20</v>
      </c>
      <c r="F22" s="67" t="s">
        <v>52</v>
      </c>
      <c r="G22" s="71" t="n">
        <f aca="false">11*543</f>
        <v>5973</v>
      </c>
      <c r="H22" s="71" t="n">
        <f aca="false">3*1995</f>
        <v>5985</v>
      </c>
      <c r="I22" s="69" t="n">
        <f aca="false">1-G22/H22</f>
        <v>0.00200501253132834</v>
      </c>
    </row>
    <row r="23" customFormat="false" ht="15" hidden="false" customHeight="false" outlineLevel="0" collapsed="false">
      <c r="E23" s="66" t="s">
        <v>21</v>
      </c>
      <c r="F23" s="67" t="s">
        <v>53</v>
      </c>
      <c r="G23" s="71" t="n">
        <f aca="false">11*446</f>
        <v>4906</v>
      </c>
      <c r="H23" s="71" t="n">
        <f aca="false">3*1635</f>
        <v>4905</v>
      </c>
      <c r="I23" s="69" t="n">
        <f aca="false">1-G23/H23</f>
        <v>-0.000203873598368931</v>
      </c>
    </row>
    <row r="24" customFormat="false" ht="24.05" hidden="false" customHeight="false" outlineLevel="0" collapsed="false">
      <c r="E24" s="66" t="s">
        <v>24</v>
      </c>
      <c r="F24" s="67" t="s">
        <v>54</v>
      </c>
      <c r="G24" s="71" t="n">
        <f aca="false">11*315</f>
        <v>3465</v>
      </c>
      <c r="H24" s="71" t="n">
        <f aca="false">3*1156</f>
        <v>3468</v>
      </c>
      <c r="I24" s="69" t="n">
        <f aca="false">1-G24/H24</f>
        <v>0.000865051903114145</v>
      </c>
    </row>
    <row r="25" customFormat="false" ht="24.05" hidden="false" customHeight="false" outlineLevel="0" collapsed="false">
      <c r="E25" s="66" t="s">
        <v>89</v>
      </c>
      <c r="F25" s="67" t="s">
        <v>55</v>
      </c>
      <c r="G25" s="71" t="n">
        <f aca="false">11*275</f>
        <v>3025</v>
      </c>
      <c r="H25" s="71" t="n">
        <f aca="false">3*1007</f>
        <v>3021</v>
      </c>
      <c r="I25" s="69" t="n">
        <f aca="false">1-G25/H25</f>
        <v>-0.00132406487917902</v>
      </c>
    </row>
    <row r="26" customFormat="false" ht="15" hidden="false" customHeight="false" outlineLevel="0" collapsed="false">
      <c r="E26" s="66" t="s">
        <v>22</v>
      </c>
      <c r="F26" s="67" t="s">
        <v>56</v>
      </c>
      <c r="G26" s="71" t="n">
        <f aca="false">11*275</f>
        <v>3025</v>
      </c>
      <c r="H26" s="71" t="n">
        <f aca="false">3*1009</f>
        <v>3027</v>
      </c>
      <c r="I26" s="69" t="n">
        <f aca="false">1-G26/H26</f>
        <v>0.000660720185001629</v>
      </c>
    </row>
    <row r="27" customFormat="false" ht="15" hidden="false" customHeight="false" outlineLevel="0" collapsed="false">
      <c r="E27" s="66" t="s">
        <v>29</v>
      </c>
      <c r="F27" s="67" t="s">
        <v>57</v>
      </c>
      <c r="G27" s="71" t="n">
        <f aca="false">11*180</f>
        <v>1980</v>
      </c>
      <c r="H27" s="71" t="n">
        <f aca="false">3*662</f>
        <v>1986</v>
      </c>
      <c r="I27" s="69" t="n">
        <f aca="false">1-G27/H27</f>
        <v>0.00302114803625375</v>
      </c>
    </row>
    <row r="28" customFormat="false" ht="15" hidden="false" customHeight="false" outlineLevel="0" collapsed="false">
      <c r="E28" s="66" t="s">
        <v>33</v>
      </c>
      <c r="F28" s="67" t="s">
        <v>58</v>
      </c>
      <c r="G28" s="71" t="n">
        <f aca="false">11*266</f>
        <v>2926</v>
      </c>
      <c r="H28" s="71" t="n">
        <f aca="false">3*978</f>
        <v>2934</v>
      </c>
      <c r="I28" s="69" t="n">
        <f aca="false">1-G28/H28</f>
        <v>0.00272665303340147</v>
      </c>
    </row>
    <row r="29" customFormat="false" ht="15" hidden="false" customHeight="false" outlineLevel="0" collapsed="false">
      <c r="E29" s="66" t="s">
        <v>31</v>
      </c>
      <c r="F29" s="67" t="s">
        <v>59</v>
      </c>
      <c r="G29" s="71" t="n">
        <f aca="false">11*75</f>
        <v>825</v>
      </c>
      <c r="H29" s="71" t="n">
        <f aca="false">3*275</f>
        <v>825</v>
      </c>
      <c r="I29" s="69" t="n">
        <f aca="false">1-G29/H29</f>
        <v>0</v>
      </c>
    </row>
    <row r="30" customFormat="false" ht="15" hidden="false" customHeight="false" outlineLevel="0" collapsed="false">
      <c r="E30" s="66" t="s">
        <v>25</v>
      </c>
      <c r="F30" s="67" t="s">
        <v>60</v>
      </c>
      <c r="G30" s="71" t="n">
        <f aca="false">11*315</f>
        <v>3465</v>
      </c>
      <c r="H30" s="71" t="n">
        <f aca="false">3*1156</f>
        <v>3468</v>
      </c>
      <c r="I30" s="69" t="n">
        <f aca="false">1-G30/H30</f>
        <v>0.000865051903114145</v>
      </c>
    </row>
    <row r="31" customFormat="false" ht="15" hidden="false" customHeight="false" outlineLevel="0" collapsed="false">
      <c r="E31" s="66" t="s">
        <v>34</v>
      </c>
      <c r="F31" s="67" t="s">
        <v>61</v>
      </c>
      <c r="G31" s="71" t="n">
        <f aca="false">11*97</f>
        <v>1067</v>
      </c>
      <c r="H31" s="71" t="n">
        <f aca="false">3*359</f>
        <v>1077</v>
      </c>
      <c r="I31" s="69" t="n">
        <f aca="false">1-G31/H31</f>
        <v>0.00928505106778088</v>
      </c>
    </row>
    <row r="32" customFormat="false" ht="15" hidden="false" customHeight="false" outlineLevel="0" collapsed="false">
      <c r="E32" s="66" t="s">
        <v>35</v>
      </c>
      <c r="F32" s="67" t="s">
        <v>62</v>
      </c>
      <c r="G32" s="71" t="n">
        <f aca="false">11*97</f>
        <v>1067</v>
      </c>
      <c r="H32" s="71" t="n">
        <f aca="false">3*355</f>
        <v>1065</v>
      </c>
      <c r="I32" s="69" t="n">
        <f aca="false">1-G32/H32</f>
        <v>-0.00187793427230054</v>
      </c>
    </row>
    <row r="33" customFormat="false" ht="24.05" hidden="false" customHeight="false" outlineLevel="0" collapsed="false">
      <c r="E33" s="66" t="s">
        <v>36</v>
      </c>
      <c r="F33" s="67" t="s">
        <v>63</v>
      </c>
      <c r="G33" s="71" t="n">
        <f aca="false">11*97</f>
        <v>1067</v>
      </c>
      <c r="H33" s="71" t="n">
        <f aca="false">3*354</f>
        <v>1062</v>
      </c>
      <c r="I33" s="69" t="n">
        <f aca="false">1-G33/H33</f>
        <v>-0.00470809792843685</v>
      </c>
      <c r="R33" s="1"/>
    </row>
    <row r="34" customFormat="false" ht="15" hidden="false" customHeight="true" outlineLevel="0" collapsed="false">
      <c r="R34" s="1"/>
    </row>
    <row r="35" customFormat="false" ht="15" hidden="false" customHeight="true" outlineLevel="0" collapsed="false">
      <c r="R35" s="1"/>
    </row>
    <row r="36" customFormat="false" ht="15" hidden="false" customHeight="false" outlineLevel="0" collapsed="false">
      <c r="E36" s="64" t="s">
        <v>91</v>
      </c>
      <c r="F36" s="64"/>
      <c r="G36" s="64"/>
      <c r="H36" s="64"/>
      <c r="I36" s="64"/>
      <c r="R36" s="1"/>
    </row>
    <row r="37" customFormat="false" ht="15" hidden="false" customHeight="true" outlineLevel="0" collapsed="false">
      <c r="R37" s="1"/>
    </row>
    <row r="38" customFormat="false" ht="24.05" hidden="false" customHeight="true" outlineLevel="0" collapsed="false">
      <c r="E38" s="70" t="s">
        <v>84</v>
      </c>
      <c r="F38" s="70" t="s">
        <v>85</v>
      </c>
      <c r="G38" s="70" t="s">
        <v>86</v>
      </c>
      <c r="H38" s="70" t="s">
        <v>87</v>
      </c>
      <c r="I38" s="70" t="s">
        <v>88</v>
      </c>
      <c r="L38" s="72"/>
      <c r="M38" s="72"/>
      <c r="N38" s="72"/>
      <c r="O38" s="72"/>
      <c r="R38" s="1"/>
    </row>
    <row r="39" customFormat="false" ht="15" hidden="false" customHeight="false" outlineLevel="0" collapsed="false">
      <c r="E39" s="66" t="s">
        <v>20</v>
      </c>
      <c r="F39" s="67" t="s">
        <v>52</v>
      </c>
      <c r="G39" s="71" t="n">
        <f aca="false">11*543</f>
        <v>5973</v>
      </c>
      <c r="H39" s="73" t="n">
        <v>5982</v>
      </c>
      <c r="I39" s="69" t="n">
        <f aca="false">1-G39/H39</f>
        <v>0.00150451354062187</v>
      </c>
      <c r="L39" s="72"/>
      <c r="M39" s="72"/>
      <c r="N39" s="72"/>
      <c r="O39" s="72"/>
      <c r="R39" s="1"/>
    </row>
    <row r="40" customFormat="false" ht="15" hidden="false" customHeight="false" outlineLevel="0" collapsed="false">
      <c r="E40" s="66" t="s">
        <v>21</v>
      </c>
      <c r="F40" s="67" t="s">
        <v>53</v>
      </c>
      <c r="G40" s="71" t="n">
        <f aca="false">11*446</f>
        <v>4906</v>
      </c>
      <c r="H40" s="73" t="n">
        <v>4909</v>
      </c>
      <c r="I40" s="69" t="n">
        <f aca="false">1-G40/H40</f>
        <v>0.000611122428193167</v>
      </c>
      <c r="L40" s="72"/>
      <c r="M40" s="72"/>
      <c r="N40" s="72"/>
      <c r="O40" s="72"/>
      <c r="R40" s="1"/>
    </row>
    <row r="41" customFormat="false" ht="24.05" hidden="false" customHeight="false" outlineLevel="0" collapsed="false">
      <c r="E41" s="66" t="s">
        <v>24</v>
      </c>
      <c r="F41" s="67" t="s">
        <v>54</v>
      </c>
      <c r="G41" s="71" t="n">
        <f aca="false">11*315</f>
        <v>3465</v>
      </c>
      <c r="H41" s="73" t="n">
        <v>3467</v>
      </c>
      <c r="I41" s="69" t="n">
        <f aca="false">1-G41/H41</f>
        <v>0.000576867608883758</v>
      </c>
      <c r="L41" s="72"/>
      <c r="M41" s="72"/>
      <c r="N41" s="72"/>
      <c r="O41" s="72"/>
      <c r="R41" s="1"/>
    </row>
    <row r="42" customFormat="false" ht="24.05" hidden="false" customHeight="false" outlineLevel="0" collapsed="false">
      <c r="E42" s="66" t="s">
        <v>89</v>
      </c>
      <c r="F42" s="67" t="s">
        <v>55</v>
      </c>
      <c r="G42" s="71" t="n">
        <f aca="false">11*275</f>
        <v>3025</v>
      </c>
      <c r="H42" s="73" t="n">
        <v>3027</v>
      </c>
      <c r="I42" s="69" t="n">
        <f aca="false">1-G42/H42</f>
        <v>0.000660720185001629</v>
      </c>
      <c r="L42" s="72"/>
      <c r="M42" s="72"/>
      <c r="N42" s="72"/>
      <c r="O42" s="72"/>
      <c r="R42" s="1"/>
    </row>
    <row r="43" customFormat="false" ht="15" hidden="false" customHeight="false" outlineLevel="0" collapsed="false">
      <c r="E43" s="66" t="s">
        <v>22</v>
      </c>
      <c r="F43" s="67" t="s">
        <v>56</v>
      </c>
      <c r="G43" s="71" t="n">
        <f aca="false">11*275</f>
        <v>3025</v>
      </c>
      <c r="H43" s="73" t="n">
        <v>3025</v>
      </c>
      <c r="I43" s="69" t="n">
        <f aca="false">1-G43/H43</f>
        <v>0</v>
      </c>
      <c r="L43" s="72"/>
      <c r="M43" s="72"/>
      <c r="N43" s="72"/>
      <c r="O43" s="72"/>
      <c r="R43" s="1"/>
    </row>
    <row r="44" customFormat="false" ht="15" hidden="false" customHeight="false" outlineLevel="0" collapsed="false">
      <c r="E44" s="66" t="s">
        <v>29</v>
      </c>
      <c r="F44" s="67" t="s">
        <v>57</v>
      </c>
      <c r="G44" s="71" t="n">
        <f aca="false">11*180</f>
        <v>1980</v>
      </c>
      <c r="H44" s="73" t="n">
        <v>1982</v>
      </c>
      <c r="I44" s="69" t="n">
        <f aca="false">1-G44/H44</f>
        <v>0.00100908173562053</v>
      </c>
      <c r="L44" s="72"/>
      <c r="M44" s="72"/>
      <c r="N44" s="72"/>
      <c r="O44" s="72"/>
      <c r="R44" s="1"/>
    </row>
    <row r="45" customFormat="false" ht="15" hidden="false" customHeight="false" outlineLevel="0" collapsed="false">
      <c r="E45" s="66" t="s">
        <v>33</v>
      </c>
      <c r="F45" s="67" t="s">
        <v>58</v>
      </c>
      <c r="G45" s="71" t="n">
        <f aca="false">11*266</f>
        <v>2926</v>
      </c>
      <c r="H45" s="73" t="n">
        <v>2932</v>
      </c>
      <c r="I45" s="69" t="n">
        <f aca="false">1-G45/H45</f>
        <v>0.00204638472032748</v>
      </c>
      <c r="L45" s="72"/>
      <c r="M45" s="72"/>
      <c r="N45" s="72"/>
      <c r="O45" s="72"/>
      <c r="R45" s="1"/>
    </row>
    <row r="46" customFormat="false" ht="15" hidden="false" customHeight="true" outlineLevel="0" collapsed="false">
      <c r="E46" s="66" t="s">
        <v>31</v>
      </c>
      <c r="F46" s="67" t="s">
        <v>59</v>
      </c>
      <c r="G46" s="71" t="n">
        <f aca="false">11*75</f>
        <v>825</v>
      </c>
      <c r="H46" s="73" t="n">
        <v>827</v>
      </c>
      <c r="I46" s="69" t="n">
        <f aca="false">1-G46/H46</f>
        <v>0.00241837968561065</v>
      </c>
      <c r="R46" s="1"/>
    </row>
    <row r="47" customFormat="false" ht="15" hidden="false" customHeight="true" outlineLevel="0" collapsed="false">
      <c r="E47" s="66" t="s">
        <v>25</v>
      </c>
      <c r="F47" s="67" t="s">
        <v>60</v>
      </c>
      <c r="G47" s="71" t="n">
        <f aca="false">11*315</f>
        <v>3465</v>
      </c>
      <c r="H47" s="73" t="n">
        <v>3466</v>
      </c>
      <c r="I47" s="69" t="n">
        <f aca="false">1-G47/H47</f>
        <v>0.00028851702250432</v>
      </c>
      <c r="R47" s="1"/>
    </row>
    <row r="48" customFormat="false" ht="15" hidden="false" customHeight="true" outlineLevel="0" collapsed="false">
      <c r="E48" s="66" t="s">
        <v>34</v>
      </c>
      <c r="F48" s="67" t="s">
        <v>61</v>
      </c>
      <c r="G48" s="71" t="n">
        <f aca="false">11*97</f>
        <v>1067</v>
      </c>
      <c r="H48" s="73" t="n">
        <v>1068</v>
      </c>
      <c r="I48" s="69" t="n">
        <f aca="false">1-G48/H48</f>
        <v>0.000936329588014928</v>
      </c>
      <c r="R48" s="1"/>
    </row>
    <row r="49" customFormat="false" ht="15" hidden="false" customHeight="true" outlineLevel="0" collapsed="false">
      <c r="E49" s="66" t="s">
        <v>35</v>
      </c>
      <c r="F49" s="67" t="s">
        <v>62</v>
      </c>
      <c r="G49" s="71" t="n">
        <f aca="false">11*97</f>
        <v>1067</v>
      </c>
      <c r="H49" s="73" t="n">
        <v>1068</v>
      </c>
      <c r="I49" s="69" t="n">
        <f aca="false">1-G49/H49</f>
        <v>0.000936329588014928</v>
      </c>
      <c r="R49" s="1"/>
    </row>
    <row r="50" customFormat="false" ht="15" hidden="false" customHeight="true" outlineLevel="0" collapsed="false">
      <c r="E50" s="66" t="s">
        <v>36</v>
      </c>
      <c r="F50" s="67" t="s">
        <v>63</v>
      </c>
      <c r="G50" s="71" t="n">
        <f aca="false">11*97</f>
        <v>1067</v>
      </c>
      <c r="H50" s="73" t="n">
        <v>1070</v>
      </c>
      <c r="I50" s="69" t="n">
        <f aca="false">1-G50/H50</f>
        <v>0.00280373831775704</v>
      </c>
      <c r="R50" s="1"/>
    </row>
    <row r="51" customFormat="false" ht="15" hidden="false" customHeight="true" outlineLevel="0" collapsed="false">
      <c r="R51" s="1"/>
    </row>
    <row r="53" customFormat="false" ht="15" hidden="false" customHeight="true" outlineLevel="0" collapsed="false">
      <c r="E53" s="64" t="s">
        <v>92</v>
      </c>
      <c r="F53" s="64"/>
      <c r="G53" s="64"/>
      <c r="H53" s="64"/>
      <c r="I53" s="64"/>
    </row>
    <row r="55" customFormat="false" ht="15" hidden="false" customHeight="true" outlineLevel="0" collapsed="false">
      <c r="E55" s="70" t="s">
        <v>84</v>
      </c>
      <c r="F55" s="70" t="s">
        <v>85</v>
      </c>
      <c r="G55" s="70" t="s">
        <v>86</v>
      </c>
      <c r="H55" s="70" t="s">
        <v>87</v>
      </c>
      <c r="I55" s="70" t="s">
        <v>88</v>
      </c>
    </row>
    <row r="56" customFormat="false" ht="15" hidden="false" customHeight="true" outlineLevel="0" collapsed="false">
      <c r="E56" s="66" t="s">
        <v>20</v>
      </c>
      <c r="F56" s="67" t="s">
        <v>52</v>
      </c>
      <c r="G56" s="71" t="n">
        <f aca="false">22*543</f>
        <v>11946</v>
      </c>
      <c r="H56" s="71" t="n">
        <f aca="false">12*238</f>
        <v>2856</v>
      </c>
      <c r="I56" s="69" t="n">
        <f aca="false">1-G56/H56</f>
        <v>-3.1827731092437</v>
      </c>
    </row>
    <row r="57" customFormat="false" ht="15" hidden="false" customHeight="true" outlineLevel="0" collapsed="false">
      <c r="E57" s="66" t="s">
        <v>21</v>
      </c>
      <c r="F57" s="67" t="s">
        <v>53</v>
      </c>
      <c r="G57" s="71" t="n">
        <f aca="false">22*446</f>
        <v>9812</v>
      </c>
      <c r="H57" s="71" t="n">
        <f aca="false">12*161</f>
        <v>1932</v>
      </c>
      <c r="I57" s="69" t="n">
        <f aca="false">1-G57/H57</f>
        <v>-4.07867494824017</v>
      </c>
    </row>
    <row r="58" customFormat="false" ht="15" hidden="false" customHeight="true" outlineLevel="0" collapsed="false">
      <c r="E58" s="66" t="s">
        <v>24</v>
      </c>
      <c r="F58" s="67" t="s">
        <v>54</v>
      </c>
      <c r="G58" s="71" t="n">
        <f aca="false">22*315</f>
        <v>6930</v>
      </c>
      <c r="H58" s="71" t="n">
        <f aca="false">12*95</f>
        <v>1140</v>
      </c>
      <c r="I58" s="69" t="n">
        <f aca="false">1-G58/H58</f>
        <v>-5.07894736842105</v>
      </c>
    </row>
    <row r="59" customFormat="false" ht="15" hidden="false" customHeight="true" outlineLevel="0" collapsed="false">
      <c r="E59" s="66" t="s">
        <v>89</v>
      </c>
      <c r="F59" s="67" t="s">
        <v>55</v>
      </c>
      <c r="G59" s="71" t="n">
        <f aca="false">22*275</f>
        <v>6050</v>
      </c>
      <c r="H59" s="71" t="n">
        <f aca="false">12*74</f>
        <v>888</v>
      </c>
      <c r="I59" s="69" t="n">
        <f aca="false">1-G59/H59</f>
        <v>-5.81306306306306</v>
      </c>
    </row>
    <row r="60" customFormat="false" ht="15" hidden="false" customHeight="true" outlineLevel="0" collapsed="false">
      <c r="E60" s="66" t="s">
        <v>22</v>
      </c>
      <c r="F60" s="67" t="s">
        <v>56</v>
      </c>
      <c r="G60" s="71" t="n">
        <f aca="false">22*275</f>
        <v>6050</v>
      </c>
      <c r="H60" s="71" t="n">
        <f aca="false">12*75</f>
        <v>900</v>
      </c>
      <c r="I60" s="69" t="n">
        <f aca="false">1-G60/H60</f>
        <v>-5.72222222222222</v>
      </c>
    </row>
    <row r="61" customFormat="false" ht="15" hidden="false" customHeight="true" outlineLevel="0" collapsed="false">
      <c r="E61" s="66" t="s">
        <v>29</v>
      </c>
      <c r="F61" s="67" t="s">
        <v>57</v>
      </c>
      <c r="G61" s="71" t="n">
        <f aca="false">22*180</f>
        <v>3960</v>
      </c>
      <c r="H61" s="71" t="n">
        <f aca="false">12*40</f>
        <v>480</v>
      </c>
      <c r="I61" s="69" t="n">
        <f aca="false">1-G61/H61</f>
        <v>-7.25</v>
      </c>
    </row>
    <row r="62" customFormat="false" ht="15" hidden="false" customHeight="true" outlineLevel="0" collapsed="false">
      <c r="E62" s="66" t="s">
        <v>33</v>
      </c>
      <c r="F62" s="67" t="s">
        <v>58</v>
      </c>
      <c r="G62" s="71" t="n">
        <f aca="false">22*266</f>
        <v>5852</v>
      </c>
      <c r="H62" s="71" t="n">
        <f aca="false">12*98</f>
        <v>1176</v>
      </c>
      <c r="I62" s="69" t="n">
        <f aca="false">1-G62/H62</f>
        <v>-3.97619047619048</v>
      </c>
    </row>
    <row r="63" customFormat="false" ht="15" hidden="false" customHeight="true" outlineLevel="0" collapsed="false">
      <c r="E63" s="66" t="s">
        <v>31</v>
      </c>
      <c r="F63" s="67" t="s">
        <v>59</v>
      </c>
      <c r="G63" s="71" t="n">
        <f aca="false">22*75</f>
        <v>1650</v>
      </c>
      <c r="H63" s="71" t="n">
        <f aca="false">12*24</f>
        <v>288</v>
      </c>
      <c r="I63" s="69" t="n">
        <f aca="false">1-G63/H63</f>
        <v>-4.72916666666667</v>
      </c>
    </row>
    <row r="64" customFormat="false" ht="15" hidden="false" customHeight="true" outlineLevel="0" collapsed="false">
      <c r="E64" s="66" t="s">
        <v>25</v>
      </c>
      <c r="F64" s="67" t="s">
        <v>60</v>
      </c>
      <c r="G64" s="71" t="n">
        <f aca="false">22*315</f>
        <v>6930</v>
      </c>
      <c r="H64" s="71" t="n">
        <f aca="false">12*80</f>
        <v>960</v>
      </c>
      <c r="I64" s="69" t="n">
        <f aca="false">1-G64/H64</f>
        <v>-6.21875</v>
      </c>
    </row>
    <row r="65" customFormat="false" ht="15" hidden="false" customHeight="true" outlineLevel="0" collapsed="false">
      <c r="E65" s="66" t="s">
        <v>34</v>
      </c>
      <c r="F65" s="67" t="s">
        <v>61</v>
      </c>
      <c r="G65" s="71" t="n">
        <f aca="false">22*97</f>
        <v>2134</v>
      </c>
      <c r="H65" s="71" t="n">
        <f aca="false">12*61</f>
        <v>732</v>
      </c>
      <c r="I65" s="69" t="n">
        <f aca="false">1-G65/H65</f>
        <v>-1.91530054644809</v>
      </c>
    </row>
    <row r="66" customFormat="false" ht="15" hidden="false" customHeight="true" outlineLevel="0" collapsed="false">
      <c r="E66" s="66" t="s">
        <v>35</v>
      </c>
      <c r="F66" s="67" t="s">
        <v>62</v>
      </c>
      <c r="G66" s="71" t="n">
        <f aca="false">22*97</f>
        <v>2134</v>
      </c>
      <c r="H66" s="71" t="n">
        <f aca="false">12*59</f>
        <v>708</v>
      </c>
      <c r="I66" s="69" t="n">
        <f aca="false">1-G66/H66</f>
        <v>-2.01412429378531</v>
      </c>
    </row>
    <row r="67" customFormat="false" ht="15" hidden="false" customHeight="true" outlineLevel="0" collapsed="false">
      <c r="E67" s="66" t="s">
        <v>36</v>
      </c>
      <c r="F67" s="67" t="s">
        <v>63</v>
      </c>
      <c r="G67" s="71" t="n">
        <f aca="false">22*97</f>
        <v>2134</v>
      </c>
      <c r="H67" s="71" t="n">
        <f aca="false">12*49</f>
        <v>588</v>
      </c>
      <c r="I67" s="69" t="n">
        <f aca="false">1-G67/H67</f>
        <v>-2.62925170068027</v>
      </c>
    </row>
    <row r="70" customFormat="false" ht="15" hidden="false" customHeight="true" outlineLevel="0" collapsed="false">
      <c r="E70" s="64" t="s">
        <v>93</v>
      </c>
      <c r="F70" s="64"/>
      <c r="G70" s="64"/>
      <c r="H70" s="64"/>
      <c r="I70" s="64"/>
    </row>
    <row r="72" customFormat="false" ht="15" hidden="false" customHeight="true" outlineLevel="0" collapsed="false">
      <c r="E72" s="70" t="s">
        <v>84</v>
      </c>
      <c r="F72" s="70" t="s">
        <v>85</v>
      </c>
      <c r="G72" s="70" t="s">
        <v>86</v>
      </c>
      <c r="H72" s="70" t="s">
        <v>87</v>
      </c>
      <c r="I72" s="70" t="s">
        <v>88</v>
      </c>
    </row>
    <row r="73" customFormat="false" ht="15" hidden="false" customHeight="true" outlineLevel="0" collapsed="false">
      <c r="E73" s="66" t="s">
        <v>20</v>
      </c>
      <c r="F73" s="67" t="s">
        <v>52</v>
      </c>
      <c r="G73" s="71" t="n">
        <f aca="false">11*543</f>
        <v>5973</v>
      </c>
      <c r="H73" s="71" t="n">
        <v>5974</v>
      </c>
      <c r="I73" s="69" t="n">
        <f aca="false">1-G73/H73</f>
        <v>0.000167392032139224</v>
      </c>
    </row>
    <row r="74" customFormat="false" ht="15" hidden="false" customHeight="true" outlineLevel="0" collapsed="false">
      <c r="E74" s="66" t="s">
        <v>21</v>
      </c>
      <c r="F74" s="67" t="s">
        <v>53</v>
      </c>
      <c r="G74" s="71" t="n">
        <f aca="false">11*446</f>
        <v>4906</v>
      </c>
      <c r="H74" s="73" t="n">
        <v>4907</v>
      </c>
      <c r="I74" s="69" t="n">
        <f aca="false">1-G74/H74</f>
        <v>0.0002037905033625</v>
      </c>
    </row>
    <row r="75" customFormat="false" ht="15" hidden="false" customHeight="true" outlineLevel="0" collapsed="false">
      <c r="E75" s="66" t="s">
        <v>24</v>
      </c>
      <c r="F75" s="67" t="s">
        <v>54</v>
      </c>
      <c r="G75" s="71" t="n">
        <f aca="false">11*315</f>
        <v>3465</v>
      </c>
      <c r="H75" s="73" t="n">
        <v>3465</v>
      </c>
      <c r="I75" s="69" t="n">
        <f aca="false">1-G75/H75</f>
        <v>0</v>
      </c>
    </row>
    <row r="76" customFormat="false" ht="15" hidden="false" customHeight="true" outlineLevel="0" collapsed="false">
      <c r="E76" s="66" t="s">
        <v>89</v>
      </c>
      <c r="F76" s="67" t="s">
        <v>55</v>
      </c>
      <c r="G76" s="71" t="n">
        <f aca="false">11*275</f>
        <v>3025</v>
      </c>
      <c r="H76" s="73" t="n">
        <v>3024</v>
      </c>
      <c r="I76" s="69" t="n">
        <f aca="false">1-G76/H76</f>
        <v>-0.000330687830687904</v>
      </c>
    </row>
    <row r="77" customFormat="false" ht="15" hidden="false" customHeight="true" outlineLevel="0" collapsed="false">
      <c r="E77" s="66" t="s">
        <v>22</v>
      </c>
      <c r="F77" s="67" t="s">
        <v>56</v>
      </c>
      <c r="G77" s="71" t="n">
        <f aca="false">11*275</f>
        <v>3025</v>
      </c>
      <c r="H77" s="73" t="n">
        <v>3023</v>
      </c>
      <c r="I77" s="69" t="n">
        <f aca="false">1-G77/H77</f>
        <v>-0.000661594442606717</v>
      </c>
    </row>
    <row r="78" customFormat="false" ht="15" hidden="false" customHeight="true" outlineLevel="0" collapsed="false">
      <c r="E78" s="66" t="s">
        <v>29</v>
      </c>
      <c r="F78" s="67" t="s">
        <v>57</v>
      </c>
      <c r="G78" s="71" t="n">
        <f aca="false">11*180</f>
        <v>1980</v>
      </c>
      <c r="H78" s="73" t="n">
        <v>1980</v>
      </c>
      <c r="I78" s="69" t="n">
        <f aca="false">1-G78/H78</f>
        <v>0</v>
      </c>
    </row>
    <row r="79" customFormat="false" ht="15" hidden="false" customHeight="true" outlineLevel="0" collapsed="false">
      <c r="E79" s="66" t="s">
        <v>33</v>
      </c>
      <c r="F79" s="67" t="s">
        <v>58</v>
      </c>
      <c r="G79" s="71" t="n">
        <f aca="false">11*266</f>
        <v>2926</v>
      </c>
      <c r="H79" s="73" t="n">
        <v>2929</v>
      </c>
      <c r="I79" s="69" t="n">
        <f aca="false">1-G79/H79</f>
        <v>0.00102424035506998</v>
      </c>
    </row>
    <row r="80" customFormat="false" ht="15" hidden="false" customHeight="true" outlineLevel="0" collapsed="false">
      <c r="E80" s="66" t="s">
        <v>31</v>
      </c>
      <c r="F80" s="67" t="s">
        <v>59</v>
      </c>
      <c r="G80" s="71" t="n">
        <f aca="false">11*75</f>
        <v>825</v>
      </c>
      <c r="H80" s="73" t="n">
        <v>826</v>
      </c>
      <c r="I80" s="69" t="n">
        <f aca="false">1-G80/H80</f>
        <v>0.00121065375302665</v>
      </c>
    </row>
    <row r="81" customFormat="false" ht="15" hidden="false" customHeight="true" outlineLevel="0" collapsed="false">
      <c r="E81" s="66" t="s">
        <v>25</v>
      </c>
      <c r="F81" s="67" t="s">
        <v>60</v>
      </c>
      <c r="G81" s="71" t="n">
        <f aca="false">11*315</f>
        <v>3465</v>
      </c>
      <c r="H81" s="73" t="n">
        <v>3464</v>
      </c>
      <c r="I81" s="69" t="n">
        <f aca="false">1-G81/H81</f>
        <v>-0.000288683602771345</v>
      </c>
    </row>
    <row r="82" customFormat="false" ht="15" hidden="false" customHeight="true" outlineLevel="0" collapsed="false">
      <c r="E82" s="66" t="s">
        <v>34</v>
      </c>
      <c r="F82" s="67" t="s">
        <v>61</v>
      </c>
      <c r="G82" s="71" t="n">
        <f aca="false">11*97</f>
        <v>1067</v>
      </c>
      <c r="H82" s="73" t="n">
        <v>1067</v>
      </c>
      <c r="I82" s="69" t="n">
        <f aca="false">1-G82/H82</f>
        <v>0</v>
      </c>
    </row>
    <row r="83" customFormat="false" ht="15" hidden="false" customHeight="true" outlineLevel="0" collapsed="false">
      <c r="E83" s="66" t="s">
        <v>35</v>
      </c>
      <c r="F83" s="67" t="s">
        <v>62</v>
      </c>
      <c r="G83" s="71" t="n">
        <f aca="false">11*97</f>
        <v>1067</v>
      </c>
      <c r="H83" s="73" t="n">
        <v>1069</v>
      </c>
      <c r="I83" s="69" t="n">
        <f aca="false">1-G83/H83</f>
        <v>0.00187090739008422</v>
      </c>
    </row>
    <row r="84" customFormat="false" ht="15" hidden="false" customHeight="true" outlineLevel="0" collapsed="false">
      <c r="E84" s="66" t="s">
        <v>36</v>
      </c>
      <c r="F84" s="67" t="s">
        <v>63</v>
      </c>
      <c r="G84" s="71" t="n">
        <f aca="false">11*97</f>
        <v>1067</v>
      </c>
      <c r="H84" s="73" t="n">
        <v>1068</v>
      </c>
      <c r="I84" s="69" t="n">
        <f aca="false">1-G84/H84</f>
        <v>0.000936329588014928</v>
      </c>
    </row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5">
    <mergeCell ref="E2:I2"/>
    <mergeCell ref="E19:I19"/>
    <mergeCell ref="E36:I36"/>
    <mergeCell ref="E53:I53"/>
    <mergeCell ref="E70:I7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4910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Назар Грехов</dc:creator>
  <dc:description/>
  <dc:language>en-US</dc:language>
  <cp:lastModifiedBy/>
  <dcterms:modified xsi:type="dcterms:W3CDTF">2025-04-23T14:15:42Z</dcterms:modified>
  <cp:revision>116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