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ycheung/Desktop/"/>
    </mc:Choice>
  </mc:AlternateContent>
  <xr:revisionPtr revIDLastSave="0" documentId="13_ncr:1_{E22E40ED-F7A9-2244-9FD1-15C58A810CD4}" xr6:coauthVersionLast="46" xr6:coauthVersionMax="46" xr10:uidLastSave="{00000000-0000-0000-0000-000000000000}"/>
  <bookViews>
    <workbookView xWindow="0" yWindow="0" windowWidth="28800" windowHeight="18000" activeTab="1" xr2:uid="{C58C614C-03E1-864F-A64A-964D6BBE101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I9" i="2"/>
  <c r="I8" i="2"/>
  <c r="I7" i="2"/>
  <c r="I6" i="2"/>
  <c r="I5" i="2"/>
  <c r="I4" i="2"/>
  <c r="E9" i="2"/>
  <c r="E8" i="2"/>
  <c r="E7" i="2"/>
  <c r="E6" i="2"/>
  <c r="E5" i="2"/>
  <c r="E4" i="2"/>
  <c r="I32" i="2"/>
  <c r="I31" i="2"/>
  <c r="I30" i="2"/>
  <c r="I29" i="2"/>
  <c r="I28" i="2"/>
  <c r="I27" i="2"/>
  <c r="E32" i="2"/>
  <c r="E31" i="2"/>
  <c r="E30" i="2"/>
  <c r="E29" i="2"/>
  <c r="E28" i="2"/>
  <c r="E27" i="2"/>
  <c r="H43" i="2"/>
  <c r="H42" i="2"/>
  <c r="H41" i="2"/>
  <c r="H40" i="2"/>
  <c r="H39" i="2"/>
  <c r="H38" i="2"/>
  <c r="D42" i="2"/>
  <c r="D41" i="2"/>
  <c r="D40" i="2"/>
  <c r="D39" i="2"/>
  <c r="D38" i="2"/>
  <c r="F38" i="2"/>
  <c r="D43" i="2"/>
  <c r="C42" i="2"/>
  <c r="C41" i="2"/>
  <c r="C40" i="2"/>
  <c r="C39" i="2"/>
  <c r="C38" i="2"/>
  <c r="B42" i="2"/>
  <c r="B41" i="2"/>
  <c r="B40" i="2"/>
  <c r="B39" i="2"/>
  <c r="B38" i="2"/>
  <c r="G42" i="2"/>
  <c r="G41" i="2"/>
  <c r="G40" i="2"/>
  <c r="G39" i="2"/>
  <c r="G38" i="2"/>
  <c r="F42" i="2"/>
  <c r="F41" i="2"/>
  <c r="F40" i="2"/>
  <c r="F39" i="2"/>
  <c r="C32" i="2"/>
  <c r="C31" i="2"/>
  <c r="C30" i="2"/>
  <c r="C29" i="2"/>
  <c r="C28" i="2"/>
  <c r="C27" i="2"/>
  <c r="B32" i="2"/>
  <c r="B31" i="2"/>
  <c r="B30" i="2"/>
  <c r="B29" i="2"/>
  <c r="B28" i="2"/>
  <c r="B27" i="2"/>
  <c r="G32" i="2"/>
  <c r="H32" i="2"/>
  <c r="G31" i="2"/>
  <c r="H31" i="2"/>
  <c r="G30" i="2"/>
  <c r="G29" i="2"/>
  <c r="G28" i="2"/>
  <c r="G27" i="2"/>
  <c r="F32" i="2"/>
  <c r="F31" i="2"/>
  <c r="F30" i="2"/>
  <c r="F29" i="2"/>
  <c r="F28" i="2"/>
  <c r="F27" i="2"/>
  <c r="C15" i="2"/>
  <c r="C16" i="2"/>
  <c r="C17" i="2"/>
  <c r="C18" i="2"/>
  <c r="B18" i="2"/>
  <c r="B19" i="2" s="1"/>
  <c r="B17" i="2"/>
  <c r="B16" i="2"/>
  <c r="B15" i="2"/>
  <c r="G19" i="2"/>
  <c r="G18" i="2"/>
  <c r="G17" i="2"/>
  <c r="F19" i="2"/>
  <c r="F18" i="2"/>
  <c r="F17" i="2"/>
  <c r="G9" i="2"/>
  <c r="G8" i="2"/>
  <c r="G7" i="2"/>
  <c r="G6" i="2"/>
  <c r="G5" i="2"/>
  <c r="G4" i="2"/>
  <c r="F9" i="2"/>
  <c r="F8" i="2"/>
  <c r="F7" i="2"/>
  <c r="F6" i="2"/>
  <c r="F5" i="2"/>
  <c r="F4" i="2"/>
  <c r="D4" i="2"/>
  <c r="E3" i="1"/>
  <c r="G4" i="1"/>
  <c r="G5" i="1"/>
  <c r="G6" i="1"/>
  <c r="G7" i="1"/>
  <c r="G8" i="1"/>
  <c r="F4" i="1"/>
  <c r="F5" i="1"/>
  <c r="F6" i="1"/>
  <c r="F7" i="1"/>
  <c r="F8" i="1"/>
  <c r="F3" i="1"/>
  <c r="E4" i="1"/>
  <c r="E5" i="1"/>
  <c r="E6" i="1"/>
  <c r="E7" i="1"/>
  <c r="E8" i="1"/>
  <c r="H30" i="2"/>
  <c r="H29" i="2"/>
  <c r="H28" i="2"/>
  <c r="H27" i="2"/>
  <c r="D32" i="2"/>
  <c r="D31" i="2"/>
  <c r="D30" i="2"/>
  <c r="D29" i="2"/>
  <c r="D28" i="2"/>
  <c r="D27" i="2"/>
  <c r="G16" i="2"/>
  <c r="G15" i="2"/>
  <c r="F16" i="2"/>
  <c r="F15" i="2"/>
  <c r="G13" i="1"/>
  <c r="H4" i="2"/>
  <c r="H9" i="2"/>
  <c r="H8" i="2"/>
  <c r="H7" i="2"/>
  <c r="H6" i="2"/>
  <c r="H5" i="2"/>
  <c r="D9" i="2"/>
  <c r="D8" i="2"/>
  <c r="D7" i="2"/>
  <c r="D6" i="2"/>
  <c r="D5" i="2"/>
  <c r="E22" i="1"/>
  <c r="G23" i="1"/>
  <c r="G22" i="1"/>
  <c r="F23" i="1"/>
  <c r="F22" i="1"/>
  <c r="E23" i="1"/>
  <c r="G16" i="1"/>
  <c r="G14" i="1"/>
  <c r="G15" i="1"/>
  <c r="F13" i="1"/>
  <c r="F14" i="1"/>
  <c r="F15" i="1"/>
  <c r="F16" i="1"/>
  <c r="E14" i="1"/>
  <c r="E15" i="1"/>
  <c r="E16" i="1"/>
  <c r="E13" i="1"/>
  <c r="C19" i="2" l="1"/>
</calcChain>
</file>

<file path=xl/sharedStrings.xml><?xml version="1.0" encoding="utf-8"?>
<sst xmlns="http://schemas.openxmlformats.org/spreadsheetml/2006/main" count="133" uniqueCount="28">
  <si>
    <t>state</t>
  </si>
  <si>
    <t>in sample</t>
  </si>
  <si>
    <t>in sample-train</t>
  </si>
  <si>
    <t>in sample-test</t>
  </si>
  <si>
    <t>overall dist</t>
  </si>
  <si>
    <t>train dist</t>
  </si>
  <si>
    <t>test dist</t>
  </si>
  <si>
    <t>MA</t>
  </si>
  <si>
    <t>NJ</t>
  </si>
  <si>
    <t>PA</t>
  </si>
  <si>
    <t>CT</t>
  </si>
  <si>
    <t>NH</t>
  </si>
  <si>
    <t>NY</t>
  </si>
  <si>
    <t>year</t>
  </si>
  <si>
    <t>no_hit</t>
  </si>
  <si>
    <t>STATE</t>
  </si>
  <si>
    <t>DISTRIBUTION</t>
  </si>
  <si>
    <t>IN-TRAIN</t>
  </si>
  <si>
    <t>IN-TEST</t>
  </si>
  <si>
    <t>OUT-11-15,20</t>
  </si>
  <si>
    <t>OUT-YEAR LEVEL</t>
  </si>
  <si>
    <t>NO HIT RATIO</t>
  </si>
  <si>
    <t>YEAR</t>
  </si>
  <si>
    <t>total</t>
  </si>
  <si>
    <t>Policy_ID_YEAR level</t>
  </si>
  <si>
    <t>Policy_ID level</t>
  </si>
  <si>
    <t>OUT-ID LEVEL</t>
  </si>
  <si>
    <t>2011-2015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</si>
</sst>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Border="1"/>
    <xf numFmtId="0" fontId="0" fillId="0" borderId="6" xfId="0" applyBorder="1"/>
    <xf numFmtId="164" fontId="0" fillId="0" borderId="0" xfId="1" applyNumberFormat="1" applyFont="1" applyBorder="1"/>
    <xf numFmtId="164" fontId="0" fillId="0" borderId="6" xfId="1" applyNumberFormat="1" applyFont="1" applyBorder="1"/>
    <xf numFmtId="164" fontId="0" fillId="0" borderId="8" xfId="1" applyNumberFormat="1" applyFont="1" applyBorder="1"/>
    <xf numFmtId="164" fontId="0" fillId="0" borderId="9" xfId="1" applyNumberFormat="1" applyFont="1" applyBorder="1"/>
    <xf numFmtId="0" fontId="0" fillId="0" borderId="1" xfId="0" applyBorder="1"/>
    <xf numFmtId="0" fontId="0" fillId="0" borderId="10" xfId="0" applyBorder="1"/>
    <xf numFmtId="164" fontId="0" fillId="0" borderId="5" xfId="1" applyNumberFormat="1" applyFont="1" applyBorder="1"/>
    <xf numFmtId="164" fontId="0" fillId="0" borderId="7" xfId="1" applyNumberFormat="1" applyFont="1" applyBorder="1"/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3" xfId="1" applyNumberFormat="1" applyFont="1" applyBorder="1"/>
    <xf numFmtId="0" fontId="0" fillId="0" borderId="3" xfId="0" applyBorder="1"/>
    <xf numFmtId="0" fontId="0" fillId="0" borderId="4" xfId="0" applyBorder="1"/>
    <xf numFmtId="164" fontId="0" fillId="0" borderId="8" xfId="0" applyNumberFormat="1" applyBorder="1"/>
    <xf numFmtId="0" fontId="0" fillId="0" borderId="8" xfId="0" applyBorder="1"/>
    <xf numFmtId="0" fontId="0" fillId="0" borderId="9" xfId="0" applyBorder="1"/>
    <xf numFmtId="164" fontId="0" fillId="0" borderId="2" xfId="1" applyNumberFormat="1" applyFont="1" applyBorder="1"/>
    <xf numFmtId="164" fontId="0" fillId="0" borderId="7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0" fillId="0" borderId="4" xfId="1" applyNumberFormat="1" applyFont="1" applyBorder="1"/>
    <xf numFmtId="164" fontId="0" fillId="0" borderId="11" xfId="1" applyNumberFormat="1" applyFont="1" applyBorder="1"/>
    <xf numFmtId="164" fontId="0" fillId="0" borderId="12" xfId="1" applyNumberFormat="1" applyFont="1" applyBorder="1"/>
    <xf numFmtId="164" fontId="0" fillId="0" borderId="13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FAF74-134D-C94C-B1EF-29E67C486F95}">
  <dimension ref="A2:O42"/>
  <sheetViews>
    <sheetView workbookViewId="0">
      <selection activeCell="G37" sqref="G37"/>
    </sheetView>
  </sheetViews>
  <sheetFormatPr baseColWidth="10" defaultRowHeight="16" x14ac:dyDescent="0.2"/>
  <cols>
    <col min="2" max="2" width="13.5" customWidth="1"/>
    <col min="3" max="3" width="14.33203125" customWidth="1"/>
    <col min="4" max="4" width="13.33203125" customWidth="1"/>
    <col min="5" max="5" width="11.6640625" bestFit="1" customWidth="1"/>
    <col min="14" max="14" width="13.83203125" customWidth="1"/>
    <col min="15" max="15" width="13" customWidth="1"/>
  </cols>
  <sheetData>
    <row r="2" spans="1:15" x14ac:dyDescent="0.2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J2" s="21" t="s">
        <v>0</v>
      </c>
      <c r="K2" s="7" t="s">
        <v>13</v>
      </c>
      <c r="L2" s="7" t="s">
        <v>14</v>
      </c>
      <c r="M2" s="7" t="s">
        <v>1</v>
      </c>
      <c r="N2" s="7" t="s">
        <v>2</v>
      </c>
      <c r="O2" s="7" t="s">
        <v>3</v>
      </c>
    </row>
    <row r="3" spans="1:15" x14ac:dyDescent="0.2">
      <c r="A3" s="21" t="s">
        <v>7</v>
      </c>
      <c r="B3" s="21">
        <v>55380</v>
      </c>
      <c r="C3" s="21">
        <v>44304</v>
      </c>
      <c r="D3" s="21">
        <v>11076</v>
      </c>
      <c r="E3" s="25">
        <f>B3/SUM(B$3:B$8)</f>
        <v>0.41982215551158719</v>
      </c>
      <c r="F3" s="25">
        <f>C3/SUM(C$3:C$8)</f>
        <v>0.4198237468018573</v>
      </c>
      <c r="G3" s="4">
        <f>D3/SUM(D$3:D$8)</f>
        <v>0.41981579047113671</v>
      </c>
      <c r="J3" s="21" t="s">
        <v>7</v>
      </c>
      <c r="K3" s="21">
        <v>2016</v>
      </c>
      <c r="L3" s="21">
        <v>0</v>
      </c>
      <c r="M3" s="21">
        <v>28485</v>
      </c>
      <c r="N3" s="21">
        <v>22788</v>
      </c>
      <c r="O3" s="15">
        <v>5697</v>
      </c>
    </row>
    <row r="4" spans="1:15" x14ac:dyDescent="0.2">
      <c r="A4" s="22" t="s">
        <v>8</v>
      </c>
      <c r="B4" s="22">
        <v>41017</v>
      </c>
      <c r="C4" s="22">
        <v>32813</v>
      </c>
      <c r="D4" s="22">
        <v>8204</v>
      </c>
      <c r="E4" s="26">
        <f t="shared" ref="E4:E8" si="0">B4/SUM(B$3:B$8)</f>
        <v>0.31093978607112266</v>
      </c>
      <c r="F4" s="26">
        <f t="shared" ref="F4:F8" si="1">C4/SUM(C$3:C$8)</f>
        <v>0.31093527906756374</v>
      </c>
      <c r="G4" s="4">
        <f t="shared" ref="G4:G8" si="2">D4/SUM(D$3:D$8)</f>
        <v>0.31095781374369857</v>
      </c>
      <c r="J4" s="22" t="s">
        <v>7</v>
      </c>
      <c r="K4" s="22">
        <v>2016</v>
      </c>
      <c r="L4" s="22">
        <v>1</v>
      </c>
      <c r="M4" s="22">
        <v>1016</v>
      </c>
      <c r="N4" s="22">
        <v>813</v>
      </c>
      <c r="O4" s="2">
        <v>203</v>
      </c>
    </row>
    <row r="5" spans="1:15" x14ac:dyDescent="0.2">
      <c r="A5" s="22" t="s">
        <v>9</v>
      </c>
      <c r="B5" s="22">
        <v>17456</v>
      </c>
      <c r="C5" s="22">
        <v>13965</v>
      </c>
      <c r="D5" s="22">
        <v>3491</v>
      </c>
      <c r="E5" s="26">
        <f t="shared" si="0"/>
        <v>0.13232964150614421</v>
      </c>
      <c r="F5" s="26">
        <f t="shared" si="1"/>
        <v>0.1323320382829527</v>
      </c>
      <c r="G5" s="4">
        <f t="shared" si="2"/>
        <v>0.13232005458060114</v>
      </c>
      <c r="J5" s="22" t="s">
        <v>7</v>
      </c>
      <c r="K5" s="22">
        <v>2017</v>
      </c>
      <c r="L5" s="22">
        <v>0</v>
      </c>
      <c r="M5" s="22">
        <v>6208</v>
      </c>
      <c r="N5" s="22">
        <v>4966</v>
      </c>
      <c r="O5" s="2">
        <v>1242</v>
      </c>
    </row>
    <row r="6" spans="1:15" x14ac:dyDescent="0.2">
      <c r="A6" s="22" t="s">
        <v>10</v>
      </c>
      <c r="B6" s="22">
        <v>10109</v>
      </c>
      <c r="C6" s="22">
        <v>8088</v>
      </c>
      <c r="D6" s="22">
        <v>2021</v>
      </c>
      <c r="E6" s="26">
        <f t="shared" si="0"/>
        <v>7.6633842001925509E-2</v>
      </c>
      <c r="F6" s="26">
        <f t="shared" si="1"/>
        <v>7.664171325689377E-2</v>
      </c>
      <c r="G6" s="4">
        <f t="shared" si="2"/>
        <v>7.6602357578743882E-2</v>
      </c>
      <c r="J6" s="22" t="s">
        <v>7</v>
      </c>
      <c r="K6" s="22">
        <v>2017</v>
      </c>
      <c r="L6" s="22">
        <v>1</v>
      </c>
      <c r="M6" s="22">
        <v>211</v>
      </c>
      <c r="N6" s="22">
        <v>169</v>
      </c>
      <c r="O6" s="2">
        <v>42</v>
      </c>
    </row>
    <row r="7" spans="1:15" x14ac:dyDescent="0.2">
      <c r="A7" s="22" t="s">
        <v>11</v>
      </c>
      <c r="B7" s="22">
        <v>6613</v>
      </c>
      <c r="C7" s="22">
        <v>5290</v>
      </c>
      <c r="D7" s="22">
        <v>1323</v>
      </c>
      <c r="E7" s="26">
        <f t="shared" si="0"/>
        <v>5.0131526081584075E-2</v>
      </c>
      <c r="F7" s="26">
        <f t="shared" si="1"/>
        <v>5.0127925708329385E-2</v>
      </c>
      <c r="G7" s="4">
        <f t="shared" si="2"/>
        <v>5.0145927301671528E-2</v>
      </c>
      <c r="J7" s="22" t="s">
        <v>7</v>
      </c>
      <c r="K7" s="22">
        <v>2018</v>
      </c>
      <c r="L7" s="22">
        <v>0</v>
      </c>
      <c r="M7" s="22">
        <v>8187</v>
      </c>
      <c r="N7" s="22">
        <v>6550</v>
      </c>
      <c r="O7" s="2">
        <v>1637</v>
      </c>
    </row>
    <row r="8" spans="1:15" x14ac:dyDescent="0.2">
      <c r="A8" s="23" t="s">
        <v>12</v>
      </c>
      <c r="B8" s="23">
        <v>1338</v>
      </c>
      <c r="C8" s="23">
        <v>1070</v>
      </c>
      <c r="D8" s="23">
        <v>268</v>
      </c>
      <c r="E8" s="27">
        <f t="shared" si="0"/>
        <v>1.0143048827636397E-2</v>
      </c>
      <c r="F8" s="27">
        <f t="shared" si="1"/>
        <v>1.0139296882403108E-2</v>
      </c>
      <c r="G8" s="6">
        <f t="shared" si="2"/>
        <v>1.0158056324148125E-2</v>
      </c>
      <c r="J8" s="22" t="s">
        <v>7</v>
      </c>
      <c r="K8" s="22">
        <v>2018</v>
      </c>
      <c r="L8" s="22">
        <v>1</v>
      </c>
      <c r="M8" s="22">
        <v>243</v>
      </c>
      <c r="N8" s="22">
        <v>194</v>
      </c>
      <c r="O8" s="2">
        <v>49</v>
      </c>
    </row>
    <row r="9" spans="1:15" x14ac:dyDescent="0.2">
      <c r="J9" s="22" t="s">
        <v>7</v>
      </c>
      <c r="K9" s="22">
        <v>2019</v>
      </c>
      <c r="L9" s="22">
        <v>0</v>
      </c>
      <c r="M9" s="22">
        <v>10309</v>
      </c>
      <c r="N9" s="22">
        <v>8247</v>
      </c>
      <c r="O9" s="2">
        <v>2062</v>
      </c>
    </row>
    <row r="10" spans="1:15" x14ac:dyDescent="0.2">
      <c r="J10" s="23" t="s">
        <v>7</v>
      </c>
      <c r="K10" s="23">
        <v>2019</v>
      </c>
      <c r="L10" s="23">
        <v>1</v>
      </c>
      <c r="M10" s="23">
        <v>721</v>
      </c>
      <c r="N10" s="23">
        <v>577</v>
      </c>
      <c r="O10" s="18">
        <v>144</v>
      </c>
    </row>
    <row r="11" spans="1:15" x14ac:dyDescent="0.2">
      <c r="J11" s="21" t="s">
        <v>8</v>
      </c>
      <c r="K11" s="21">
        <v>2016</v>
      </c>
      <c r="L11" s="21">
        <v>0</v>
      </c>
      <c r="M11" s="21">
        <v>3518</v>
      </c>
      <c r="N11" s="21">
        <v>2814</v>
      </c>
      <c r="O11" s="15">
        <v>704</v>
      </c>
    </row>
    <row r="12" spans="1:15" x14ac:dyDescent="0.2">
      <c r="A12" s="7" t="s">
        <v>13</v>
      </c>
      <c r="B12" s="7" t="s">
        <v>1</v>
      </c>
      <c r="C12" s="7" t="s">
        <v>2</v>
      </c>
      <c r="D12" s="7" t="s">
        <v>3</v>
      </c>
      <c r="E12" s="7" t="s">
        <v>4</v>
      </c>
      <c r="F12" s="7" t="s">
        <v>5</v>
      </c>
      <c r="G12" s="7" t="s">
        <v>6</v>
      </c>
      <c r="J12" s="22" t="s">
        <v>8</v>
      </c>
      <c r="K12" s="22">
        <v>2016</v>
      </c>
      <c r="L12" s="22">
        <v>1</v>
      </c>
      <c r="M12" s="22">
        <v>168</v>
      </c>
      <c r="N12" s="22">
        <v>134</v>
      </c>
      <c r="O12" s="2">
        <v>34</v>
      </c>
    </row>
    <row r="13" spans="1:15" x14ac:dyDescent="0.2">
      <c r="A13" s="21">
        <v>2016</v>
      </c>
      <c r="B13" s="21">
        <v>38605</v>
      </c>
      <c r="C13" s="21">
        <v>30884</v>
      </c>
      <c r="D13" s="21">
        <v>7721</v>
      </c>
      <c r="E13" s="25">
        <f>B13/SUM(B$13:B$16)</f>
        <v>0.29265500746704265</v>
      </c>
      <c r="F13" s="25">
        <f>C13/SUM(C$13:C$16)</f>
        <v>0.29265611674405384</v>
      </c>
      <c r="G13" s="24">
        <f>D13/SUM(D$13:D$16)</f>
        <v>0.29265057044308834</v>
      </c>
      <c r="J13" s="22" t="s">
        <v>8</v>
      </c>
      <c r="K13" s="22">
        <v>2017</v>
      </c>
      <c r="L13" s="22">
        <v>0</v>
      </c>
      <c r="M13" s="22">
        <v>3161</v>
      </c>
      <c r="N13" s="22">
        <v>2529</v>
      </c>
      <c r="O13" s="2">
        <v>632</v>
      </c>
    </row>
    <row r="14" spans="1:15" x14ac:dyDescent="0.2">
      <c r="A14" s="22">
        <v>2017</v>
      </c>
      <c r="B14" s="22">
        <v>13133</v>
      </c>
      <c r="C14" s="22">
        <v>10506</v>
      </c>
      <c r="D14" s="22">
        <v>2627</v>
      </c>
      <c r="E14" s="26">
        <f t="shared" ref="E14:E16" si="3">B14/SUM(B$13:B$16)</f>
        <v>9.9558042042861589E-2</v>
      </c>
      <c r="F14" s="26">
        <f t="shared" ref="F14:F16" si="4">C14/SUM(C$13:C$16)</f>
        <v>9.9554629015445845E-2</v>
      </c>
      <c r="G14" s="4">
        <f t="shared" ref="G14:G15" si="5">D14/SUM(D$13:D$16)</f>
        <v>9.9571693893795249E-2</v>
      </c>
      <c r="J14" s="22" t="s">
        <v>8</v>
      </c>
      <c r="K14" s="22">
        <v>2017</v>
      </c>
      <c r="L14" s="22">
        <v>1</v>
      </c>
      <c r="M14" s="22">
        <v>180</v>
      </c>
      <c r="N14" s="22">
        <v>144</v>
      </c>
      <c r="O14" s="2">
        <v>36</v>
      </c>
    </row>
    <row r="15" spans="1:15" x14ac:dyDescent="0.2">
      <c r="A15" s="22">
        <v>2018</v>
      </c>
      <c r="B15" s="22">
        <v>34959</v>
      </c>
      <c r="C15" s="22">
        <v>27968</v>
      </c>
      <c r="D15" s="22">
        <v>6991</v>
      </c>
      <c r="E15" s="26">
        <f t="shared" si="3"/>
        <v>0.26501557844943258</v>
      </c>
      <c r="F15" s="26">
        <f t="shared" si="4"/>
        <v>0.26502416374490667</v>
      </c>
      <c r="G15" s="4">
        <f t="shared" si="5"/>
        <v>0.26498123791835654</v>
      </c>
      <c r="J15" s="22" t="s">
        <v>8</v>
      </c>
      <c r="K15" s="22">
        <v>2018</v>
      </c>
      <c r="L15" s="22">
        <v>0</v>
      </c>
      <c r="M15" s="22">
        <v>17557</v>
      </c>
      <c r="N15" s="22">
        <v>14046</v>
      </c>
      <c r="O15" s="2">
        <v>3511</v>
      </c>
    </row>
    <row r="16" spans="1:15" x14ac:dyDescent="0.2">
      <c r="A16" s="23">
        <v>2019</v>
      </c>
      <c r="B16" s="23">
        <v>45216</v>
      </c>
      <c r="C16" s="23">
        <v>36172</v>
      </c>
      <c r="D16" s="23">
        <v>9044</v>
      </c>
      <c r="E16" s="27">
        <f t="shared" si="3"/>
        <v>0.34277137204066316</v>
      </c>
      <c r="F16" s="27">
        <f t="shared" si="4"/>
        <v>0.34276509049559367</v>
      </c>
      <c r="G16" s="6">
        <f>D16/SUM(D$13:D$16)</f>
        <v>0.3427964977447599</v>
      </c>
      <c r="J16" s="22" t="s">
        <v>8</v>
      </c>
      <c r="K16" s="22">
        <v>2018</v>
      </c>
      <c r="L16" s="22">
        <v>1</v>
      </c>
      <c r="M16" s="22">
        <v>643</v>
      </c>
      <c r="N16" s="22">
        <v>514</v>
      </c>
      <c r="O16" s="2">
        <v>129</v>
      </c>
    </row>
    <row r="17" spans="1:15" x14ac:dyDescent="0.2">
      <c r="J17" s="22" t="s">
        <v>8</v>
      </c>
      <c r="K17" s="22">
        <v>2019</v>
      </c>
      <c r="L17" s="22">
        <v>0</v>
      </c>
      <c r="M17" s="22">
        <v>14536</v>
      </c>
      <c r="N17" s="22">
        <v>11629</v>
      </c>
      <c r="O17" s="2">
        <v>2907</v>
      </c>
    </row>
    <row r="18" spans="1:15" x14ac:dyDescent="0.2">
      <c r="J18" s="23" t="s">
        <v>8</v>
      </c>
      <c r="K18" s="23">
        <v>2019</v>
      </c>
      <c r="L18" s="23">
        <v>1</v>
      </c>
      <c r="M18" s="23">
        <v>1254</v>
      </c>
      <c r="N18" s="23">
        <v>1003</v>
      </c>
      <c r="O18" s="18">
        <v>251</v>
      </c>
    </row>
    <row r="19" spans="1:15" x14ac:dyDescent="0.2">
      <c r="H19" s="1"/>
      <c r="J19" s="21" t="s">
        <v>9</v>
      </c>
      <c r="K19" s="21">
        <v>2017</v>
      </c>
      <c r="L19" s="21">
        <v>0</v>
      </c>
      <c r="M19" s="21">
        <v>150</v>
      </c>
      <c r="N19" s="21">
        <v>120</v>
      </c>
      <c r="O19" s="15">
        <v>30</v>
      </c>
    </row>
    <row r="20" spans="1:15" x14ac:dyDescent="0.2">
      <c r="J20" s="22" t="s">
        <v>9</v>
      </c>
      <c r="K20" s="22">
        <v>2017</v>
      </c>
      <c r="L20" s="22">
        <v>1</v>
      </c>
      <c r="M20" s="22">
        <v>5</v>
      </c>
      <c r="N20" s="22">
        <v>4</v>
      </c>
      <c r="O20" s="2">
        <v>1</v>
      </c>
    </row>
    <row r="21" spans="1:15" x14ac:dyDescent="0.2">
      <c r="A21" s="7" t="s">
        <v>14</v>
      </c>
      <c r="B21" s="7" t="s">
        <v>1</v>
      </c>
      <c r="C21" s="7" t="s">
        <v>2</v>
      </c>
      <c r="D21" s="7" t="s">
        <v>3</v>
      </c>
      <c r="E21" s="7" t="s">
        <v>4</v>
      </c>
      <c r="F21" s="7" t="s">
        <v>5</v>
      </c>
      <c r="G21" s="7" t="s">
        <v>6</v>
      </c>
      <c r="J21" s="22" t="s">
        <v>9</v>
      </c>
      <c r="K21" s="22">
        <v>2018</v>
      </c>
      <c r="L21" s="22">
        <v>0</v>
      </c>
      <c r="M21" s="22">
        <v>4685</v>
      </c>
      <c r="N21" s="22">
        <v>3748</v>
      </c>
      <c r="O21" s="2">
        <v>937</v>
      </c>
    </row>
    <row r="22" spans="1:15" x14ac:dyDescent="0.2">
      <c r="A22" s="21">
        <v>0</v>
      </c>
      <c r="B22" s="21">
        <v>123837</v>
      </c>
      <c r="C22" s="21">
        <v>99070</v>
      </c>
      <c r="D22" s="21">
        <v>24767</v>
      </c>
      <c r="E22" s="25">
        <f t="shared" ref="E22:G23" si="6">B22/SUM(B$22:B$23)</f>
        <v>0.93877783084305566</v>
      </c>
      <c r="F22" s="25">
        <f t="shared" si="6"/>
        <v>0.93878517956979057</v>
      </c>
      <c r="G22" s="24">
        <f t="shared" si="6"/>
        <v>0.93874843649319639</v>
      </c>
      <c r="J22" s="22" t="s">
        <v>9</v>
      </c>
      <c r="K22" s="22">
        <v>2018</v>
      </c>
      <c r="L22" s="22">
        <v>1</v>
      </c>
      <c r="M22" s="22">
        <v>546</v>
      </c>
      <c r="N22" s="22">
        <v>437</v>
      </c>
      <c r="O22" s="2">
        <v>109</v>
      </c>
    </row>
    <row r="23" spans="1:15" x14ac:dyDescent="0.2">
      <c r="A23" s="23">
        <v>1</v>
      </c>
      <c r="B23" s="23">
        <v>8076</v>
      </c>
      <c r="C23" s="23">
        <v>6460</v>
      </c>
      <c r="D23" s="23">
        <v>1616</v>
      </c>
      <c r="E23" s="27">
        <f t="shared" si="6"/>
        <v>6.1222169156944346E-2</v>
      </c>
      <c r="F23" s="27">
        <f t="shared" si="6"/>
        <v>6.121482043020942E-2</v>
      </c>
      <c r="G23" s="6">
        <f t="shared" si="6"/>
        <v>6.1251563506803622E-2</v>
      </c>
      <c r="J23" s="22" t="s">
        <v>9</v>
      </c>
      <c r="K23" s="22">
        <v>2019</v>
      </c>
      <c r="L23" s="22">
        <v>0</v>
      </c>
      <c r="M23" s="22">
        <v>10481</v>
      </c>
      <c r="N23" s="22">
        <v>8385</v>
      </c>
      <c r="O23" s="2">
        <v>2096</v>
      </c>
    </row>
    <row r="24" spans="1:15" x14ac:dyDescent="0.2">
      <c r="J24" s="23" t="s">
        <v>9</v>
      </c>
      <c r="K24" s="23">
        <v>2019</v>
      </c>
      <c r="L24" s="23">
        <v>1</v>
      </c>
      <c r="M24" s="23">
        <v>1589</v>
      </c>
      <c r="N24" s="23">
        <v>1271</v>
      </c>
      <c r="O24" s="18">
        <v>318</v>
      </c>
    </row>
    <row r="25" spans="1:15" x14ac:dyDescent="0.2">
      <c r="J25" s="21" t="s">
        <v>10</v>
      </c>
      <c r="K25" s="21">
        <v>2016</v>
      </c>
      <c r="L25" s="21">
        <v>0</v>
      </c>
      <c r="M25" s="21">
        <v>3250</v>
      </c>
      <c r="N25" s="21">
        <v>2600</v>
      </c>
      <c r="O25" s="15">
        <v>650</v>
      </c>
    </row>
    <row r="26" spans="1:15" x14ac:dyDescent="0.2">
      <c r="J26" s="22" t="s">
        <v>10</v>
      </c>
      <c r="K26" s="22">
        <v>2016</v>
      </c>
      <c r="L26" s="22">
        <v>1</v>
      </c>
      <c r="M26" s="22">
        <v>91</v>
      </c>
      <c r="N26" s="22">
        <v>73</v>
      </c>
      <c r="O26" s="2">
        <v>18</v>
      </c>
    </row>
    <row r="27" spans="1:15" x14ac:dyDescent="0.2">
      <c r="J27" s="22" t="s">
        <v>10</v>
      </c>
      <c r="K27" s="22">
        <v>2017</v>
      </c>
      <c r="L27" s="22">
        <v>0</v>
      </c>
      <c r="M27" s="22">
        <v>1989</v>
      </c>
      <c r="N27" s="22">
        <v>1591</v>
      </c>
      <c r="O27" s="2">
        <v>398</v>
      </c>
    </row>
    <row r="28" spans="1:15" x14ac:dyDescent="0.2">
      <c r="J28" s="22" t="s">
        <v>10</v>
      </c>
      <c r="K28" s="22">
        <v>2017</v>
      </c>
      <c r="L28" s="22">
        <v>1</v>
      </c>
      <c r="M28" s="22">
        <v>75</v>
      </c>
      <c r="N28" s="22">
        <v>60</v>
      </c>
      <c r="O28" s="2">
        <v>15</v>
      </c>
    </row>
    <row r="29" spans="1:15" x14ac:dyDescent="0.2">
      <c r="J29" s="22" t="s">
        <v>10</v>
      </c>
      <c r="K29" s="22">
        <v>2018</v>
      </c>
      <c r="L29" s="22">
        <v>0</v>
      </c>
      <c r="M29" s="22">
        <v>1654</v>
      </c>
      <c r="N29" s="22">
        <v>1323</v>
      </c>
      <c r="O29" s="2">
        <v>331</v>
      </c>
    </row>
    <row r="30" spans="1:15" x14ac:dyDescent="0.2">
      <c r="J30" s="22" t="s">
        <v>10</v>
      </c>
      <c r="K30" s="22">
        <v>2018</v>
      </c>
      <c r="L30" s="22">
        <v>1</v>
      </c>
      <c r="M30" s="22">
        <v>73</v>
      </c>
      <c r="N30" s="22">
        <v>59</v>
      </c>
      <c r="O30" s="2">
        <v>14</v>
      </c>
    </row>
    <row r="31" spans="1:15" x14ac:dyDescent="0.2">
      <c r="J31" s="22" t="s">
        <v>10</v>
      </c>
      <c r="K31" s="22">
        <v>2019</v>
      </c>
      <c r="L31" s="22">
        <v>0</v>
      </c>
      <c r="M31" s="22">
        <v>2626</v>
      </c>
      <c r="N31" s="22">
        <v>2101</v>
      </c>
      <c r="O31" s="2">
        <v>525</v>
      </c>
    </row>
    <row r="32" spans="1:15" x14ac:dyDescent="0.2">
      <c r="J32" s="23" t="s">
        <v>10</v>
      </c>
      <c r="K32" s="23">
        <v>2019</v>
      </c>
      <c r="L32" s="23">
        <v>1</v>
      </c>
      <c r="M32" s="23">
        <v>351</v>
      </c>
      <c r="N32" s="23">
        <v>281</v>
      </c>
      <c r="O32" s="18">
        <v>79</v>
      </c>
    </row>
    <row r="33" spans="10:15" x14ac:dyDescent="0.2">
      <c r="J33" s="21" t="s">
        <v>11</v>
      </c>
      <c r="K33" s="21">
        <v>2016</v>
      </c>
      <c r="L33" s="21">
        <v>0</v>
      </c>
      <c r="M33" s="21">
        <v>1850</v>
      </c>
      <c r="N33" s="21">
        <v>1480</v>
      </c>
      <c r="O33" s="15">
        <v>370</v>
      </c>
    </row>
    <row r="34" spans="10:15" x14ac:dyDescent="0.2">
      <c r="J34" s="22" t="s">
        <v>11</v>
      </c>
      <c r="K34" s="22">
        <v>2016</v>
      </c>
      <c r="L34" s="22">
        <v>1</v>
      </c>
      <c r="M34" s="22">
        <v>227</v>
      </c>
      <c r="N34" s="22">
        <v>182</v>
      </c>
      <c r="O34" s="2">
        <v>45</v>
      </c>
    </row>
    <row r="35" spans="10:15" x14ac:dyDescent="0.2">
      <c r="J35" s="22" t="s">
        <v>11</v>
      </c>
      <c r="K35" s="22">
        <v>2017</v>
      </c>
      <c r="L35" s="22">
        <v>0</v>
      </c>
      <c r="M35" s="22">
        <v>1071</v>
      </c>
      <c r="N35" s="22">
        <v>857</v>
      </c>
      <c r="O35" s="2">
        <v>214</v>
      </c>
    </row>
    <row r="36" spans="10:15" x14ac:dyDescent="0.2">
      <c r="J36" s="22" t="s">
        <v>11</v>
      </c>
      <c r="K36" s="22">
        <v>2017</v>
      </c>
      <c r="L36" s="22">
        <v>1</v>
      </c>
      <c r="M36" s="22">
        <v>83</v>
      </c>
      <c r="N36" s="22">
        <v>66</v>
      </c>
      <c r="O36" s="2">
        <v>17</v>
      </c>
    </row>
    <row r="37" spans="10:15" x14ac:dyDescent="0.2">
      <c r="J37" s="22" t="s">
        <v>11</v>
      </c>
      <c r="K37" s="22">
        <v>2018</v>
      </c>
      <c r="L37" s="22">
        <v>0</v>
      </c>
      <c r="M37" s="22">
        <v>1242</v>
      </c>
      <c r="N37" s="22">
        <v>994</v>
      </c>
      <c r="O37" s="2">
        <v>248</v>
      </c>
    </row>
    <row r="38" spans="10:15" x14ac:dyDescent="0.2">
      <c r="J38" s="22" t="s">
        <v>11</v>
      </c>
      <c r="K38" s="22">
        <v>2018</v>
      </c>
      <c r="L38" s="22">
        <v>1</v>
      </c>
      <c r="M38" s="22">
        <v>129</v>
      </c>
      <c r="N38" s="22">
        <v>103</v>
      </c>
      <c r="O38" s="2">
        <v>26</v>
      </c>
    </row>
    <row r="39" spans="10:15" x14ac:dyDescent="0.2">
      <c r="J39" s="22" t="s">
        <v>11</v>
      </c>
      <c r="K39" s="22">
        <v>2019</v>
      </c>
      <c r="L39" s="22">
        <v>0</v>
      </c>
      <c r="M39" s="22">
        <v>1733</v>
      </c>
      <c r="N39" s="22">
        <v>1386</v>
      </c>
      <c r="O39" s="2">
        <v>347</v>
      </c>
    </row>
    <row r="40" spans="10:15" x14ac:dyDescent="0.2">
      <c r="J40" s="23" t="s">
        <v>11</v>
      </c>
      <c r="K40" s="23">
        <v>2019</v>
      </c>
      <c r="L40" s="23">
        <v>1</v>
      </c>
      <c r="M40" s="23">
        <v>278</v>
      </c>
      <c r="N40" s="23">
        <v>222</v>
      </c>
      <c r="O40" s="18">
        <v>56</v>
      </c>
    </row>
    <row r="41" spans="10:15" x14ac:dyDescent="0.2">
      <c r="J41" s="22" t="s">
        <v>12</v>
      </c>
      <c r="K41" s="22">
        <v>2019</v>
      </c>
      <c r="L41" s="22">
        <v>0</v>
      </c>
      <c r="M41" s="22">
        <v>1145</v>
      </c>
      <c r="N41" s="22">
        <v>916</v>
      </c>
      <c r="O41" s="2">
        <v>229</v>
      </c>
    </row>
    <row r="42" spans="10:15" x14ac:dyDescent="0.2">
      <c r="J42" s="23" t="s">
        <v>12</v>
      </c>
      <c r="K42" s="23">
        <v>2019</v>
      </c>
      <c r="L42" s="23">
        <v>1</v>
      </c>
      <c r="M42" s="23">
        <v>193</v>
      </c>
      <c r="N42" s="23">
        <v>154</v>
      </c>
      <c r="O42" s="18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E8C0B-0DD6-AE4F-B276-137A8EB3895F}">
  <dimension ref="A1:I43"/>
  <sheetViews>
    <sheetView tabSelected="1" workbookViewId="0">
      <selection activeCell="C47" sqref="C47"/>
    </sheetView>
  </sheetViews>
  <sheetFormatPr baseColWidth="10" defaultRowHeight="16" x14ac:dyDescent="0.2"/>
  <cols>
    <col min="2" max="2" width="14.83203125" customWidth="1"/>
    <col min="3" max="3" width="14.1640625" customWidth="1"/>
    <col min="4" max="4" width="15.33203125" customWidth="1"/>
    <col min="5" max="5" width="16.33203125" customWidth="1"/>
    <col min="6" max="6" width="15.6640625" customWidth="1"/>
    <col min="7" max="7" width="16.1640625" customWidth="1"/>
    <col min="8" max="8" width="15.83203125" customWidth="1"/>
    <col min="9" max="9" width="16.83203125" customWidth="1"/>
  </cols>
  <sheetData>
    <row r="1" spans="1:9" x14ac:dyDescent="0.2">
      <c r="A1" t="s">
        <v>25</v>
      </c>
    </row>
    <row r="2" spans="1:9" x14ac:dyDescent="0.2">
      <c r="A2" s="7"/>
      <c r="B2" s="12" t="s">
        <v>16</v>
      </c>
      <c r="C2" s="12"/>
      <c r="D2" s="12"/>
      <c r="E2" s="12"/>
      <c r="F2" s="12" t="s">
        <v>21</v>
      </c>
      <c r="G2" s="12"/>
      <c r="H2" s="12"/>
      <c r="I2" s="12"/>
    </row>
    <row r="3" spans="1:9" x14ac:dyDescent="0.2">
      <c r="A3" s="21" t="s">
        <v>15</v>
      </c>
      <c r="B3" s="7" t="s">
        <v>17</v>
      </c>
      <c r="C3" s="7" t="s">
        <v>18</v>
      </c>
      <c r="D3" s="7" t="s">
        <v>19</v>
      </c>
      <c r="E3" s="8" t="s">
        <v>20</v>
      </c>
      <c r="F3" s="7" t="s">
        <v>17</v>
      </c>
      <c r="G3" s="7" t="s">
        <v>18</v>
      </c>
      <c r="H3" s="7" t="s">
        <v>19</v>
      </c>
      <c r="I3" s="7" t="s">
        <v>20</v>
      </c>
    </row>
    <row r="4" spans="1:9" x14ac:dyDescent="0.2">
      <c r="A4" s="21" t="s">
        <v>7</v>
      </c>
      <c r="B4" s="3">
        <v>0.4198237468018573</v>
      </c>
      <c r="C4" s="3">
        <v>0.41981579047113671</v>
      </c>
      <c r="D4" s="3">
        <f>11911/44791</f>
        <v>0.26592395793797863</v>
      </c>
      <c r="E4" s="3">
        <f>13216/98248</f>
        <v>0.13451673316505169</v>
      </c>
      <c r="F4" s="9">
        <f>1753/(1753+42551)</f>
        <v>3.9567533405561572E-2</v>
      </c>
      <c r="G4" s="3">
        <f>438/(438+10638)</f>
        <v>3.954496208017335E-2</v>
      </c>
      <c r="H4" s="3">
        <f>1788/(1788+10123)</f>
        <v>0.15011334060952061</v>
      </c>
      <c r="I4" s="4">
        <f>1886/(1886+11330)</f>
        <v>0.14270581113801453</v>
      </c>
    </row>
    <row r="5" spans="1:9" x14ac:dyDescent="0.2">
      <c r="A5" s="22" t="s">
        <v>8</v>
      </c>
      <c r="B5" s="3">
        <v>0.31093527906756374</v>
      </c>
      <c r="C5" s="3">
        <v>0.31095781374369857</v>
      </c>
      <c r="D5" s="3">
        <f>6527/44791</f>
        <v>0.1457212386416914</v>
      </c>
      <c r="E5" s="3">
        <f>6705/98248</f>
        <v>6.8245664033873457E-2</v>
      </c>
      <c r="F5" s="9">
        <f>1795/(1795+31018)</f>
        <v>5.4703928321092249E-2</v>
      </c>
      <c r="G5" s="3">
        <f>450/(450+7754)</f>
        <v>5.4851292052657243E-2</v>
      </c>
      <c r="H5" s="3">
        <f>1494/(1494+5033)</f>
        <v>0.22889535774475256</v>
      </c>
      <c r="I5" s="4">
        <f>1519/(1519+5186)</f>
        <v>0.22654735272184937</v>
      </c>
    </row>
    <row r="6" spans="1:9" x14ac:dyDescent="0.2">
      <c r="A6" s="22" t="s">
        <v>9</v>
      </c>
      <c r="B6" s="3">
        <v>0.1323320382829527</v>
      </c>
      <c r="C6" s="3">
        <v>0.13232005458060114</v>
      </c>
      <c r="D6" s="3">
        <f>4120/44791</f>
        <v>9.1982764394632849E-2</v>
      </c>
      <c r="E6" s="3">
        <f>4120/98248</f>
        <v>4.1934695871671687E-2</v>
      </c>
      <c r="F6" s="9">
        <f>1712/(1712+12253)</f>
        <v>0.12259219477264591</v>
      </c>
      <c r="G6" s="3">
        <f>428/(428+3063)</f>
        <v>0.12260097393297049</v>
      </c>
      <c r="H6" s="3">
        <f>1455/(1455+2665)</f>
        <v>0.35315533980582525</v>
      </c>
      <c r="I6" s="4">
        <f>1455/(1455+2665)</f>
        <v>0.35315533980582525</v>
      </c>
    </row>
    <row r="7" spans="1:9" x14ac:dyDescent="0.2">
      <c r="A7" s="22" t="s">
        <v>10</v>
      </c>
      <c r="B7" s="3">
        <v>7.664171325689377E-2</v>
      </c>
      <c r="C7" s="3">
        <v>7.6602357578743882E-2</v>
      </c>
      <c r="D7" s="3">
        <f>9413/44791</f>
        <v>0.21015382554531045</v>
      </c>
      <c r="E7" s="3">
        <f>32872/98248</f>
        <v>0.33458187444019216</v>
      </c>
      <c r="F7" s="9">
        <f>473/(473+7615)</f>
        <v>5.8481701285855586E-2</v>
      </c>
      <c r="G7" s="3">
        <f>117/(117+1904)</f>
        <v>5.7892132607619988E-2</v>
      </c>
      <c r="H7" s="3">
        <f>1317/(1317+8096)</f>
        <v>0.13991288643365557</v>
      </c>
      <c r="I7" s="4">
        <f>2509/(2509+30363)</f>
        <v>7.6326356777804819E-2</v>
      </c>
    </row>
    <row r="8" spans="1:9" x14ac:dyDescent="0.2">
      <c r="A8" s="22" t="s">
        <v>11</v>
      </c>
      <c r="B8" s="3">
        <v>5.0127925708329385E-2</v>
      </c>
      <c r="C8" s="3">
        <v>5.0145927301671528E-2</v>
      </c>
      <c r="D8" s="3">
        <f>7060/44791</f>
        <v>0.15762095063740483</v>
      </c>
      <c r="E8" s="3">
        <f>35575/98248</f>
        <v>0.3620938848627962</v>
      </c>
      <c r="F8" s="9">
        <f>573/(573+4717)</f>
        <v>0.10831758034026465</v>
      </c>
      <c r="G8" s="3">
        <f>144/(144+1179)</f>
        <v>0.10884353741496598</v>
      </c>
      <c r="H8" s="3">
        <f>627/(627+6433)</f>
        <v>8.8810198300283291E-2</v>
      </c>
      <c r="I8" s="4">
        <f>2690/(2690+32885)</f>
        <v>7.5614898102600137E-2</v>
      </c>
    </row>
    <row r="9" spans="1:9" x14ac:dyDescent="0.2">
      <c r="A9" s="23" t="s">
        <v>12</v>
      </c>
      <c r="B9" s="5">
        <v>1.0139296882403108E-2</v>
      </c>
      <c r="C9" s="5">
        <v>1.0158056324148125E-2</v>
      </c>
      <c r="D9" s="5">
        <f>5760/44791</f>
        <v>0.12859726284298184</v>
      </c>
      <c r="E9" s="5">
        <f>5760/98248</f>
        <v>5.8627147626414786E-2</v>
      </c>
      <c r="F9" s="10">
        <f>154/(154+916)</f>
        <v>0.14392523364485982</v>
      </c>
      <c r="G9" s="5">
        <f>39/(39+229)</f>
        <v>0.1455223880597015</v>
      </c>
      <c r="H9" s="5">
        <f>1136/(1136+2665)</f>
        <v>0.29886871875822152</v>
      </c>
      <c r="I9" s="6">
        <f>1136/(1136+4624)</f>
        <v>0.19722222222222222</v>
      </c>
    </row>
    <row r="13" spans="1:9" x14ac:dyDescent="0.2">
      <c r="A13" s="7"/>
      <c r="B13" s="12" t="s">
        <v>16</v>
      </c>
      <c r="C13" s="12"/>
      <c r="D13" s="12"/>
      <c r="E13" s="11"/>
      <c r="F13" s="12" t="s">
        <v>21</v>
      </c>
      <c r="G13" s="12"/>
      <c r="H13" s="12"/>
      <c r="I13" s="12"/>
    </row>
    <row r="14" spans="1:9" x14ac:dyDescent="0.2">
      <c r="A14" s="7" t="s">
        <v>22</v>
      </c>
      <c r="B14" s="7" t="s">
        <v>17</v>
      </c>
      <c r="C14" s="7" t="s">
        <v>18</v>
      </c>
      <c r="D14" s="7" t="s">
        <v>19</v>
      </c>
      <c r="E14" s="8" t="s">
        <v>20</v>
      </c>
      <c r="F14" s="7" t="s">
        <v>17</v>
      </c>
      <c r="G14" s="7" t="s">
        <v>18</v>
      </c>
      <c r="H14" s="7" t="s">
        <v>19</v>
      </c>
      <c r="I14" s="7" t="s">
        <v>20</v>
      </c>
    </row>
    <row r="15" spans="1:9" x14ac:dyDescent="0.2">
      <c r="A15" s="21">
        <v>2016</v>
      </c>
      <c r="B15" s="13">
        <f>30884/105530</f>
        <v>0.29265611674405384</v>
      </c>
      <c r="C15" s="13">
        <f>7721/26383</f>
        <v>0.29265057044308834</v>
      </c>
      <c r="D15" s="14"/>
      <c r="E15" s="14"/>
      <c r="F15" s="19">
        <f>1202/(1202+29682)</f>
        <v>3.8919829037689417E-2</v>
      </c>
      <c r="G15" s="13">
        <f>300/(300+7421)</f>
        <v>3.8855070586711567E-2</v>
      </c>
      <c r="H15" s="14"/>
      <c r="I15" s="15"/>
    </row>
    <row r="16" spans="1:9" x14ac:dyDescent="0.2">
      <c r="A16" s="22">
        <v>2017</v>
      </c>
      <c r="B16" s="3">
        <f>10506/105530</f>
        <v>9.9554629015445845E-2</v>
      </c>
      <c r="C16" s="3">
        <f>2627/26383</f>
        <v>9.9571693893795249E-2</v>
      </c>
      <c r="D16" s="1"/>
      <c r="E16" s="1"/>
      <c r="F16" s="9">
        <f>443/(443+10063)</f>
        <v>4.2166381115553014E-2</v>
      </c>
      <c r="G16" s="3">
        <f>111/(111+2516)</f>
        <v>4.2253521126760563E-2</v>
      </c>
      <c r="H16" s="1"/>
      <c r="I16" s="2"/>
    </row>
    <row r="17" spans="1:9" x14ac:dyDescent="0.2">
      <c r="A17" s="22">
        <v>2018</v>
      </c>
      <c r="B17" s="3">
        <f>27968/105530</f>
        <v>0.26502416374490667</v>
      </c>
      <c r="C17" s="3">
        <f>6991/26383</f>
        <v>0.26498123791835654</v>
      </c>
      <c r="D17" s="1"/>
      <c r="E17" s="1"/>
      <c r="F17" s="9">
        <f>1307/(1307+26661)</f>
        <v>4.6731979405034325E-2</v>
      </c>
      <c r="G17" s="3">
        <f>327/(327+6664)</f>
        <v>4.6774424259762554E-2</v>
      </c>
      <c r="H17" s="1"/>
      <c r="I17" s="2"/>
    </row>
    <row r="18" spans="1:9" x14ac:dyDescent="0.2">
      <c r="A18" s="22">
        <v>2019</v>
      </c>
      <c r="B18" s="3">
        <f>36172/105530</f>
        <v>0.34276509049559367</v>
      </c>
      <c r="C18" s="3">
        <f>9044/26383</f>
        <v>0.3427964977447599</v>
      </c>
      <c r="D18" s="1"/>
      <c r="E18" s="1"/>
      <c r="F18" s="9">
        <f>3508/(3508+32664)</f>
        <v>9.698109034612408E-2</v>
      </c>
      <c r="G18" s="3">
        <f>878/(877+8166)</f>
        <v>9.7091673117328317E-2</v>
      </c>
      <c r="H18" s="1"/>
      <c r="I18" s="2"/>
    </row>
    <row r="19" spans="1:9" x14ac:dyDescent="0.2">
      <c r="A19" s="23" t="s">
        <v>23</v>
      </c>
      <c r="B19" s="16">
        <f>SUM(B15:B18)</f>
        <v>1</v>
      </c>
      <c r="C19" s="16">
        <f>SUM(C15:C18)</f>
        <v>1</v>
      </c>
      <c r="D19" s="17"/>
      <c r="E19" s="17"/>
      <c r="F19" s="20">
        <f>SUM(F15:F18)</f>
        <v>0.22479927990440085</v>
      </c>
      <c r="G19" s="16">
        <f>SUM(G15:G18)</f>
        <v>0.22497468909056301</v>
      </c>
      <c r="H19" s="17"/>
      <c r="I19" s="18"/>
    </row>
    <row r="24" spans="1:9" x14ac:dyDescent="0.2">
      <c r="A24" t="s">
        <v>24</v>
      </c>
    </row>
    <row r="25" spans="1:9" x14ac:dyDescent="0.2">
      <c r="A25" s="7"/>
      <c r="B25" s="12" t="s">
        <v>16</v>
      </c>
      <c r="C25" s="12"/>
      <c r="D25" s="12"/>
      <c r="E25" s="12"/>
      <c r="F25" s="12" t="s">
        <v>21</v>
      </c>
      <c r="G25" s="12"/>
      <c r="H25" s="12"/>
      <c r="I25" s="12"/>
    </row>
    <row r="26" spans="1:9" x14ac:dyDescent="0.2">
      <c r="A26" s="7" t="s">
        <v>15</v>
      </c>
      <c r="B26" s="7" t="s">
        <v>17</v>
      </c>
      <c r="C26" s="7" t="s">
        <v>18</v>
      </c>
      <c r="D26" s="7" t="s">
        <v>19</v>
      </c>
      <c r="E26" s="7" t="s">
        <v>26</v>
      </c>
      <c r="F26" s="7" t="s">
        <v>17</v>
      </c>
      <c r="G26" s="7" t="s">
        <v>18</v>
      </c>
      <c r="H26" s="7" t="s">
        <v>19</v>
      </c>
      <c r="I26" s="7" t="s">
        <v>26</v>
      </c>
    </row>
    <row r="27" spans="1:9" x14ac:dyDescent="0.2">
      <c r="A27" s="21" t="s">
        <v>7</v>
      </c>
      <c r="B27" s="13">
        <f>127009/241802</f>
        <v>0.52526033696991759</v>
      </c>
      <c r="C27" s="13">
        <f>31893/60669</f>
        <v>0.52568857241754441</v>
      </c>
      <c r="D27" s="13">
        <f>13216/98248</f>
        <v>0.13451673316505169</v>
      </c>
      <c r="E27" s="24">
        <f>11911/44791</f>
        <v>0.26592395793797863</v>
      </c>
      <c r="F27" s="13">
        <f>9409/(9409+117600)</f>
        <v>7.4081364312765241E-2</v>
      </c>
      <c r="G27" s="13">
        <f>2434/(2434+29459)</f>
        <v>7.6317687266798356E-2</v>
      </c>
      <c r="H27" s="13">
        <f>1886/(1886+11330)</f>
        <v>0.14270581113801453</v>
      </c>
      <c r="I27" s="24">
        <f>1788/(1788+10123)</f>
        <v>0.15011334060952061</v>
      </c>
    </row>
    <row r="28" spans="1:9" x14ac:dyDescent="0.2">
      <c r="A28" s="22" t="s">
        <v>8</v>
      </c>
      <c r="B28" s="3">
        <f>60442/241802</f>
        <v>0.24996484727173474</v>
      </c>
      <c r="C28" s="3">
        <f>15139/60669</f>
        <v>0.24953435856862649</v>
      </c>
      <c r="D28" s="3">
        <f>6705/98248</f>
        <v>6.8245664033873457E-2</v>
      </c>
      <c r="E28" s="4">
        <f>6527/44791</f>
        <v>0.1457212386416914</v>
      </c>
      <c r="F28" s="3">
        <f>4199/(4199+56243)</f>
        <v>6.9471559511597891E-2</v>
      </c>
      <c r="G28" s="3">
        <f>1044/(1044+14095)</f>
        <v>6.8960961754409147E-2</v>
      </c>
      <c r="H28" s="3">
        <f>1519/(1519+5186)</f>
        <v>0.22654735272184937</v>
      </c>
      <c r="I28" s="4">
        <f>1494/(1494+5033)</f>
        <v>0.22889535774475256</v>
      </c>
    </row>
    <row r="29" spans="1:9" x14ac:dyDescent="0.2">
      <c r="A29" s="22" t="s">
        <v>9</v>
      </c>
      <c r="B29" s="3">
        <f>22151/241802</f>
        <v>9.160800985930638E-2</v>
      </c>
      <c r="C29" s="3">
        <f>5512/60669</f>
        <v>9.0853648486047239E-2</v>
      </c>
      <c r="D29" s="3">
        <f>4120/98248</f>
        <v>4.1934695871671687E-2</v>
      </c>
      <c r="E29" s="4">
        <f>4120/44791</f>
        <v>9.1982764394632849E-2</v>
      </c>
      <c r="F29" s="3">
        <f>4120/(4120+18031)</f>
        <v>0.18599611755676945</v>
      </c>
      <c r="G29" s="3">
        <f>1024/(1024+4488)</f>
        <v>0.18577648766328012</v>
      </c>
      <c r="H29" s="3">
        <f>1455/(1455+2665)</f>
        <v>0.35315533980582525</v>
      </c>
      <c r="I29" s="4">
        <f>1455/(1455+2665)</f>
        <v>0.35315533980582525</v>
      </c>
    </row>
    <row r="30" spans="1:9" x14ac:dyDescent="0.2">
      <c r="A30" s="22" t="s">
        <v>10</v>
      </c>
      <c r="B30" s="3">
        <f>18519/241802</f>
        <v>7.6587455852308917E-2</v>
      </c>
      <c r="C30" s="3">
        <f>4669/60669</f>
        <v>7.6958578516210921E-2</v>
      </c>
      <c r="D30" s="3">
        <f>32872/98248</f>
        <v>0.33458187444019216</v>
      </c>
      <c r="E30" s="4">
        <f>9413/44791</f>
        <v>0.21015382554531045</v>
      </c>
      <c r="F30" s="3">
        <f>1641/(1641+16878)</f>
        <v>8.8611696095901513E-2</v>
      </c>
      <c r="G30" s="3">
        <f>392/(392+4277)</f>
        <v>8.395802098950525E-2</v>
      </c>
      <c r="H30" s="3">
        <f>2509/(2509+30363)</f>
        <v>7.6326356777804819E-2</v>
      </c>
      <c r="I30" s="4">
        <f>1317/(1317+8096)</f>
        <v>0.13991288643365557</v>
      </c>
    </row>
    <row r="31" spans="1:9" x14ac:dyDescent="0.2">
      <c r="A31" s="22" t="s">
        <v>11</v>
      </c>
      <c r="B31" s="3">
        <f>12444/241802</f>
        <v>5.1463594180362449E-2</v>
      </c>
      <c r="C31" s="3">
        <f>3146/60669</f>
        <v>5.1855148428357152E-2</v>
      </c>
      <c r="D31" s="3">
        <f>35575/98248</f>
        <v>0.3620938848627962</v>
      </c>
      <c r="E31" s="4">
        <f>7060/44791</f>
        <v>0.15762095063740483</v>
      </c>
      <c r="F31" s="3">
        <f>1888/(1888+10556)</f>
        <v>0.15171970427515269</v>
      </c>
      <c r="G31" s="3">
        <f>493/(493+2653)</f>
        <v>0.15670692943420217</v>
      </c>
      <c r="H31" s="3">
        <f>2690/(2690+32885)</f>
        <v>7.5614898102600137E-2</v>
      </c>
      <c r="I31" s="4">
        <f>627/(627+6433)</f>
        <v>8.8810198300283291E-2</v>
      </c>
    </row>
    <row r="32" spans="1:9" x14ac:dyDescent="0.2">
      <c r="A32" s="23" t="s">
        <v>12</v>
      </c>
      <c r="B32" s="5">
        <f>1237/241802</f>
        <v>5.1157558663700049E-3</v>
      </c>
      <c r="C32" s="5">
        <f>310/60669</f>
        <v>5.1096935832138325E-3</v>
      </c>
      <c r="D32" s="5">
        <f>5760/98248</f>
        <v>5.8627147626414786E-2</v>
      </c>
      <c r="E32" s="6">
        <f>5760/44791</f>
        <v>0.12859726284298184</v>
      </c>
      <c r="F32" s="5">
        <f>204/(204+1033)</f>
        <v>0.16491511721907842</v>
      </c>
      <c r="G32" s="5">
        <f>53/(53+257)</f>
        <v>0.17096774193548386</v>
      </c>
      <c r="H32" s="5">
        <f>1136/(1136+4624)</f>
        <v>0.19722222222222222</v>
      </c>
      <c r="I32" s="6">
        <f>1136/(1136+2665)</f>
        <v>0.29886871875822152</v>
      </c>
    </row>
    <row r="36" spans="1:9" x14ac:dyDescent="0.2">
      <c r="A36" s="7"/>
      <c r="B36" s="12" t="s">
        <v>16</v>
      </c>
      <c r="C36" s="12"/>
      <c r="D36" s="12"/>
      <c r="E36" s="12"/>
      <c r="F36" s="12" t="s">
        <v>21</v>
      </c>
      <c r="G36" s="12"/>
      <c r="H36" s="12"/>
      <c r="I36" s="12"/>
    </row>
    <row r="37" spans="1:9" x14ac:dyDescent="0.2">
      <c r="A37" s="7" t="s">
        <v>22</v>
      </c>
      <c r="B37" s="7" t="s">
        <v>17</v>
      </c>
      <c r="C37" s="7" t="s">
        <v>18</v>
      </c>
      <c r="D37" s="7" t="s">
        <v>19</v>
      </c>
      <c r="E37" s="7" t="s">
        <v>26</v>
      </c>
      <c r="F37" s="7" t="s">
        <v>17</v>
      </c>
      <c r="G37" s="7" t="s">
        <v>18</v>
      </c>
      <c r="H37" s="7" t="s">
        <v>19</v>
      </c>
      <c r="I37" s="7" t="s">
        <v>26</v>
      </c>
    </row>
    <row r="38" spans="1:9" x14ac:dyDescent="0.2">
      <c r="A38" s="21">
        <v>2016</v>
      </c>
      <c r="B38" s="13">
        <f>30884/241802</f>
        <v>0.12772433644055881</v>
      </c>
      <c r="C38" s="13">
        <f>7721/60669</f>
        <v>0.12726433598707743</v>
      </c>
      <c r="D38" s="13">
        <f>9935/98248</f>
        <v>0.10112165133132481</v>
      </c>
      <c r="E38" s="14"/>
      <c r="F38" s="13">
        <f>2928/(2928+27956)</f>
        <v>9.4806372231576216E-2</v>
      </c>
      <c r="G38" s="13">
        <f>726/(726+6995)</f>
        <v>9.4029270819841984E-2</v>
      </c>
      <c r="H38" s="13">
        <f>432/(432+9503)</f>
        <v>4.3482637141419228E-2</v>
      </c>
      <c r="I38" s="15"/>
    </row>
    <row r="39" spans="1:9" x14ac:dyDescent="0.2">
      <c r="A39" s="22">
        <v>2017</v>
      </c>
      <c r="B39" s="3">
        <f>37160/241802</f>
        <v>0.15367945674560177</v>
      </c>
      <c r="C39" s="3">
        <f>9346/60669</f>
        <v>0.1540490200926338</v>
      </c>
      <c r="D39" s="3">
        <f>8346/98248</f>
        <v>8.4948294112857259E-2</v>
      </c>
      <c r="E39" s="1"/>
      <c r="F39" s="3">
        <f>3563/(3563+33597)</f>
        <v>9.58826695371367E-2</v>
      </c>
      <c r="G39" s="3">
        <f>898/(898+8448)</f>
        <v>9.6083886154504597E-2</v>
      </c>
      <c r="H39" s="3">
        <f>349/(349+7997)</f>
        <v>4.1816439012700692E-2</v>
      </c>
      <c r="I39" s="2"/>
    </row>
    <row r="40" spans="1:9" x14ac:dyDescent="0.2">
      <c r="A40" s="22">
        <v>2018</v>
      </c>
      <c r="B40" s="3">
        <f>60580/241802</f>
        <v>0.25053556215415917</v>
      </c>
      <c r="C40" s="3">
        <f>15160/60669</f>
        <v>0.24988049910168289</v>
      </c>
      <c r="D40" s="3">
        <f>6958/98248</f>
        <v>7.0820780066769812E-2</v>
      </c>
      <c r="E40" s="1"/>
      <c r="F40" s="3">
        <f>5725/(5725+54855)</f>
        <v>9.4503136348629904E-2</v>
      </c>
      <c r="G40" s="3">
        <f>1482/(1482+13678)</f>
        <v>9.7757255936675461E-2</v>
      </c>
      <c r="H40" s="3">
        <f>188/(188+5584)</f>
        <v>3.2571032571032568E-2</v>
      </c>
      <c r="I40" s="2"/>
    </row>
    <row r="41" spans="1:9" x14ac:dyDescent="0.2">
      <c r="A41" s="22">
        <v>2019</v>
      </c>
      <c r="B41" s="3">
        <f>89865/241802</f>
        <v>0.37164705006575627</v>
      </c>
      <c r="C41" s="3">
        <f>22497/60669</f>
        <v>0.37081540819858577</v>
      </c>
      <c r="D41" s="3">
        <f>5772/98248</f>
        <v>5.8749287517303149E-2</v>
      </c>
      <c r="E41" s="1"/>
      <c r="F41" s="3">
        <f>7701/(7701+82164)</f>
        <v>8.5695209480888004E-2</v>
      </c>
      <c r="G41" s="3">
        <f>1974/(1974+20523)</f>
        <v>8.7745032671022807E-2</v>
      </c>
      <c r="H41" s="3">
        <f>188/(188+5584)</f>
        <v>3.2571032571032568E-2</v>
      </c>
      <c r="I41" s="2"/>
    </row>
    <row r="42" spans="1:9" x14ac:dyDescent="0.2">
      <c r="A42" s="22">
        <v>2020</v>
      </c>
      <c r="B42" s="3">
        <f>23313/241802</f>
        <v>9.6413594593923957E-2</v>
      </c>
      <c r="C42" s="3">
        <f>5945/60669</f>
        <v>9.7990736620020114E-2</v>
      </c>
      <c r="D42" s="3">
        <f>27028/98248</f>
        <v>0.27509974757755884</v>
      </c>
      <c r="E42" s="1"/>
      <c r="F42" s="3">
        <f>1544/(1544+21769)</f>
        <v>6.6229142538497834E-2</v>
      </c>
      <c r="G42" s="3">
        <f>360/(360+5585)</f>
        <v>6.0555088309503784E-2</v>
      </c>
      <c r="H42" s="3">
        <f>7002/(7002+20026)</f>
        <v>0.25906467367174779</v>
      </c>
      <c r="I42" s="2"/>
    </row>
    <row r="43" spans="1:9" x14ac:dyDescent="0.2">
      <c r="A43" s="23" t="s">
        <v>27</v>
      </c>
      <c r="B43" s="17"/>
      <c r="C43" s="17"/>
      <c r="D43" s="5">
        <f>(3395+4084+6421+9307+17002)/98248</f>
        <v>0.40926023939418615</v>
      </c>
      <c r="E43" s="17"/>
      <c r="F43" s="17"/>
      <c r="G43" s="17"/>
      <c r="H43" s="5">
        <f>(273+327+587+697+1086)/(3122+3757+5834+8610+15916)</f>
        <v>7.9755095464432449E-2</v>
      </c>
      <c r="I43" s="18"/>
    </row>
  </sheetData>
  <mergeCells count="8">
    <mergeCell ref="B36:E36"/>
    <mergeCell ref="F36:I36"/>
    <mergeCell ref="B2:E2"/>
    <mergeCell ref="F2:I2"/>
    <mergeCell ref="B13:E13"/>
    <mergeCell ref="F13:I13"/>
    <mergeCell ref="B25:E25"/>
    <mergeCell ref="F25:I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2021-03-28T23:58:49Z</dcterms:created>
  <dcterms:modified xsi:type="dcterms:W3CDTF">2021-04-02T15:43:36Z</dcterms:modified>
</cp:coreProperties>
</file>