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 date1904="1"/>
  <mc:AlternateContent xmlns:mc="http://schemas.openxmlformats.org/markup-compatibility/2006">
    <mc:Choice Requires="x15">
      <x15ac:absPath xmlns:x15ac="http://schemas.microsoft.com/office/spreadsheetml/2010/11/ac" url="/Users/yun9351/Downloads/FeasibilityWebApp/public/"/>
    </mc:Choice>
  </mc:AlternateContent>
  <bookViews>
    <workbookView xWindow="0" yWindow="460" windowWidth="33600" windowHeight="20540" tabRatio="601"/>
  </bookViews>
  <sheets>
    <sheet name="Data" sheetId="2" r:id="rId1"/>
    <sheet name="Proforma" sheetId="5" r:id="rId2"/>
  </sheets>
  <definedNames>
    <definedName name="Inputs__Category_Name__InputName">Data!$H$25</definedName>
    <definedName name="Inputs__Finance__Cap_Rate">Data!$C$25</definedName>
    <definedName name="Inputs__Finance__DSCR">Data!$C$21</definedName>
    <definedName name="Inputs__Finance__Loan_Cost_Ratio">Data!$C$27</definedName>
    <definedName name="Inputs__Finance__Loan_Term">Data!$C$23</definedName>
    <definedName name="Inputs__Finance__Loan_Value_Ratio">Data!$C$26</definedName>
    <definedName name="Inputs__Finance__T.O._Interest_Rate">Data!$C$22</definedName>
    <definedName name="Inputs__Gross_Rent_Roll__Commercial_Rent">Data!$C$11</definedName>
    <definedName name="Inputs__Gross_Rent_Roll__Housing_Rent">Data!$C$8</definedName>
    <definedName name="Inputs__Operating_Expenses__Commercial">Data!$C$18</definedName>
    <definedName name="Inputs__Operating_Expenses__Market_Housing">Data!$C$16</definedName>
    <definedName name="Inputs__Space_Program__Commercial_GFA">Data!$C$6</definedName>
    <definedName name="Inputs__Space_Program__Housing_GFA">Data!$C$2</definedName>
    <definedName name="Inputs__Space_Program__Housing_Units">Data!$F$2</definedName>
    <definedName name="Inputs__Vacancy_Credit_Loss__Housing_Number">Data!$C$13</definedName>
    <definedName name="Outputs__General__Profit_Number">Proforma!$B$59</definedName>
    <definedName name="_xlnm.Print_Area" localSheetId="1">Proforma!$A$1:$G$61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C46" i="2" l="1"/>
  <c r="C31" i="2"/>
  <c r="C6" i="2"/>
  <c r="B13" i="5"/>
  <c r="C3" i="2"/>
  <c r="B11" i="5"/>
  <c r="H3" i="2"/>
  <c r="F4" i="2"/>
  <c r="H4" i="2"/>
  <c r="F8" i="2"/>
  <c r="F9" i="2"/>
  <c r="E4" i="5"/>
  <c r="F18" i="2"/>
  <c r="C24" i="2"/>
  <c r="E20" i="5"/>
  <c r="F61" i="2"/>
  <c r="E3" i="5"/>
  <c r="B5" i="5"/>
  <c r="E5" i="5"/>
  <c r="E6" i="5"/>
  <c r="B8" i="5"/>
  <c r="B9" i="5"/>
  <c r="E11" i="5"/>
  <c r="E12" i="5"/>
  <c r="E13" i="5"/>
  <c r="B14" i="5"/>
  <c r="E19" i="5"/>
  <c r="E22" i="5"/>
  <c r="E23" i="5"/>
  <c r="E27" i="5"/>
  <c r="G31" i="5"/>
  <c r="E54" i="5"/>
  <c r="F33" i="5"/>
  <c r="B34" i="5"/>
  <c r="E34" i="5"/>
  <c r="F34" i="5"/>
  <c r="B35" i="5"/>
  <c r="E35" i="5"/>
  <c r="F35" i="5"/>
  <c r="B36" i="5"/>
  <c r="E36" i="5"/>
  <c r="F36" i="5"/>
  <c r="E38" i="5"/>
  <c r="F39" i="5"/>
  <c r="E40" i="5"/>
  <c r="F41" i="5"/>
  <c r="E42" i="5"/>
  <c r="E44" i="5"/>
  <c r="E45" i="5"/>
  <c r="E46" i="5"/>
  <c r="E47" i="5"/>
  <c r="F5" i="5"/>
  <c r="F11" i="5"/>
  <c r="B6" i="5"/>
  <c r="F6" i="5"/>
  <c r="E9" i="5"/>
  <c r="F9" i="5"/>
  <c r="F13" i="5"/>
  <c r="G32" i="5"/>
  <c r="B3" i="5"/>
  <c r="F3" i="5"/>
  <c r="C4" i="2"/>
  <c r="B12" i="5"/>
  <c r="F12" i="5"/>
  <c r="B4" i="5"/>
  <c r="F4" i="5"/>
  <c r="B40" i="5"/>
  <c r="F40" i="5"/>
  <c r="B47" i="5"/>
  <c r="G47" i="5"/>
  <c r="B38" i="5"/>
  <c r="F38" i="5"/>
  <c r="B42" i="5"/>
  <c r="F42" i="5"/>
  <c r="G37" i="5"/>
  <c r="G2" i="5"/>
  <c r="E8" i="5"/>
  <c r="F8" i="5"/>
  <c r="G7" i="5"/>
  <c r="E14" i="5"/>
  <c r="F14" i="5"/>
  <c r="G10" i="5"/>
  <c r="G15" i="5"/>
  <c r="F18" i="5"/>
  <c r="B22" i="5"/>
  <c r="F22" i="5"/>
  <c r="B19" i="5"/>
  <c r="F19" i="5"/>
  <c r="B20" i="5"/>
  <c r="F20" i="5"/>
  <c r="B23" i="5"/>
  <c r="F23" i="5"/>
  <c r="G24" i="5"/>
  <c r="B46" i="5"/>
  <c r="F46" i="5"/>
  <c r="G25" i="5"/>
  <c r="B61" i="5"/>
  <c r="B60" i="5"/>
  <c r="B44" i="5"/>
  <c r="F44" i="5"/>
  <c r="B45" i="5"/>
  <c r="F45" i="5"/>
  <c r="G43" i="5"/>
  <c r="G48" i="5"/>
  <c r="F51" i="5"/>
  <c r="F52" i="5"/>
  <c r="E53" i="5"/>
  <c r="E55" i="5"/>
  <c r="G56" i="5"/>
  <c r="E57" i="5"/>
  <c r="E61" i="5"/>
  <c r="E60" i="5"/>
  <c r="B59" i="5"/>
  <c r="E59" i="5"/>
  <c r="B27" i="5"/>
  <c r="F27" i="5"/>
</calcChain>
</file>

<file path=xl/sharedStrings.xml><?xml version="1.0" encoding="utf-8"?>
<sst xmlns="http://schemas.openxmlformats.org/spreadsheetml/2006/main" count="206" uniqueCount="132">
  <si>
    <t xml:space="preserve">  Less Vacancy/Credit Loss</t>
  </si>
  <si>
    <t xml:space="preserve">  Less Operating Expenses</t>
  </si>
  <si>
    <t xml:space="preserve">    Management</t>
  </si>
  <si>
    <t>Finance</t>
  </si>
  <si>
    <t xml:space="preserve">  DSCR</t>
  </si>
  <si>
    <t xml:space="preserve">    Market Housing</t>
  </si>
  <si>
    <t>SF/Mo</t>
  </si>
  <si>
    <t xml:space="preserve">  LC</t>
  </si>
  <si>
    <t xml:space="preserve">  Cap Rate</t>
  </si>
  <si>
    <t xml:space="preserve">  Loan/Value Ratio</t>
  </si>
  <si>
    <t xml:space="preserve">  Interim Fee</t>
  </si>
  <si>
    <t>Loan Amount</t>
  </si>
  <si>
    <t xml:space="preserve">  Take-out Fee</t>
  </si>
  <si>
    <t>Construction</t>
  </si>
  <si>
    <t xml:space="preserve">  Land</t>
  </si>
  <si>
    <t xml:space="preserve">  Construction Escalation</t>
  </si>
  <si>
    <t xml:space="preserve"> Yr</t>
  </si>
  <si>
    <t xml:space="preserve">  Housing</t>
  </si>
  <si>
    <t xml:space="preserve">  Parking/Housing</t>
  </si>
  <si>
    <t xml:space="preserve">  Commercial</t>
  </si>
  <si>
    <t>SF</t>
  </si>
  <si>
    <t xml:space="preserve">  Tenant Improvements</t>
  </si>
  <si>
    <t>Allow</t>
  </si>
  <si>
    <t xml:space="preserve">  WSST</t>
  </si>
  <si>
    <t xml:space="preserve">  A/E</t>
  </si>
  <si>
    <t xml:space="preserve">  Developers Fee</t>
  </si>
  <si>
    <t xml:space="preserve">  Other Consultants</t>
  </si>
  <si>
    <t xml:space="preserve">  Permits</t>
  </si>
  <si>
    <t xml:space="preserve">  Holding Costs</t>
  </si>
  <si>
    <t>Month</t>
  </si>
  <si>
    <t xml:space="preserve">  Contingency</t>
  </si>
  <si>
    <t xml:space="preserve">  Construction Time</t>
  </si>
  <si>
    <t>Months</t>
  </si>
  <si>
    <t xml:space="preserve">  </t>
  </si>
  <si>
    <t>INCOME PROFORMA</t>
  </si>
  <si>
    <t>Amount</t>
  </si>
  <si>
    <t>unit</t>
  </si>
  <si>
    <t>Rent/Cost</t>
  </si>
  <si>
    <t>Subtotals</t>
  </si>
  <si>
    <t>TOTALS</t>
  </si>
  <si>
    <t xml:space="preserve">  Gross Rent Roll</t>
  </si>
  <si>
    <t>@</t>
  </si>
  <si>
    <t>Apt</t>
  </si>
  <si>
    <t xml:space="preserve">  NET OPERATING INCOME</t>
  </si>
  <si>
    <t>LOAN AMOUNT CALCULATION: Debt Service Check</t>
  </si>
  <si>
    <t xml:space="preserve">    Net Operating Income</t>
  </si>
  <si>
    <t xml:space="preserve">    Available to Service Debt</t>
  </si>
  <si>
    <t xml:space="preserve">    Trial Loan Amount</t>
  </si>
  <si>
    <t>Loan To Value Check</t>
  </si>
  <si>
    <t xml:space="preserve">    Value</t>
  </si>
  <si>
    <t xml:space="preserve">    Cash Flow</t>
  </si>
  <si>
    <t>COST PROFORMA</t>
  </si>
  <si>
    <t xml:space="preserve">    Housing Affordable</t>
  </si>
  <si>
    <t xml:space="preserve">  Construction</t>
  </si>
  <si>
    <t xml:space="preserve">  Services/Fees</t>
  </si>
  <si>
    <t xml:space="preserve">    WSST</t>
  </si>
  <si>
    <t xml:space="preserve">    A/E</t>
  </si>
  <si>
    <t xml:space="preserve">    Developers Fee</t>
  </si>
  <si>
    <t xml:space="preserve">    Other Consultants</t>
  </si>
  <si>
    <t xml:space="preserve">  Nationwide Equity/CF</t>
  </si>
  <si>
    <t xml:space="preserve">  PDA Equity/CF</t>
  </si>
  <si>
    <t>Profit/Profit Margin</t>
  </si>
  <si>
    <t xml:space="preserve">    NW Tax/Appreciation</t>
  </si>
  <si>
    <t xml:space="preserve">    PDA Tax/Appreciation</t>
  </si>
  <si>
    <t xml:space="preserve">    Permits</t>
  </si>
  <si>
    <t xml:space="preserve">  Financing</t>
  </si>
  <si>
    <t xml:space="preserve">    Interim Fee</t>
  </si>
  <si>
    <t xml:space="preserve">    Interim Interest</t>
  </si>
  <si>
    <t xml:space="preserve">    Take-out Fee</t>
  </si>
  <si>
    <t xml:space="preserve">  TOTAL PROJECT COSTS</t>
  </si>
  <si>
    <t xml:space="preserve">  Loan/Cost Ratio</t>
  </si>
  <si>
    <t xml:space="preserve">  Loan Term</t>
  </si>
  <si>
    <t>years</t>
  </si>
  <si>
    <t xml:space="preserve">  T.O. LOAN AMOUNT</t>
  </si>
  <si>
    <t xml:space="preserve">    Housing </t>
  </si>
  <si>
    <t xml:space="preserve">    Site Prep</t>
  </si>
  <si>
    <t xml:space="preserve">  Site Prep</t>
  </si>
  <si>
    <t xml:space="preserve">  Interim Interest Reserve</t>
  </si>
  <si>
    <t xml:space="preserve">  T.O. Interest Rate</t>
  </si>
  <si>
    <t xml:space="preserve">  Interim Interest Rate</t>
  </si>
  <si>
    <t>Gross SF</t>
  </si>
  <si>
    <t>Less Vacancy/Credit Loss</t>
  </si>
  <si>
    <t>Less Operating Expenses</t>
  </si>
  <si>
    <t xml:space="preserve">  Prime Rate</t>
  </si>
  <si>
    <t xml:space="preserve">    Aff Housing</t>
  </si>
  <si>
    <t xml:space="preserve">    Parking </t>
  </si>
  <si>
    <t>escalation</t>
  </si>
  <si>
    <t>Adjusted</t>
  </si>
  <si>
    <t>maximum</t>
  </si>
  <si>
    <t>Deal Structure</t>
  </si>
  <si>
    <t xml:space="preserve">    Affordable Housing</t>
  </si>
  <si>
    <t xml:space="preserve">  Total Housing</t>
  </si>
  <si>
    <t>Sources of Funds</t>
  </si>
  <si>
    <t xml:space="preserve">  Equity required</t>
  </si>
  <si>
    <t xml:space="preserve">  Loan amount</t>
  </si>
  <si>
    <t xml:space="preserve">    Nationwide</t>
  </si>
  <si>
    <t>Total Funds Avaialble</t>
  </si>
  <si>
    <t xml:space="preserve">    Mechanical</t>
  </si>
  <si>
    <t xml:space="preserve">    Electrical</t>
  </si>
  <si>
    <t xml:space="preserve">    PPPP</t>
  </si>
  <si>
    <t xml:space="preserve">    EIS Prep</t>
  </si>
  <si>
    <t xml:space="preserve">    EIS Publication</t>
  </si>
  <si>
    <t xml:space="preserve">    Geo-Technical</t>
  </si>
  <si>
    <t>Nationwide</t>
  </si>
  <si>
    <t>PDA</t>
  </si>
  <si>
    <t>AGR-Ph Rev</t>
  </si>
  <si>
    <t xml:space="preserve">    PDA Cash </t>
  </si>
  <si>
    <t>hourly</t>
  </si>
  <si>
    <t>Loan to Cost Check</t>
  </si>
  <si>
    <t xml:space="preserve">  Cost</t>
  </si>
  <si>
    <t xml:space="preserve"> INTERIM LOAN AMOUNT</t>
  </si>
  <si>
    <t>Shortfall</t>
  </si>
  <si>
    <t xml:space="preserve">    PDA Land</t>
  </si>
  <si>
    <t xml:space="preserve">  Rate = Prime+</t>
  </si>
  <si>
    <t>Space Program</t>
  </si>
  <si>
    <t>Number</t>
  </si>
  <si>
    <t>Units</t>
  </si>
  <si>
    <t>=</t>
  </si>
  <si>
    <t>Totals/Net</t>
  </si>
  <si>
    <t xml:space="preserve">    Housing</t>
  </si>
  <si>
    <t>Spaces</t>
  </si>
  <si>
    <t xml:space="preserve">    Commercial</t>
  </si>
  <si>
    <t>S.F.</t>
  </si>
  <si>
    <t>Gross Rent Roll</t>
  </si>
  <si>
    <t>Rent</t>
  </si>
  <si>
    <t>Per</t>
  </si>
  <si>
    <t>$/Year</t>
  </si>
  <si>
    <t>SF/Yr</t>
  </si>
  <si>
    <t xml:space="preserve">    Parking</t>
  </si>
  <si>
    <t>Priority</t>
  </si>
  <si>
    <t>all 1</t>
  </si>
  <si>
    <t>as inputs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</si>
</sst>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#,##0.0000"/>
    <numFmt numFmtId="165" formatCode="#,##0.00000"/>
  </numFmts>
  <fonts count="4" x14ac:knownFonts="1">
    <font>
      <sz val="10"/>
      <name val="Geneva"/>
    </font>
    <font>
      <b/>
      <sz val="10"/>
      <name val="Geneva"/>
    </font>
    <font>
      <sz val="10"/>
      <name val="Geneva"/>
    </font>
    <font>
      <sz val="8"/>
      <name val="Geneva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4">
    <xf numFmtId="0" fontId="0" fillId="0" borderId="0"/>
    <xf numFmtId="4" fontId="2" fillId="0" borderId="0" applyFont="0" applyFill="0" applyBorder="0" applyAlignment="0" applyProtection="0"/>
    <xf numFmtId="8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2">
    <xf numFmtId="0" fontId="0" fillId="0" borderId="0" xfId="0"/>
    <xf numFmtId="3" fontId="0" fillId="0" borderId="0" xfId="0" applyNumberFormat="1" applyFill="1"/>
    <xf numFmtId="5" fontId="0" fillId="0" borderId="0" xfId="0" applyNumberFormat="1" applyFill="1"/>
    <xf numFmtId="9" fontId="0" fillId="0" borderId="0" xfId="0" applyNumberFormat="1" applyFill="1"/>
    <xf numFmtId="0" fontId="0" fillId="0" borderId="0" xfId="0" applyFill="1"/>
    <xf numFmtId="5" fontId="0" fillId="0" borderId="0" xfId="0" quotePrefix="1" applyNumberFormat="1" applyFill="1"/>
    <xf numFmtId="6" fontId="0" fillId="0" borderId="0" xfId="2" applyNumberFormat="1" applyFont="1" applyFill="1"/>
    <xf numFmtId="0" fontId="0" fillId="0" borderId="0" xfId="0" applyFill="1" applyAlignment="1">
      <alignment horizontal="center"/>
    </xf>
    <xf numFmtId="10" fontId="0" fillId="0" borderId="0" xfId="0" applyNumberFormat="1" applyFill="1" applyAlignment="1">
      <alignment horizontal="left"/>
    </xf>
    <xf numFmtId="7" fontId="0" fillId="0" borderId="0" xfId="0" applyNumberFormat="1" applyFill="1"/>
    <xf numFmtId="5" fontId="0" fillId="0" borderId="0" xfId="0" applyNumberFormat="1" applyFill="1" applyBorder="1"/>
    <xf numFmtId="5" fontId="0" fillId="0" borderId="0" xfId="0" applyNumberFormat="1" applyFill="1" applyAlignment="1">
      <alignment horizontal="left"/>
    </xf>
    <xf numFmtId="0" fontId="2" fillId="0" borderId="0" xfId="0" applyFont="1" applyFill="1" applyAlignment="1">
      <alignment horizontal="left"/>
    </xf>
    <xf numFmtId="3" fontId="0" fillId="0" borderId="0" xfId="1" applyNumberFormat="1" applyFont="1" applyFill="1"/>
    <xf numFmtId="10" fontId="0" fillId="0" borderId="0" xfId="0" applyNumberFormat="1" applyFill="1"/>
    <xf numFmtId="10" fontId="0" fillId="0" borderId="0" xfId="3" applyNumberFormat="1" applyFont="1" applyFill="1"/>
    <xf numFmtId="164" fontId="0" fillId="0" borderId="0" xfId="1" applyNumberFormat="1" applyFont="1" applyFill="1"/>
    <xf numFmtId="0" fontId="0" fillId="0" borderId="0" xfId="0" applyFill="1" applyAlignment="1">
      <alignment horizontal="left"/>
    </xf>
    <xf numFmtId="9" fontId="0" fillId="0" borderId="0" xfId="3" applyFont="1" applyFill="1"/>
    <xf numFmtId="5" fontId="0" fillId="0" borderId="1" xfId="0" applyNumberFormat="1" applyFill="1" applyBorder="1"/>
    <xf numFmtId="165" fontId="0" fillId="0" borderId="0" xfId="1" applyNumberFormat="1" applyFont="1" applyFill="1"/>
    <xf numFmtId="5" fontId="0" fillId="0" borderId="0" xfId="0" applyNumberFormat="1" applyFill="1" applyAlignment="1">
      <alignment horizontal="right"/>
    </xf>
    <xf numFmtId="0" fontId="0" fillId="0" borderId="0" xfId="0" applyFill="1" applyBorder="1"/>
    <xf numFmtId="5" fontId="0" fillId="0" borderId="2" xfId="0" applyNumberFormat="1" applyFill="1" applyBorder="1"/>
    <xf numFmtId="5" fontId="0" fillId="0" borderId="3" xfId="0" applyNumberFormat="1" applyFill="1" applyBorder="1"/>
    <xf numFmtId="3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8" fontId="0" fillId="0" borderId="0" xfId="2" applyFont="1" applyFill="1" applyAlignment="1">
      <alignment horizontal="right"/>
    </xf>
    <xf numFmtId="8" fontId="0" fillId="0" borderId="0" xfId="2" applyFont="1" applyFill="1"/>
    <xf numFmtId="9" fontId="0" fillId="0" borderId="0" xfId="0" applyNumberFormat="1" applyFill="1" applyAlignment="1">
      <alignment horizontal="center"/>
    </xf>
    <xf numFmtId="5" fontId="2" fillId="0" borderId="0" xfId="0" applyNumberFormat="1" applyFont="1" applyFill="1" applyAlignment="1">
      <alignment horizontal="left"/>
    </xf>
    <xf numFmtId="43" fontId="2" fillId="0" borderId="0" xfId="3" applyNumberFormat="1" applyFont="1" applyFill="1" applyAlignment="1">
      <alignment horizontal="left"/>
    </xf>
    <xf numFmtId="6" fontId="0" fillId="0" borderId="0" xfId="0" applyNumberFormat="1" applyFill="1"/>
    <xf numFmtId="5" fontId="2" fillId="0" borderId="0" xfId="0" applyNumberFormat="1" applyFont="1" applyFill="1" applyAlignment="1">
      <alignment horizontal="right"/>
    </xf>
    <xf numFmtId="3" fontId="2" fillId="2" borderId="0" xfId="1" applyNumberFormat="1" applyFont="1" applyFill="1"/>
    <xf numFmtId="0" fontId="0" fillId="2" borderId="0" xfId="0" applyFill="1"/>
    <xf numFmtId="9" fontId="0" fillId="2" borderId="0" xfId="0" applyNumberFormat="1" applyFill="1"/>
    <xf numFmtId="5" fontId="0" fillId="3" borderId="0" xfId="0" applyNumberFormat="1" applyFill="1"/>
    <xf numFmtId="10" fontId="2" fillId="3" borderId="0" xfId="3" applyNumberFormat="1" applyFont="1" applyFill="1"/>
    <xf numFmtId="0" fontId="0" fillId="4" borderId="0" xfId="0" applyFill="1"/>
    <xf numFmtId="7" fontId="0" fillId="4" borderId="0" xfId="0" applyNumberFormat="1" applyFill="1"/>
    <xf numFmtId="0" fontId="0" fillId="4" borderId="0" xfId="0" applyFill="1" applyAlignment="1">
      <alignment horizontal="center"/>
    </xf>
    <xf numFmtId="0" fontId="1" fillId="4" borderId="0" xfId="0" applyFont="1" applyFill="1"/>
    <xf numFmtId="10" fontId="0" fillId="4" borderId="0" xfId="0" applyNumberFormat="1" applyFill="1"/>
    <xf numFmtId="0" fontId="0" fillId="5" borderId="0" xfId="0" applyFill="1"/>
    <xf numFmtId="10" fontId="2" fillId="5" borderId="0" xfId="3" applyNumberFormat="1" applyFont="1" applyFill="1"/>
    <xf numFmtId="10" fontId="0" fillId="5" borderId="0" xfId="0" applyNumberFormat="1" applyFill="1"/>
    <xf numFmtId="9" fontId="0" fillId="5" borderId="0" xfId="0" applyNumberFormat="1" applyFill="1"/>
    <xf numFmtId="0" fontId="1" fillId="5" borderId="0" xfId="0" applyFont="1" applyFill="1"/>
    <xf numFmtId="0" fontId="2" fillId="2" borderId="0" xfId="0" applyFont="1" applyFill="1" applyAlignment="1">
      <alignment horizontal="left"/>
    </xf>
    <xf numFmtId="0" fontId="0" fillId="0" borderId="0" xfId="0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64"/>
  <sheetViews>
    <sheetView tabSelected="1" workbookViewId="0">
      <selection activeCell="B2" sqref="B2"/>
    </sheetView>
  </sheetViews>
  <sheetFormatPr baseColWidth="10" defaultColWidth="9.140625" defaultRowHeight="14" x14ac:dyDescent="0.2"/>
  <cols>
    <col min="1" max="1" width="9.140625" style="7"/>
    <col min="2" max="2" width="21.5703125" style="4" customWidth="1"/>
    <col min="3" max="3" width="13.85546875" style="4" bestFit="1" customWidth="1"/>
    <col min="4" max="4" width="12" style="4" bestFit="1" customWidth="1"/>
    <col min="5" max="5" width="2.42578125" style="4" customWidth="1"/>
    <col min="6" max="6" width="15" style="4" customWidth="1"/>
    <col min="7" max="7" width="9.140625" style="7" customWidth="1"/>
    <col min="8" max="16384" width="9.140625" style="4"/>
  </cols>
  <sheetData>
    <row r="1" spans="1:15" s="27" customFormat="1" x14ac:dyDescent="0.2">
      <c r="A1" s="51" t="s">
        <v>130</v>
      </c>
      <c r="B1" s="50" t="s">
        <v>114</v>
      </c>
      <c r="C1" s="26" t="s">
        <v>115</v>
      </c>
      <c r="D1" s="26" t="s">
        <v>116</v>
      </c>
      <c r="E1" s="26" t="s">
        <v>117</v>
      </c>
      <c r="F1" s="26" t="s">
        <v>118</v>
      </c>
      <c r="G1" s="26"/>
      <c r="H1" s="26"/>
      <c r="I1" s="26"/>
      <c r="J1" s="25"/>
      <c r="K1" s="26"/>
      <c r="L1" s="26"/>
      <c r="M1" s="26"/>
      <c r="N1" s="26"/>
      <c r="O1" s="26"/>
    </row>
    <row r="2" spans="1:15" s="27" customFormat="1" x14ac:dyDescent="0.2">
      <c r="A2" s="51" t="s">
        <v>131</v>
      </c>
      <c r="B2" s="12" t="s">
        <v>91</v>
      </c>
      <c r="C2" s="35">
        <v>46584</v>
      </c>
      <c r="D2" s="7" t="s">
        <v>20</v>
      </c>
      <c r="E2" s="4"/>
      <c r="F2" s="36">
        <v>70</v>
      </c>
      <c r="G2" s="7" t="s">
        <v>116</v>
      </c>
      <c r="H2" s="35">
        <v>58075</v>
      </c>
      <c r="I2" s="4" t="s">
        <v>80</v>
      </c>
      <c r="J2" s="25"/>
      <c r="K2" s="26"/>
      <c r="L2" s="26"/>
      <c r="M2" s="26"/>
      <c r="N2" s="26"/>
      <c r="O2" s="26"/>
    </row>
    <row r="3" spans="1:15" x14ac:dyDescent="0.2">
      <c r="B3" s="4" t="s">
        <v>74</v>
      </c>
      <c r="C3" s="13">
        <f>C2*F3</f>
        <v>37267.200000000004</v>
      </c>
      <c r="F3" s="37">
        <v>0.8</v>
      </c>
      <c r="G3" s="4"/>
      <c r="H3" s="13">
        <f>H2*F3</f>
        <v>46460</v>
      </c>
    </row>
    <row r="4" spans="1:15" x14ac:dyDescent="0.2">
      <c r="B4" s="4" t="s">
        <v>84</v>
      </c>
      <c r="C4" s="13">
        <f>C2-C3</f>
        <v>9316.7999999999956</v>
      </c>
      <c r="D4" s="7"/>
      <c r="F4" s="3">
        <f>1-F3</f>
        <v>0.19999999999999996</v>
      </c>
      <c r="H4" s="13">
        <f>H2*F4</f>
        <v>11614.999999999998</v>
      </c>
    </row>
    <row r="5" spans="1:15" x14ac:dyDescent="0.2">
      <c r="B5" s="4" t="s">
        <v>128</v>
      </c>
      <c r="C5" s="13">
        <v>285</v>
      </c>
      <c r="D5" s="7" t="s">
        <v>120</v>
      </c>
      <c r="H5" s="13">
        <v>100105</v>
      </c>
      <c r="I5" s="4" t="s">
        <v>80</v>
      </c>
      <c r="J5" s="1"/>
      <c r="K5" s="7"/>
    </row>
    <row r="6" spans="1:15" x14ac:dyDescent="0.2">
      <c r="A6" s="7" t="s">
        <v>129</v>
      </c>
      <c r="B6" s="4" t="s">
        <v>121</v>
      </c>
      <c r="C6" s="35">
        <f>H6*F6</f>
        <v>4180</v>
      </c>
      <c r="D6" s="7" t="s">
        <v>122</v>
      </c>
      <c r="F6" s="37">
        <v>0.95</v>
      </c>
      <c r="H6" s="35">
        <v>4400</v>
      </c>
      <c r="I6" s="4" t="s">
        <v>80</v>
      </c>
      <c r="J6" s="1"/>
      <c r="K6" s="7"/>
    </row>
    <row r="7" spans="1:15" x14ac:dyDescent="0.2">
      <c r="B7" s="43" t="s">
        <v>123</v>
      </c>
      <c r="C7" s="7" t="s">
        <v>124</v>
      </c>
      <c r="D7" s="7" t="s">
        <v>125</v>
      </c>
      <c r="E7" s="7"/>
      <c r="F7" s="7" t="s">
        <v>126</v>
      </c>
      <c r="J7" s="1"/>
      <c r="K7" s="7"/>
    </row>
    <row r="8" spans="1:15" x14ac:dyDescent="0.2">
      <c r="A8" s="7">
        <v>1</v>
      </c>
      <c r="B8" s="40" t="s">
        <v>74</v>
      </c>
      <c r="C8" s="41">
        <v>1.72</v>
      </c>
      <c r="D8" s="42" t="s">
        <v>6</v>
      </c>
      <c r="E8" s="4" t="s">
        <v>117</v>
      </c>
      <c r="F8" s="9">
        <f>C8*12</f>
        <v>20.64</v>
      </c>
      <c r="J8" s="1"/>
      <c r="K8" s="7"/>
    </row>
    <row r="9" spans="1:15" x14ac:dyDescent="0.2">
      <c r="B9" s="4" t="s">
        <v>84</v>
      </c>
      <c r="C9" s="9">
        <v>1.3</v>
      </c>
      <c r="D9" s="7" t="s">
        <v>6</v>
      </c>
      <c r="F9" s="9">
        <f>C9*12</f>
        <v>15.600000000000001</v>
      </c>
      <c r="H9" s="6">
        <v>775</v>
      </c>
      <c r="J9" s="1"/>
      <c r="K9" s="7"/>
    </row>
    <row r="10" spans="1:15" x14ac:dyDescent="0.2">
      <c r="B10" s="4" t="s">
        <v>85</v>
      </c>
      <c r="C10" s="9"/>
      <c r="D10" s="7"/>
      <c r="F10" s="2">
        <v>4225</v>
      </c>
      <c r="G10" s="30">
        <v>0.04</v>
      </c>
      <c r="H10" s="4" t="s">
        <v>86</v>
      </c>
      <c r="J10" s="1"/>
      <c r="K10" s="7"/>
    </row>
    <row r="11" spans="1:15" x14ac:dyDescent="0.2">
      <c r="A11" s="7">
        <v>1</v>
      </c>
      <c r="B11" s="40" t="s">
        <v>121</v>
      </c>
      <c r="C11" s="41">
        <v>18.5</v>
      </c>
      <c r="D11" s="42" t="s">
        <v>127</v>
      </c>
      <c r="E11" s="4" t="s">
        <v>117</v>
      </c>
      <c r="F11" s="9">
        <v>18.5</v>
      </c>
      <c r="J11" s="1"/>
      <c r="K11" s="7"/>
    </row>
    <row r="12" spans="1:15" x14ac:dyDescent="0.2">
      <c r="B12" s="43" t="s">
        <v>81</v>
      </c>
      <c r="D12" s="7"/>
      <c r="J12" s="1"/>
      <c r="K12" s="7"/>
    </row>
    <row r="13" spans="1:15" x14ac:dyDescent="0.2">
      <c r="A13" s="7">
        <v>2</v>
      </c>
      <c r="B13" s="40" t="s">
        <v>119</v>
      </c>
      <c r="C13" s="44">
        <v>0.05</v>
      </c>
      <c r="D13" s="7"/>
      <c r="J13" s="1"/>
      <c r="K13" s="7"/>
    </row>
    <row r="14" spans="1:15" x14ac:dyDescent="0.2">
      <c r="A14" s="7">
        <v>2</v>
      </c>
      <c r="B14" s="40" t="s">
        <v>121</v>
      </c>
      <c r="C14" s="44">
        <v>0.05</v>
      </c>
      <c r="D14" s="7"/>
      <c r="J14" s="1"/>
      <c r="K14" s="7"/>
    </row>
    <row r="15" spans="1:15" x14ac:dyDescent="0.2">
      <c r="B15" s="43" t="s">
        <v>82</v>
      </c>
      <c r="D15" s="7"/>
      <c r="J15" s="1"/>
      <c r="K15" s="7"/>
    </row>
    <row r="16" spans="1:15" x14ac:dyDescent="0.2">
      <c r="A16" s="7">
        <v>3</v>
      </c>
      <c r="B16" s="40" t="s">
        <v>5</v>
      </c>
      <c r="C16" s="41">
        <v>5.5</v>
      </c>
      <c r="D16" s="42" t="s">
        <v>127</v>
      </c>
      <c r="F16" s="9"/>
      <c r="J16" s="1"/>
      <c r="K16" s="7"/>
    </row>
    <row r="17" spans="1:11" x14ac:dyDescent="0.2">
      <c r="B17" s="4" t="s">
        <v>90</v>
      </c>
      <c r="C17" s="9">
        <v>5.4</v>
      </c>
      <c r="D17" s="7" t="s">
        <v>127</v>
      </c>
      <c r="F17" s="9"/>
      <c r="J17" s="1"/>
      <c r="K17" s="7"/>
    </row>
    <row r="18" spans="1:11" x14ac:dyDescent="0.2">
      <c r="A18" s="7">
        <v>3</v>
      </c>
      <c r="B18" s="40" t="s">
        <v>121</v>
      </c>
      <c r="C18" s="41">
        <v>0.09</v>
      </c>
      <c r="D18" s="42" t="s">
        <v>6</v>
      </c>
      <c r="F18" s="9">
        <f>C18*12</f>
        <v>1.08</v>
      </c>
      <c r="G18" s="7" t="s">
        <v>127</v>
      </c>
      <c r="J18" s="1"/>
      <c r="K18" s="7"/>
    </row>
    <row r="19" spans="1:11" x14ac:dyDescent="0.2">
      <c r="B19" s="4" t="s">
        <v>2</v>
      </c>
      <c r="C19" s="3">
        <v>0.04</v>
      </c>
      <c r="D19" s="7" t="s">
        <v>105</v>
      </c>
      <c r="F19" s="9"/>
      <c r="J19" s="1"/>
      <c r="K19" s="7"/>
    </row>
    <row r="20" spans="1:11" x14ac:dyDescent="0.2">
      <c r="B20" s="49" t="s">
        <v>3</v>
      </c>
      <c r="D20" s="7"/>
      <c r="J20" s="1"/>
      <c r="K20" s="7"/>
    </row>
    <row r="21" spans="1:11" x14ac:dyDescent="0.2">
      <c r="A21" s="7">
        <v>3</v>
      </c>
      <c r="B21" s="45" t="s">
        <v>4</v>
      </c>
      <c r="C21" s="45">
        <v>1.2</v>
      </c>
      <c r="D21" s="7"/>
      <c r="J21" s="1"/>
      <c r="K21" s="7"/>
    </row>
    <row r="22" spans="1:11" x14ac:dyDescent="0.2">
      <c r="A22" s="7">
        <v>1</v>
      </c>
      <c r="B22" s="45" t="s">
        <v>78</v>
      </c>
      <c r="C22" s="46">
        <v>5.8000000000000003E-2</v>
      </c>
      <c r="D22" s="7"/>
      <c r="J22" s="1"/>
      <c r="K22" s="7"/>
    </row>
    <row r="23" spans="1:11" x14ac:dyDescent="0.2">
      <c r="A23" s="7">
        <v>1</v>
      </c>
      <c r="B23" s="45" t="s">
        <v>71</v>
      </c>
      <c r="C23" s="45">
        <v>15</v>
      </c>
      <c r="D23" s="7" t="s">
        <v>72</v>
      </c>
      <c r="J23" s="1"/>
      <c r="K23" s="7"/>
    </row>
    <row r="24" spans="1:11" x14ac:dyDescent="0.2">
      <c r="B24" s="4" t="s">
        <v>7</v>
      </c>
      <c r="C24" s="16">
        <f>PMT(C22/12,C23*12,1,0,0)*-12</f>
        <v>9.997078225380579E-2</v>
      </c>
      <c r="D24" s="7"/>
      <c r="J24" s="1"/>
      <c r="K24" s="7"/>
    </row>
    <row r="25" spans="1:11" x14ac:dyDescent="0.2">
      <c r="A25" s="7">
        <v>1</v>
      </c>
      <c r="B25" s="49" t="s">
        <v>8</v>
      </c>
      <c r="C25" s="47">
        <v>8.5000000000000006E-2</v>
      </c>
      <c r="D25" s="7"/>
      <c r="J25" s="1"/>
      <c r="K25" s="7"/>
    </row>
    <row r="26" spans="1:11" x14ac:dyDescent="0.2">
      <c r="A26" s="7">
        <v>2</v>
      </c>
      <c r="B26" s="45" t="s">
        <v>9</v>
      </c>
      <c r="C26" s="48">
        <v>0.8</v>
      </c>
      <c r="D26" s="7"/>
      <c r="J26" s="1"/>
      <c r="K26" s="7"/>
    </row>
    <row r="27" spans="1:11" x14ac:dyDescent="0.2">
      <c r="A27" s="7">
        <v>2</v>
      </c>
      <c r="B27" s="45" t="s">
        <v>70</v>
      </c>
      <c r="C27" s="48">
        <v>0.75</v>
      </c>
      <c r="D27" s="7"/>
      <c r="J27" s="1"/>
      <c r="K27" s="7"/>
    </row>
    <row r="28" spans="1:11" x14ac:dyDescent="0.2">
      <c r="B28" s="4" t="s">
        <v>12</v>
      </c>
      <c r="C28" s="14">
        <v>0.01</v>
      </c>
      <c r="D28" s="17" t="s">
        <v>11</v>
      </c>
      <c r="J28" s="1"/>
      <c r="K28" s="7"/>
    </row>
    <row r="29" spans="1:11" x14ac:dyDescent="0.2">
      <c r="B29" s="4" t="s">
        <v>83</v>
      </c>
      <c r="C29" s="14">
        <v>0.05</v>
      </c>
      <c r="D29" s="17"/>
      <c r="J29" s="1"/>
      <c r="K29" s="7"/>
    </row>
    <row r="30" spans="1:11" x14ac:dyDescent="0.2">
      <c r="B30" s="4" t="s">
        <v>113</v>
      </c>
      <c r="C30" s="14">
        <v>3.5000000000000003E-2</v>
      </c>
      <c r="D30" s="17"/>
      <c r="J30" s="1"/>
      <c r="K30" s="7"/>
    </row>
    <row r="31" spans="1:11" x14ac:dyDescent="0.2">
      <c r="B31" s="4" t="s">
        <v>79</v>
      </c>
      <c r="C31" s="14">
        <f>SUM(C29:C30)</f>
        <v>8.5000000000000006E-2</v>
      </c>
      <c r="D31" s="17"/>
      <c r="J31" s="1"/>
      <c r="K31" s="7"/>
    </row>
    <row r="32" spans="1:11" x14ac:dyDescent="0.2">
      <c r="B32" s="4" t="s">
        <v>10</v>
      </c>
      <c r="C32" s="14">
        <v>0.02</v>
      </c>
      <c r="D32" s="17" t="s">
        <v>11</v>
      </c>
      <c r="J32" s="1"/>
      <c r="K32" s="7"/>
    </row>
    <row r="33" spans="2:11" x14ac:dyDescent="0.2">
      <c r="B33" s="4" t="s">
        <v>77</v>
      </c>
      <c r="C33" s="14">
        <v>0.09</v>
      </c>
      <c r="D33" s="17" t="s">
        <v>11</v>
      </c>
      <c r="J33" s="1"/>
      <c r="K33" s="7"/>
    </row>
    <row r="34" spans="2:11" x14ac:dyDescent="0.2">
      <c r="D34" s="7"/>
      <c r="J34" s="1"/>
      <c r="K34" s="7"/>
    </row>
    <row r="35" spans="2:11" x14ac:dyDescent="0.2">
      <c r="B35" s="4" t="s">
        <v>13</v>
      </c>
      <c r="D35" s="7"/>
      <c r="J35" s="1"/>
      <c r="K35" s="7"/>
    </row>
    <row r="36" spans="2:11" x14ac:dyDescent="0.2">
      <c r="B36" s="4" t="s">
        <v>14</v>
      </c>
      <c r="C36" s="2">
        <v>3300000</v>
      </c>
      <c r="D36" s="7"/>
      <c r="J36" s="1"/>
      <c r="K36" s="7"/>
    </row>
    <row r="37" spans="2:11" x14ac:dyDescent="0.2">
      <c r="B37" s="4" t="s">
        <v>15</v>
      </c>
      <c r="C37" s="14">
        <v>0</v>
      </c>
      <c r="D37" s="7" t="s">
        <v>16</v>
      </c>
      <c r="J37" s="1"/>
      <c r="K37" s="7"/>
    </row>
    <row r="38" spans="2:11" x14ac:dyDescent="0.2">
      <c r="B38" s="4" t="s">
        <v>76</v>
      </c>
      <c r="C38" s="6">
        <v>280000</v>
      </c>
      <c r="D38" s="7" t="s">
        <v>22</v>
      </c>
      <c r="F38" s="4" t="s">
        <v>87</v>
      </c>
      <c r="J38" s="1"/>
      <c r="K38" s="7"/>
    </row>
    <row r="39" spans="2:11" x14ac:dyDescent="0.2">
      <c r="B39" s="4" t="s">
        <v>17</v>
      </c>
      <c r="C39" s="9">
        <v>113</v>
      </c>
      <c r="D39" s="7" t="s">
        <v>20</v>
      </c>
      <c r="F39" s="29">
        <v>98</v>
      </c>
      <c r="J39" s="1"/>
      <c r="K39" s="7"/>
    </row>
    <row r="40" spans="2:11" x14ac:dyDescent="0.2">
      <c r="B40" s="4" t="s">
        <v>18</v>
      </c>
      <c r="C40" s="9">
        <v>35</v>
      </c>
      <c r="D40" s="7" t="s">
        <v>20</v>
      </c>
      <c r="F40" s="29">
        <v>40</v>
      </c>
      <c r="J40" s="1"/>
      <c r="K40" s="7"/>
    </row>
    <row r="41" spans="2:11" x14ac:dyDescent="0.2">
      <c r="B41" s="4" t="s">
        <v>19</v>
      </c>
      <c r="C41" s="9">
        <v>70</v>
      </c>
      <c r="D41" s="7" t="s">
        <v>20</v>
      </c>
      <c r="F41" s="29">
        <v>51.75</v>
      </c>
      <c r="J41" s="1"/>
      <c r="K41" s="7"/>
    </row>
    <row r="42" spans="2:11" x14ac:dyDescent="0.2">
      <c r="B42" s="4" t="s">
        <v>21</v>
      </c>
      <c r="C42" s="2">
        <v>0</v>
      </c>
      <c r="D42" s="7" t="s">
        <v>22</v>
      </c>
      <c r="J42" s="1"/>
      <c r="K42" s="7"/>
    </row>
    <row r="43" spans="2:11" x14ac:dyDescent="0.2">
      <c r="B43" s="4" t="s">
        <v>23</v>
      </c>
      <c r="C43" s="14">
        <v>8.7900000000000006E-2</v>
      </c>
      <c r="D43" s="7"/>
      <c r="J43" s="1"/>
      <c r="K43" s="7"/>
    </row>
    <row r="44" spans="2:11" x14ac:dyDescent="0.2">
      <c r="B44" s="4" t="s">
        <v>24</v>
      </c>
      <c r="C44" s="6">
        <v>599000</v>
      </c>
      <c r="D44" s="17" t="s">
        <v>22</v>
      </c>
      <c r="F44" s="29">
        <v>75</v>
      </c>
      <c r="G44" s="7" t="s">
        <v>107</v>
      </c>
      <c r="J44" s="1"/>
      <c r="K44" s="7"/>
    </row>
    <row r="45" spans="2:11" x14ac:dyDescent="0.2">
      <c r="B45" s="4" t="s">
        <v>25</v>
      </c>
      <c r="C45" s="14">
        <v>0.05</v>
      </c>
      <c r="D45" s="17" t="s">
        <v>13</v>
      </c>
      <c r="F45" s="6">
        <v>475000</v>
      </c>
      <c r="G45" s="7" t="s">
        <v>88</v>
      </c>
      <c r="J45" s="1"/>
      <c r="K45" s="7"/>
    </row>
    <row r="46" spans="2:11" x14ac:dyDescent="0.2">
      <c r="B46" s="4" t="s">
        <v>26</v>
      </c>
      <c r="C46" s="33">
        <f>SUM(C47:C52)</f>
        <v>200000</v>
      </c>
      <c r="D46" s="17" t="s">
        <v>22</v>
      </c>
      <c r="F46" s="2"/>
      <c r="J46" s="1"/>
      <c r="K46" s="7"/>
    </row>
    <row r="47" spans="2:11" x14ac:dyDescent="0.2">
      <c r="B47" s="4" t="s">
        <v>97</v>
      </c>
      <c r="C47" s="33">
        <v>0</v>
      </c>
      <c r="D47" s="17"/>
      <c r="F47" s="2"/>
      <c r="J47" s="1"/>
      <c r="K47" s="7"/>
    </row>
    <row r="48" spans="2:11" x14ac:dyDescent="0.2">
      <c r="B48" s="4" t="s">
        <v>98</v>
      </c>
      <c r="C48" s="33">
        <v>0</v>
      </c>
      <c r="D48" s="17"/>
      <c r="F48" s="2"/>
      <c r="J48" s="1"/>
      <c r="K48" s="7"/>
    </row>
    <row r="49" spans="2:11" x14ac:dyDescent="0.2">
      <c r="B49" s="4" t="s">
        <v>99</v>
      </c>
      <c r="C49" s="33">
        <v>40000</v>
      </c>
      <c r="D49" s="17"/>
      <c r="F49" s="2"/>
      <c r="J49" s="1"/>
      <c r="K49" s="7"/>
    </row>
    <row r="50" spans="2:11" x14ac:dyDescent="0.2">
      <c r="B50" s="4" t="s">
        <v>100</v>
      </c>
      <c r="C50" s="33">
        <v>95000</v>
      </c>
      <c r="D50" s="17"/>
      <c r="F50" s="2"/>
      <c r="J50" s="1"/>
      <c r="K50" s="7"/>
    </row>
    <row r="51" spans="2:11" x14ac:dyDescent="0.2">
      <c r="B51" s="4" t="s">
        <v>101</v>
      </c>
      <c r="C51" s="33">
        <v>27000</v>
      </c>
      <c r="D51" s="17"/>
      <c r="F51" s="2"/>
      <c r="J51" s="1"/>
      <c r="K51" s="7"/>
    </row>
    <row r="52" spans="2:11" x14ac:dyDescent="0.2">
      <c r="B52" s="4" t="s">
        <v>102</v>
      </c>
      <c r="C52" s="33">
        <v>38000</v>
      </c>
      <c r="D52" s="17"/>
      <c r="F52" s="2"/>
      <c r="J52" s="1"/>
      <c r="K52" s="7"/>
    </row>
    <row r="53" spans="2:11" x14ac:dyDescent="0.2">
      <c r="B53" s="4" t="s">
        <v>27</v>
      </c>
      <c r="C53" s="14">
        <v>1.9E-2</v>
      </c>
      <c r="D53" s="17" t="s">
        <v>13</v>
      </c>
      <c r="F53" s="2"/>
      <c r="J53" s="1"/>
      <c r="K53" s="7"/>
    </row>
    <row r="54" spans="2:11" x14ac:dyDescent="0.2">
      <c r="B54" s="4" t="s">
        <v>28</v>
      </c>
      <c r="C54" s="2">
        <v>0</v>
      </c>
      <c r="D54" s="17" t="s">
        <v>29</v>
      </c>
      <c r="F54" s="2"/>
      <c r="J54" s="1"/>
      <c r="K54" s="7"/>
    </row>
    <row r="55" spans="2:11" x14ac:dyDescent="0.2">
      <c r="B55" s="4" t="s">
        <v>30</v>
      </c>
      <c r="C55" s="14">
        <v>0.1</v>
      </c>
      <c r="D55" s="17" t="s">
        <v>13</v>
      </c>
      <c r="J55" s="1"/>
      <c r="K55" s="7"/>
    </row>
    <row r="56" spans="2:11" x14ac:dyDescent="0.2">
      <c r="B56" s="4" t="s">
        <v>31</v>
      </c>
      <c r="C56" s="1">
        <v>18.95</v>
      </c>
      <c r="D56" s="17" t="s">
        <v>32</v>
      </c>
      <c r="J56" s="1"/>
      <c r="K56" s="7"/>
    </row>
    <row r="57" spans="2:11" x14ac:dyDescent="0.2">
      <c r="B57" s="4" t="s">
        <v>33</v>
      </c>
      <c r="D57" s="7"/>
      <c r="J57" s="1"/>
      <c r="K57" s="7"/>
    </row>
    <row r="58" spans="2:11" x14ac:dyDescent="0.2">
      <c r="B58" s="4" t="s">
        <v>89</v>
      </c>
    </row>
    <row r="59" spans="2:11" x14ac:dyDescent="0.2">
      <c r="B59" s="4" t="s">
        <v>59</v>
      </c>
      <c r="C59" s="6">
        <v>900000</v>
      </c>
      <c r="D59" s="3">
        <v>0.9</v>
      </c>
      <c r="F59" s="6">
        <v>1500000</v>
      </c>
    </row>
    <row r="60" spans="2:11" x14ac:dyDescent="0.2">
      <c r="B60" s="4" t="s">
        <v>62</v>
      </c>
      <c r="C60" s="6"/>
      <c r="D60" s="3"/>
      <c r="F60" s="6"/>
    </row>
    <row r="61" spans="2:11" x14ac:dyDescent="0.2">
      <c r="B61" s="4" t="s">
        <v>60</v>
      </c>
      <c r="C61" s="6">
        <v>250000</v>
      </c>
      <c r="D61" s="3">
        <v>0.1</v>
      </c>
      <c r="F61" s="2">
        <f>C36</f>
        <v>3300000</v>
      </c>
    </row>
    <row r="62" spans="2:11" x14ac:dyDescent="0.2">
      <c r="B62" s="4" t="s">
        <v>63</v>
      </c>
      <c r="D62" s="3"/>
      <c r="F62" s="2">
        <v>300000</v>
      </c>
    </row>
    <row r="63" spans="2:11" x14ac:dyDescent="0.2">
      <c r="B63"/>
      <c r="C63"/>
      <c r="D63"/>
      <c r="E63"/>
      <c r="F63"/>
    </row>
    <row r="64" spans="2:11" x14ac:dyDescent="0.2">
      <c r="B64"/>
      <c r="C64"/>
      <c r="D64"/>
      <c r="E64"/>
      <c r="F64"/>
    </row>
  </sheetData>
  <phoneticPr fontId="3" type="noConversion"/>
  <pageMargins left="0.75" right="0.75" top="1" bottom="1" header="0.5" footer="0.5"/>
  <pageSetup scale="70" orientation="portrait" horizontalDpi="4294967292" verticalDpi="4294967292"/>
  <headerFooter>
    <oddHeader>&amp;LUDP 555: Winter 2006&amp;COPERATING MODEL: BROOKE&amp;RSample Solution 06-6</oddHeader>
    <oddFooter>&amp;R&amp;D &amp;T</oddFooter>
  </headerFooter>
  <ignoredErrors>
    <ignoredError sqref="C31 C4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100"/>
  <sheetViews>
    <sheetView topLeftCell="A16" workbookViewId="0">
      <selection activeCell="D25" sqref="D25"/>
    </sheetView>
  </sheetViews>
  <sheetFormatPr baseColWidth="10" defaultColWidth="12.42578125" defaultRowHeight="14" x14ac:dyDescent="0.2"/>
  <cols>
    <col min="1" max="1" width="39.28515625" style="4" customWidth="1"/>
    <col min="2" max="2" width="12.140625" style="4" customWidth="1"/>
    <col min="3" max="3" width="6.42578125" style="4" customWidth="1"/>
    <col min="4" max="4" width="2.42578125" style="4" customWidth="1"/>
    <col min="5" max="5" width="11.42578125" style="4" customWidth="1"/>
    <col min="6" max="6" width="14" style="4" customWidth="1"/>
    <col min="7" max="7" width="12.42578125" style="4" customWidth="1"/>
    <col min="8" max="8" width="18.7109375" style="4" customWidth="1"/>
    <col min="9" max="10" width="10" style="4" customWidth="1"/>
    <col min="11" max="11" width="9.85546875" style="4" customWidth="1"/>
    <col min="12" max="12" width="10" style="4" customWidth="1"/>
    <col min="13" max="13" width="11.7109375" style="4" customWidth="1"/>
    <col min="14" max="14" width="11.42578125" style="4" customWidth="1"/>
    <col min="15" max="16384" width="12.42578125" style="4"/>
  </cols>
  <sheetData>
    <row r="1" spans="1:7" s="27" customFormat="1" x14ac:dyDescent="0.2">
      <c r="A1" s="12" t="s">
        <v>34</v>
      </c>
      <c r="B1" s="25" t="s">
        <v>35</v>
      </c>
      <c r="C1" s="26" t="s">
        <v>36</v>
      </c>
      <c r="D1" s="26"/>
      <c r="E1" s="26" t="s">
        <v>37</v>
      </c>
      <c r="F1" s="26" t="s">
        <v>38</v>
      </c>
      <c r="G1" s="26" t="s">
        <v>39</v>
      </c>
    </row>
    <row r="2" spans="1:7" x14ac:dyDescent="0.2">
      <c r="A2" s="4" t="s">
        <v>40</v>
      </c>
      <c r="B2" s="1"/>
      <c r="C2" s="7"/>
      <c r="G2" s="2">
        <f>SUM(F3:F6)</f>
        <v>2195992.088</v>
      </c>
    </row>
    <row r="3" spans="1:7" x14ac:dyDescent="0.2">
      <c r="A3" s="4" t="s">
        <v>74</v>
      </c>
      <c r="B3" s="1">
        <f>Data!C3</f>
        <v>37267.200000000004</v>
      </c>
      <c r="C3" s="7" t="s">
        <v>20</v>
      </c>
      <c r="D3" s="4" t="s">
        <v>41</v>
      </c>
      <c r="E3" s="9">
        <f>Data!F8</f>
        <v>20.64</v>
      </c>
      <c r="F3" s="2">
        <f>B3*E3</f>
        <v>769195.00800000015</v>
      </c>
    </row>
    <row r="4" spans="1:7" x14ac:dyDescent="0.2">
      <c r="A4" s="4" t="s">
        <v>52</v>
      </c>
      <c r="B4" s="1">
        <f>Data!C4</f>
        <v>9316.7999999999956</v>
      </c>
      <c r="C4" s="7" t="s">
        <v>20</v>
      </c>
      <c r="D4" s="4" t="s">
        <v>41</v>
      </c>
      <c r="E4" s="9">
        <f>Data!F9</f>
        <v>15.600000000000001</v>
      </c>
      <c r="F4" s="2">
        <f>B4*E4</f>
        <v>145342.07999999996</v>
      </c>
    </row>
    <row r="5" spans="1:7" x14ac:dyDescent="0.2">
      <c r="A5" s="4" t="s">
        <v>128</v>
      </c>
      <c r="B5" s="4">
        <f>Data!C5</f>
        <v>285</v>
      </c>
      <c r="C5" s="7" t="s">
        <v>120</v>
      </c>
      <c r="D5" s="4" t="s">
        <v>41</v>
      </c>
      <c r="E5" s="2">
        <f>Data!F10</f>
        <v>4225</v>
      </c>
      <c r="F5" s="2">
        <f>B5*E5</f>
        <v>1204125</v>
      </c>
    </row>
    <row r="6" spans="1:7" x14ac:dyDescent="0.2">
      <c r="A6" s="4" t="s">
        <v>121</v>
      </c>
      <c r="B6" s="4">
        <f>Data!C6</f>
        <v>4180</v>
      </c>
      <c r="C6" s="7" t="s">
        <v>20</v>
      </c>
      <c r="D6" s="4" t="s">
        <v>41</v>
      </c>
      <c r="E6" s="9">
        <f>Data!F11</f>
        <v>18.5</v>
      </c>
      <c r="F6" s="2">
        <f>B6*E6</f>
        <v>77330</v>
      </c>
    </row>
    <row r="7" spans="1:7" x14ac:dyDescent="0.2">
      <c r="A7" s="4" t="s">
        <v>0</v>
      </c>
      <c r="B7" s="1"/>
      <c r="C7" s="7"/>
      <c r="G7" s="2">
        <f>SUM(F8:F9)</f>
        <v>-49593.354400000011</v>
      </c>
    </row>
    <row r="8" spans="1:7" x14ac:dyDescent="0.2">
      <c r="A8" s="4" t="s">
        <v>119</v>
      </c>
      <c r="B8" s="18">
        <f>Data!C13</f>
        <v>0.05</v>
      </c>
      <c r="C8" s="7"/>
      <c r="D8" s="4" t="s">
        <v>41</v>
      </c>
      <c r="E8" s="2">
        <f>SUM(F3:F4)</f>
        <v>914537.08800000011</v>
      </c>
      <c r="F8" s="5">
        <f>-B8*E8</f>
        <v>-45726.854400000011</v>
      </c>
    </row>
    <row r="9" spans="1:7" x14ac:dyDescent="0.2">
      <c r="A9" s="4" t="s">
        <v>121</v>
      </c>
      <c r="B9" s="18">
        <f>Data!C14</f>
        <v>0.05</v>
      </c>
      <c r="C9" s="7"/>
      <c r="D9" s="4" t="s">
        <v>41</v>
      </c>
      <c r="E9" s="2">
        <f>F6</f>
        <v>77330</v>
      </c>
      <c r="F9" s="5">
        <f>-B9*E9</f>
        <v>-3866.5</v>
      </c>
    </row>
    <row r="10" spans="1:7" x14ac:dyDescent="0.2">
      <c r="A10" s="4" t="s">
        <v>1</v>
      </c>
      <c r="B10" s="1"/>
      <c r="C10" s="7"/>
      <c r="F10" s="5"/>
      <c r="G10" s="2">
        <f>SUM(F11:F14)</f>
        <v>-297485.66934399999</v>
      </c>
    </row>
    <row r="11" spans="1:7" x14ac:dyDescent="0.2">
      <c r="A11" s="4" t="s">
        <v>5</v>
      </c>
      <c r="B11" s="1">
        <f>Data!$C$3</f>
        <v>37267.200000000004</v>
      </c>
      <c r="C11" s="7" t="s">
        <v>42</v>
      </c>
      <c r="D11" s="4" t="s">
        <v>41</v>
      </c>
      <c r="E11" s="9">
        <f>Data!C16</f>
        <v>5.5</v>
      </c>
      <c r="F11" s="5">
        <f>-B11*E11</f>
        <v>-204969.60000000003</v>
      </c>
    </row>
    <row r="12" spans="1:7" x14ac:dyDescent="0.2">
      <c r="A12" s="4" t="s">
        <v>90</v>
      </c>
      <c r="B12" s="1">
        <f>Data!$C$4</f>
        <v>9316.7999999999956</v>
      </c>
      <c r="C12" s="7" t="s">
        <v>42</v>
      </c>
      <c r="D12" s="4" t="s">
        <v>41</v>
      </c>
      <c r="E12" s="9">
        <f>Data!$C$17</f>
        <v>5.4</v>
      </c>
      <c r="F12" s="5">
        <f>-B12*E12</f>
        <v>-50310.719999999979</v>
      </c>
    </row>
    <row r="13" spans="1:7" x14ac:dyDescent="0.2">
      <c r="A13" s="4" t="s">
        <v>121</v>
      </c>
      <c r="B13" s="1">
        <f>Data!C6</f>
        <v>4180</v>
      </c>
      <c r="C13" s="7" t="s">
        <v>20</v>
      </c>
      <c r="D13" s="4" t="s">
        <v>41</v>
      </c>
      <c r="E13" s="9">
        <f>Data!$F$18</f>
        <v>1.08</v>
      </c>
      <c r="F13" s="5">
        <f>-B13*E13</f>
        <v>-4514.4000000000005</v>
      </c>
    </row>
    <row r="14" spans="1:7" ht="15" thickBot="1" x14ac:dyDescent="0.25">
      <c r="A14" s="4" t="s">
        <v>2</v>
      </c>
      <c r="B14" s="18">
        <f>Data!C19</f>
        <v>0.04</v>
      </c>
      <c r="C14" s="7"/>
      <c r="D14" s="4" t="s">
        <v>41</v>
      </c>
      <c r="E14" s="2">
        <f>SUM(F3:F4)+F6+G7</f>
        <v>942273.73360000015</v>
      </c>
      <c r="F14" s="5">
        <f>-B14*E14</f>
        <v>-37690.949344000008</v>
      </c>
    </row>
    <row r="15" spans="1:7" x14ac:dyDescent="0.2">
      <c r="A15" s="4" t="s">
        <v>43</v>
      </c>
      <c r="B15" s="1"/>
      <c r="C15" s="7"/>
      <c r="G15" s="19">
        <f>SUM(G2:G14)</f>
        <v>1848913.0642559999</v>
      </c>
    </row>
    <row r="16" spans="1:7" x14ac:dyDescent="0.2">
      <c r="B16" s="1"/>
      <c r="C16" s="7"/>
      <c r="G16" s="10"/>
    </row>
    <row r="17" spans="1:7" x14ac:dyDescent="0.2">
      <c r="A17" s="4" t="s">
        <v>44</v>
      </c>
      <c r="B17" s="1"/>
      <c r="C17" s="7"/>
    </row>
    <row r="18" spans="1:7" x14ac:dyDescent="0.2">
      <c r="A18" s="4" t="s">
        <v>45</v>
      </c>
      <c r="B18" s="1"/>
      <c r="C18" s="7"/>
      <c r="F18" s="2">
        <f>G15</f>
        <v>1848913.0642559999</v>
      </c>
    </row>
    <row r="19" spans="1:7" x14ac:dyDescent="0.2">
      <c r="A19" s="4" t="s">
        <v>46</v>
      </c>
      <c r="B19" s="6">
        <f>G15</f>
        <v>1848913.0642559999</v>
      </c>
      <c r="C19" s="7"/>
      <c r="D19" s="4" t="s">
        <v>41</v>
      </c>
      <c r="E19" s="4">
        <f>Data!C21</f>
        <v>1.2</v>
      </c>
      <c r="F19" s="2">
        <f>B19/E19</f>
        <v>1540760.8868799999</v>
      </c>
    </row>
    <row r="20" spans="1:7" x14ac:dyDescent="0.2">
      <c r="A20" s="4" t="s">
        <v>47</v>
      </c>
      <c r="B20" s="6">
        <f>F19</f>
        <v>1540760.8868799999</v>
      </c>
      <c r="C20" s="7"/>
      <c r="D20" s="4" t="s">
        <v>41</v>
      </c>
      <c r="E20" s="20">
        <f>Data!C24</f>
        <v>9.997078225380579E-2</v>
      </c>
      <c r="F20" s="2">
        <f>B20/E20</f>
        <v>15412111.940549957</v>
      </c>
    </row>
    <row r="21" spans="1:7" x14ac:dyDescent="0.2">
      <c r="A21" s="4" t="s">
        <v>48</v>
      </c>
      <c r="B21" s="1"/>
      <c r="C21" s="7"/>
    </row>
    <row r="22" spans="1:7" x14ac:dyDescent="0.2">
      <c r="A22" s="4" t="s">
        <v>49</v>
      </c>
      <c r="B22" s="6">
        <f>F18</f>
        <v>1848913.0642559999</v>
      </c>
      <c r="C22" s="7"/>
      <c r="D22" s="4" t="s">
        <v>41</v>
      </c>
      <c r="E22" s="14">
        <f>Data!C25</f>
        <v>8.5000000000000006E-2</v>
      </c>
      <c r="F22" s="2">
        <f>B22/E22</f>
        <v>21751918.403011762</v>
      </c>
    </row>
    <row r="23" spans="1:7" x14ac:dyDescent="0.2">
      <c r="A23" s="4" t="s">
        <v>47</v>
      </c>
      <c r="B23" s="6">
        <f>F22</f>
        <v>21751918.403011762</v>
      </c>
      <c r="C23" s="7"/>
      <c r="D23" s="4" t="s">
        <v>41</v>
      </c>
      <c r="E23" s="3">
        <f>Data!C26</f>
        <v>0.8</v>
      </c>
      <c r="F23" s="2">
        <f>B23*E23</f>
        <v>17401534.722409409</v>
      </c>
    </row>
    <row r="24" spans="1:7" x14ac:dyDescent="0.2">
      <c r="A24" s="4" t="s">
        <v>73</v>
      </c>
      <c r="B24" s="1"/>
      <c r="C24" s="7"/>
      <c r="G24" s="2">
        <f>MIN(F20,F23)</f>
        <v>15412111.940549957</v>
      </c>
    </row>
    <row r="25" spans="1:7" x14ac:dyDescent="0.2">
      <c r="A25" s="4" t="s">
        <v>50</v>
      </c>
      <c r="B25" s="1"/>
      <c r="C25" s="7"/>
      <c r="G25" s="2">
        <f>G15-(G24*E20)</f>
        <v>308152.17737599998</v>
      </c>
    </row>
    <row r="26" spans="1:7" x14ac:dyDescent="0.2">
      <c r="A26" s="4" t="s">
        <v>108</v>
      </c>
      <c r="B26" s="1"/>
      <c r="C26" s="7"/>
      <c r="G26" s="2"/>
    </row>
    <row r="27" spans="1:7" x14ac:dyDescent="0.2">
      <c r="A27" s="4" t="s">
        <v>109</v>
      </c>
      <c r="B27" s="6">
        <f>G48</f>
        <v>18064392.494405501</v>
      </c>
      <c r="C27" s="7"/>
      <c r="D27" s="4" t="s">
        <v>41</v>
      </c>
      <c r="E27" s="3">
        <f>Data!C27</f>
        <v>0.75</v>
      </c>
      <c r="F27" s="6">
        <f>B27*E27</f>
        <v>13548294.370804125</v>
      </c>
      <c r="G27" s="2"/>
    </row>
    <row r="28" spans="1:7" x14ac:dyDescent="0.2">
      <c r="A28" s="4" t="s">
        <v>110</v>
      </c>
      <c r="B28" s="1"/>
      <c r="C28" s="7"/>
      <c r="G28" s="2">
        <v>4343434</v>
      </c>
    </row>
    <row r="29" spans="1:7" x14ac:dyDescent="0.2">
      <c r="B29" s="1"/>
      <c r="C29" s="7"/>
      <c r="G29" s="2"/>
    </row>
    <row r="30" spans="1:7" x14ac:dyDescent="0.2">
      <c r="A30" s="4" t="s">
        <v>51</v>
      </c>
      <c r="B30" s="1"/>
      <c r="C30" s="7"/>
    </row>
    <row r="31" spans="1:7" x14ac:dyDescent="0.2">
      <c r="A31" s="4" t="s">
        <v>14</v>
      </c>
      <c r="B31" s="1"/>
      <c r="C31" s="7"/>
      <c r="G31" s="21">
        <f>Data!C36</f>
        <v>3300000</v>
      </c>
    </row>
    <row r="32" spans="1:7" x14ac:dyDescent="0.2">
      <c r="A32" s="4" t="s">
        <v>53</v>
      </c>
      <c r="B32" s="1"/>
      <c r="C32" s="7"/>
      <c r="G32" s="2">
        <f>SUM(F33:F36)</f>
        <v>10654150</v>
      </c>
    </row>
    <row r="33" spans="1:7" x14ac:dyDescent="0.2">
      <c r="A33" s="4" t="s">
        <v>75</v>
      </c>
      <c r="B33" s="1"/>
      <c r="C33" s="7"/>
      <c r="E33" s="11"/>
      <c r="F33" s="2">
        <f>Data!C38</f>
        <v>280000</v>
      </c>
    </row>
    <row r="34" spans="1:7" x14ac:dyDescent="0.2">
      <c r="A34" s="4" t="s">
        <v>119</v>
      </c>
      <c r="B34" s="1">
        <f>Data!H2</f>
        <v>58075</v>
      </c>
      <c r="C34" s="7" t="s">
        <v>20</v>
      </c>
      <c r="D34" s="4" t="s">
        <v>41</v>
      </c>
      <c r="E34" s="28">
        <f>Data!$C$39*(1+Data!$C$37)</f>
        <v>113</v>
      </c>
      <c r="F34" s="2">
        <f>B34*E34</f>
        <v>6562475</v>
      </c>
    </row>
    <row r="35" spans="1:7" x14ac:dyDescent="0.2">
      <c r="A35" s="4" t="s">
        <v>128</v>
      </c>
      <c r="B35" s="1">
        <f>Data!H5</f>
        <v>100105</v>
      </c>
      <c r="C35" s="7" t="s">
        <v>20</v>
      </c>
      <c r="D35" s="4" t="s">
        <v>41</v>
      </c>
      <c r="E35" s="28">
        <f>Data!$C$40*(1+Data!$C$37)</f>
        <v>35</v>
      </c>
      <c r="F35" s="2">
        <f>B35*E35</f>
        <v>3503675</v>
      </c>
    </row>
    <row r="36" spans="1:7" x14ac:dyDescent="0.2">
      <c r="A36" s="4" t="s">
        <v>121</v>
      </c>
      <c r="B36" s="1">
        <f>Data!H6</f>
        <v>4400</v>
      </c>
      <c r="C36" s="7" t="s">
        <v>20</v>
      </c>
      <c r="D36" s="4" t="s">
        <v>41</v>
      </c>
      <c r="E36" s="28">
        <f>Data!$C$41*(1+Data!$C$37)</f>
        <v>70</v>
      </c>
      <c r="F36" s="2">
        <f>B36*E36</f>
        <v>308000</v>
      </c>
    </row>
    <row r="37" spans="1:7" x14ac:dyDescent="0.2">
      <c r="A37" s="4" t="s">
        <v>54</v>
      </c>
      <c r="B37" s="1"/>
      <c r="C37" s="7"/>
      <c r="E37" s="17"/>
      <c r="G37" s="2">
        <f>SUM(F38:F42)</f>
        <v>2412928.6350000002</v>
      </c>
    </row>
    <row r="38" spans="1:7" x14ac:dyDescent="0.2">
      <c r="A38" s="4" t="s">
        <v>55</v>
      </c>
      <c r="B38" s="6">
        <f>G32</f>
        <v>10654150</v>
      </c>
      <c r="C38" s="7"/>
      <c r="D38" s="4" t="s">
        <v>41</v>
      </c>
      <c r="E38" s="8">
        <f>Data!C43</f>
        <v>8.7900000000000006E-2</v>
      </c>
      <c r="F38" s="2">
        <f>B38*E38</f>
        <v>936499.78500000003</v>
      </c>
    </row>
    <row r="39" spans="1:7" x14ac:dyDescent="0.2">
      <c r="A39" s="4" t="s">
        <v>56</v>
      </c>
      <c r="B39" s="6"/>
      <c r="C39" s="7"/>
      <c r="E39" s="8"/>
      <c r="F39" s="2">
        <f>Data!C44</f>
        <v>599000</v>
      </c>
    </row>
    <row r="40" spans="1:7" x14ac:dyDescent="0.2">
      <c r="A40" s="4" t="s">
        <v>57</v>
      </c>
      <c r="B40" s="6">
        <f>$G$32</f>
        <v>10654150</v>
      </c>
      <c r="C40" s="7"/>
      <c r="D40" s="4" t="s">
        <v>41</v>
      </c>
      <c r="E40" s="8">
        <f>Data!C45</f>
        <v>0.05</v>
      </c>
      <c r="F40" s="2">
        <f>MIN((B40*E40),Data!$F$45)</f>
        <v>475000</v>
      </c>
    </row>
    <row r="41" spans="1:7" x14ac:dyDescent="0.2">
      <c r="A41" s="4" t="s">
        <v>58</v>
      </c>
      <c r="B41" s="6"/>
      <c r="C41" s="7"/>
      <c r="E41" s="8"/>
      <c r="F41" s="2">
        <f>Data!C46</f>
        <v>200000</v>
      </c>
    </row>
    <row r="42" spans="1:7" x14ac:dyDescent="0.2">
      <c r="A42" s="4" t="s">
        <v>64</v>
      </c>
      <c r="B42" s="6">
        <f>$G$32</f>
        <v>10654150</v>
      </c>
      <c r="C42" s="7"/>
      <c r="D42" s="4" t="s">
        <v>41</v>
      </c>
      <c r="E42" s="8">
        <f>Data!C53</f>
        <v>1.9E-2</v>
      </c>
      <c r="F42" s="2">
        <f>B42*E42</f>
        <v>202428.85</v>
      </c>
    </row>
    <row r="43" spans="1:7" x14ac:dyDescent="0.2">
      <c r="A43" s="4" t="s">
        <v>65</v>
      </c>
      <c r="B43" s="6"/>
      <c r="C43" s="7"/>
      <c r="E43" s="17"/>
      <c r="F43" s="2"/>
      <c r="G43" s="2">
        <f>SUM(F44:F46)</f>
        <v>631898.85940549953</v>
      </c>
    </row>
    <row r="44" spans="1:7" x14ac:dyDescent="0.2">
      <c r="A44" s="4" t="s">
        <v>66</v>
      </c>
      <c r="B44" s="6">
        <f>G28</f>
        <v>4343434</v>
      </c>
      <c r="C44" s="7"/>
      <c r="D44" s="4" t="s">
        <v>41</v>
      </c>
      <c r="E44" s="8">
        <f>Data!C32</f>
        <v>0.02</v>
      </c>
      <c r="F44" s="6">
        <f>B44*E44</f>
        <v>86868.680000000008</v>
      </c>
    </row>
    <row r="45" spans="1:7" x14ac:dyDescent="0.2">
      <c r="A45" s="4" t="s">
        <v>67</v>
      </c>
      <c r="B45" s="6">
        <f>G28</f>
        <v>4343434</v>
      </c>
      <c r="C45" s="7"/>
      <c r="D45" s="4" t="s">
        <v>41</v>
      </c>
      <c r="E45" s="8">
        <f>Data!C33</f>
        <v>0.09</v>
      </c>
      <c r="F45" s="6">
        <f>B45*E45</f>
        <v>390909.06</v>
      </c>
    </row>
    <row r="46" spans="1:7" x14ac:dyDescent="0.2">
      <c r="A46" s="4" t="s">
        <v>68</v>
      </c>
      <c r="B46" s="6">
        <f>G24</f>
        <v>15412111.940549957</v>
      </c>
      <c r="C46" s="7"/>
      <c r="D46" s="4" t="s">
        <v>41</v>
      </c>
      <c r="E46" s="8">
        <f>Data!C28</f>
        <v>0.01</v>
      </c>
      <c r="F46" s="6">
        <f>B46*E46</f>
        <v>154121.11940549957</v>
      </c>
    </row>
    <row r="47" spans="1:7" ht="15" thickBot="1" x14ac:dyDescent="0.25">
      <c r="A47" s="4" t="s">
        <v>30</v>
      </c>
      <c r="B47" s="6">
        <f>G32</f>
        <v>10654150</v>
      </c>
      <c r="C47" s="7"/>
      <c r="D47" s="4" t="s">
        <v>41</v>
      </c>
      <c r="E47" s="8">
        <f>Data!C55</f>
        <v>0.1</v>
      </c>
      <c r="G47" s="2">
        <f>B47*E47</f>
        <v>1065415</v>
      </c>
    </row>
    <row r="48" spans="1:7" x14ac:dyDescent="0.2">
      <c r="A48" s="4" t="s">
        <v>69</v>
      </c>
      <c r="B48" s="1"/>
      <c r="C48" s="7"/>
      <c r="G48" s="19">
        <f>SUM(G31:G47)</f>
        <v>18064392.494405501</v>
      </c>
    </row>
    <row r="49" spans="1:14" x14ac:dyDescent="0.2">
      <c r="B49" s="1"/>
      <c r="C49" s="7"/>
    </row>
    <row r="50" spans="1:14" x14ac:dyDescent="0.2">
      <c r="A50" s="4" t="s">
        <v>92</v>
      </c>
    </row>
    <row r="51" spans="1:14" x14ac:dyDescent="0.2">
      <c r="A51" s="4" t="s">
        <v>94</v>
      </c>
      <c r="F51" s="2">
        <f>$G$28</f>
        <v>4343434</v>
      </c>
    </row>
    <row r="52" spans="1:14" x14ac:dyDescent="0.2">
      <c r="A52" s="4" t="s">
        <v>93</v>
      </c>
      <c r="F52" s="2">
        <f>G48-F51</f>
        <v>13720958.494405501</v>
      </c>
      <c r="N52" s="14"/>
    </row>
    <row r="53" spans="1:14" x14ac:dyDescent="0.2">
      <c r="A53" s="4" t="s">
        <v>95</v>
      </c>
      <c r="E53" s="21">
        <f>MIN((F52-E54),Data!F59)</f>
        <v>1500000</v>
      </c>
      <c r="N53" s="14"/>
    </row>
    <row r="54" spans="1:14" x14ac:dyDescent="0.2">
      <c r="A54" s="4" t="s">
        <v>112</v>
      </c>
      <c r="E54" s="2">
        <f>G31</f>
        <v>3300000</v>
      </c>
      <c r="N54" s="14"/>
    </row>
    <row r="55" spans="1:14" x14ac:dyDescent="0.2">
      <c r="A55" s="4" t="s">
        <v>106</v>
      </c>
      <c r="E55" s="2">
        <f>F52-SUM(E53:E54)</f>
        <v>8920958.4944055006</v>
      </c>
      <c r="N55" s="14"/>
    </row>
    <row r="56" spans="1:14" s="12" customFormat="1" x14ac:dyDescent="0.2">
      <c r="A56" s="12" t="s">
        <v>96</v>
      </c>
      <c r="G56" s="31">
        <f>F51+SUM(E53:E55)</f>
        <v>18064392.494405501</v>
      </c>
      <c r="H56" s="32"/>
    </row>
    <row r="57" spans="1:14" s="12" customFormat="1" x14ac:dyDescent="0.2">
      <c r="A57" s="12" t="s">
        <v>111</v>
      </c>
      <c r="E57" s="34">
        <f>G48-G56</f>
        <v>0</v>
      </c>
      <c r="G57" s="31"/>
      <c r="H57" s="32"/>
    </row>
    <row r="58" spans="1:14" x14ac:dyDescent="0.2">
      <c r="J58" s="2"/>
      <c r="K58" s="2"/>
      <c r="L58" s="2"/>
      <c r="M58" s="2"/>
      <c r="N58" s="2"/>
    </row>
    <row r="59" spans="1:14" x14ac:dyDescent="0.2">
      <c r="A59" s="4" t="s">
        <v>61</v>
      </c>
      <c r="B59" s="38">
        <f>F22-G48</f>
        <v>3687525.908606261</v>
      </c>
      <c r="E59" s="39">
        <f>B59/G48</f>
        <v>0.20413229560574922</v>
      </c>
      <c r="J59" s="2"/>
      <c r="K59" s="2"/>
      <c r="L59" s="2"/>
      <c r="M59" s="2"/>
      <c r="N59" s="2"/>
    </row>
    <row r="60" spans="1:14" x14ac:dyDescent="0.2">
      <c r="A60" s="4" t="s">
        <v>103</v>
      </c>
      <c r="B60" s="2">
        <f>G25-B61</f>
        <v>52336.959638399974</v>
      </c>
      <c r="E60" s="15">
        <f>B60/E53</f>
        <v>3.4891306425599983E-2</v>
      </c>
      <c r="J60" s="2"/>
      <c r="K60" s="2"/>
      <c r="L60" s="2"/>
      <c r="M60" s="2"/>
      <c r="N60" s="2"/>
    </row>
    <row r="61" spans="1:14" x14ac:dyDescent="0.2">
      <c r="A61" s="4" t="s">
        <v>104</v>
      </c>
      <c r="B61" s="2">
        <f>IF(G25&gt;Data!$C$61,Data!$C$61+((Proforma!G25-Data!$C$61)*Data!$D$61),Proforma!G25)</f>
        <v>255815.2177376</v>
      </c>
      <c r="E61" s="15">
        <f>B61/(E54+E57)</f>
        <v>7.7519762950787885E-2</v>
      </c>
      <c r="J61" s="2"/>
      <c r="K61" s="2"/>
      <c r="L61" s="2"/>
      <c r="M61" s="2"/>
      <c r="N61" s="2"/>
    </row>
    <row r="62" spans="1:14" x14ac:dyDescent="0.2">
      <c r="I62" s="22"/>
      <c r="J62" s="10"/>
      <c r="K62" s="10"/>
      <c r="L62" s="10"/>
      <c r="M62" s="10"/>
      <c r="N62" s="10"/>
    </row>
    <row r="63" spans="1:14" ht="15" thickBot="1" x14ac:dyDescent="0.25">
      <c r="I63" s="22"/>
      <c r="J63" s="10"/>
      <c r="K63" s="10"/>
      <c r="L63" s="10"/>
      <c r="M63" s="10"/>
      <c r="N63" s="10"/>
    </row>
    <row r="64" spans="1:14" x14ac:dyDescent="0.2">
      <c r="I64" s="19"/>
      <c r="J64" s="19"/>
      <c r="K64" s="19"/>
      <c r="L64" s="19"/>
      <c r="M64" s="19"/>
      <c r="N64" s="19"/>
    </row>
    <row r="65" spans="9:14" x14ac:dyDescent="0.2">
      <c r="I65" s="23"/>
      <c r="J65" s="23"/>
      <c r="K65" s="23"/>
      <c r="L65" s="23"/>
      <c r="M65" s="23"/>
      <c r="N65" s="23"/>
    </row>
    <row r="66" spans="9:14" x14ac:dyDescent="0.2">
      <c r="I66" s="2"/>
      <c r="J66" s="2"/>
      <c r="K66" s="2"/>
      <c r="L66" s="2"/>
      <c r="M66" s="2"/>
      <c r="N66" s="2"/>
    </row>
    <row r="67" spans="9:14" x14ac:dyDescent="0.2">
      <c r="I67" s="2"/>
      <c r="J67" s="2"/>
      <c r="K67" s="2"/>
      <c r="L67" s="2"/>
      <c r="M67" s="2"/>
      <c r="N67" s="2"/>
    </row>
    <row r="68" spans="9:14" x14ac:dyDescent="0.2">
      <c r="I68" s="23"/>
      <c r="J68" s="23"/>
      <c r="K68" s="23"/>
      <c r="L68" s="23"/>
      <c r="M68" s="23"/>
      <c r="N68" s="23"/>
    </row>
    <row r="69" spans="9:14" x14ac:dyDescent="0.2">
      <c r="I69" s="2"/>
      <c r="J69" s="2"/>
      <c r="K69" s="2"/>
      <c r="L69" s="2"/>
      <c r="M69" s="2"/>
      <c r="N69" s="2"/>
    </row>
    <row r="72" spans="9:14" x14ac:dyDescent="0.2">
      <c r="I72" s="2"/>
      <c r="J72" s="2"/>
      <c r="K72" s="2"/>
      <c r="L72" s="2"/>
      <c r="M72" s="2"/>
      <c r="N72" s="2"/>
    </row>
    <row r="73" spans="9:14" x14ac:dyDescent="0.2">
      <c r="I73" s="2"/>
      <c r="J73" s="2"/>
      <c r="K73" s="2"/>
      <c r="L73" s="2"/>
      <c r="M73" s="2"/>
      <c r="N73" s="2"/>
    </row>
    <row r="74" spans="9:14" ht="15" thickBot="1" x14ac:dyDescent="0.25">
      <c r="I74" s="24"/>
      <c r="J74" s="24"/>
      <c r="K74" s="24"/>
      <c r="L74" s="24"/>
      <c r="M74" s="24"/>
      <c r="N74" s="24"/>
    </row>
    <row r="75" spans="9:14" x14ac:dyDescent="0.2">
      <c r="I75" s="2"/>
      <c r="J75" s="2"/>
      <c r="K75" s="2"/>
      <c r="L75" s="2"/>
      <c r="M75" s="2"/>
      <c r="N75" s="2"/>
    </row>
    <row r="76" spans="9:14" x14ac:dyDescent="0.2">
      <c r="I76" s="2"/>
      <c r="J76" s="2"/>
      <c r="K76" s="2"/>
      <c r="L76" s="2"/>
      <c r="M76" s="2"/>
      <c r="N76" s="2"/>
    </row>
    <row r="77" spans="9:14" ht="15" thickBot="1" x14ac:dyDescent="0.25">
      <c r="I77" s="24"/>
      <c r="J77" s="24"/>
      <c r="K77" s="24"/>
      <c r="L77" s="24"/>
      <c r="M77" s="24"/>
      <c r="N77" s="24"/>
    </row>
    <row r="78" spans="9:14" x14ac:dyDescent="0.2">
      <c r="I78" s="2"/>
      <c r="J78" s="2"/>
      <c r="K78" s="2"/>
      <c r="L78" s="2"/>
      <c r="M78" s="2"/>
      <c r="N78" s="2"/>
    </row>
    <row r="79" spans="9:14" x14ac:dyDescent="0.2">
      <c r="I79" s="2"/>
      <c r="J79" s="2"/>
      <c r="K79" s="2"/>
      <c r="L79" s="2"/>
      <c r="M79" s="2"/>
      <c r="N79" s="2"/>
    </row>
    <row r="82" spans="9:14" x14ac:dyDescent="0.2">
      <c r="I82" s="2"/>
      <c r="J82" s="2"/>
      <c r="K82" s="2"/>
      <c r="L82" s="2"/>
      <c r="M82" s="2"/>
      <c r="N82" s="2"/>
    </row>
    <row r="83" spans="9:14" x14ac:dyDescent="0.2">
      <c r="I83" s="2"/>
      <c r="J83" s="2"/>
      <c r="K83" s="2"/>
      <c r="L83" s="2"/>
      <c r="M83" s="2"/>
      <c r="N83" s="2"/>
    </row>
    <row r="84" spans="9:14" ht="15" thickBot="1" x14ac:dyDescent="0.25">
      <c r="I84" s="24"/>
      <c r="J84" s="24"/>
      <c r="K84" s="24"/>
      <c r="L84" s="24"/>
      <c r="M84" s="24"/>
      <c r="N84" s="24"/>
    </row>
    <row r="85" spans="9:14" x14ac:dyDescent="0.2">
      <c r="I85" s="2"/>
      <c r="J85" s="2"/>
      <c r="K85" s="2"/>
      <c r="L85" s="2"/>
      <c r="M85" s="2"/>
      <c r="N85" s="2"/>
    </row>
    <row r="86" spans="9:14" x14ac:dyDescent="0.2">
      <c r="I86" s="2"/>
      <c r="J86" s="2"/>
      <c r="K86" s="2"/>
      <c r="L86" s="2"/>
      <c r="M86" s="2"/>
      <c r="N86" s="2"/>
    </row>
    <row r="87" spans="9:14" ht="15" thickBot="1" x14ac:dyDescent="0.25">
      <c r="I87" s="24"/>
      <c r="J87" s="24"/>
      <c r="K87" s="24"/>
      <c r="L87" s="24"/>
      <c r="M87" s="24"/>
      <c r="N87" s="24"/>
    </row>
    <row r="88" spans="9:14" x14ac:dyDescent="0.2">
      <c r="I88" s="2"/>
      <c r="J88" s="2"/>
      <c r="K88" s="2"/>
      <c r="L88" s="2"/>
      <c r="M88" s="2"/>
      <c r="N88" s="2"/>
    </row>
    <row r="89" spans="9:14" x14ac:dyDescent="0.2">
      <c r="I89" s="2"/>
      <c r="J89" s="2"/>
      <c r="K89" s="2"/>
      <c r="L89" s="2"/>
      <c r="M89" s="2"/>
      <c r="N89" s="2"/>
    </row>
    <row r="91" spans="9:14" x14ac:dyDescent="0.2">
      <c r="M91" s="2"/>
      <c r="N91" s="2"/>
    </row>
    <row r="92" spans="9:14" ht="15" thickBot="1" x14ac:dyDescent="0.25">
      <c r="M92" s="2"/>
      <c r="N92" s="2"/>
    </row>
    <row r="93" spans="9:14" x14ac:dyDescent="0.2">
      <c r="M93" s="19"/>
      <c r="N93" s="2"/>
    </row>
    <row r="94" spans="9:14" ht="15" thickBot="1" x14ac:dyDescent="0.25">
      <c r="M94" s="2"/>
      <c r="N94" s="2"/>
    </row>
    <row r="95" spans="9:14" x14ac:dyDescent="0.2">
      <c r="M95" s="19"/>
      <c r="N95" s="2"/>
    </row>
    <row r="96" spans="9:14" x14ac:dyDescent="0.2">
      <c r="M96" s="2"/>
      <c r="N96" s="2"/>
    </row>
    <row r="97" spans="13:14" x14ac:dyDescent="0.2">
      <c r="M97" s="2"/>
      <c r="N97" s="2"/>
    </row>
    <row r="98" spans="13:14" x14ac:dyDescent="0.2">
      <c r="M98" s="2"/>
      <c r="N98" s="2"/>
    </row>
    <row r="99" spans="13:14" x14ac:dyDescent="0.2">
      <c r="M99" s="2"/>
      <c r="N99" s="2"/>
    </row>
    <row r="100" spans="13:14" x14ac:dyDescent="0.2">
      <c r="M100" s="2"/>
      <c r="N100" s="2"/>
    </row>
  </sheetData>
  <phoneticPr fontId="3" type="noConversion"/>
  <printOptions horizontalCentered="1" verticalCentered="1"/>
  <pageMargins left="0.75" right="0.75" top="1" bottom="1" header="0.5" footer="0.5"/>
  <pageSetup paperSize="0" scale="73" orientation="portrait" horizontalDpi="4294967292" verticalDpi="4294967292"/>
  <headerFooter>
    <oddHeader>&amp;LUDP 555: Winter 2006&amp;COPERATING MODEL: BROOKE&amp;RSample Solution 06-6</oddHeader>
    <oddFooter>&amp;R&amp;D &amp;T_x000D_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Proforma</vt:lpstr>
    </vt:vector>
  </TitlesOfParts>
  <Company>UWCAUP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MicroComputer Manager</dc:creator>
  <cp:lastModifiedBy>Microsoft Office User</cp:lastModifiedBy>
  <cp:lastPrinted>2006-02-23T05:30:03Z</cp:lastPrinted>
  <dcterms:created xsi:type="dcterms:W3CDTF">1999-09-28T15:30:46Z</dcterms:created>
  <dcterms:modified xsi:type="dcterms:W3CDTF">2018-03-12T20:19:47Z</dcterms:modified>
</cp:coreProperties>
</file>