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Class1-000\Desktop\"/>
    </mc:Choice>
  </mc:AlternateContent>
  <xr:revisionPtr revIDLastSave="0" documentId="13_ncr:1_{55169C11-397B-4D30-A875-4B1F4288696D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사출원가분석" sheetId="1" r:id="rId1"/>
    <sheet name="사출견적서양식" sheetId="2" r:id="rId2"/>
  </sheets>
  <definedNames>
    <definedName name="ABS">사출원가분석!$AV$5:$AV$8</definedName>
    <definedName name="PE">사출원가분석!$AX$5:$AX$8</definedName>
    <definedName name="PP">사출원가분석!$AW$5:$AW$8</definedName>
    <definedName name="_xlnm.Print_Area" localSheetId="1">사출견적서양식!$B$2:$O$41</definedName>
    <definedName name="SAN">사출원가분석!$AY$5:$AY$8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P7" i="1" s="1"/>
  <c r="O8" i="1"/>
  <c r="O9" i="1"/>
  <c r="O10" i="1"/>
  <c r="O11" i="1"/>
  <c r="P11" i="1" s="1"/>
  <c r="O12" i="1"/>
  <c r="O13" i="1"/>
  <c r="O14" i="1"/>
  <c r="O15" i="1"/>
  <c r="P15" i="1" s="1"/>
  <c r="O16" i="1"/>
  <c r="O17" i="1"/>
  <c r="O5" i="1"/>
  <c r="H6" i="1"/>
  <c r="H7" i="1"/>
  <c r="H8" i="1"/>
  <c r="J8" i="1" s="1"/>
  <c r="H9" i="1"/>
  <c r="H10" i="1"/>
  <c r="H11" i="1"/>
  <c r="H12" i="1"/>
  <c r="J12" i="1" s="1"/>
  <c r="H13" i="1"/>
  <c r="H14" i="1"/>
  <c r="H15" i="1"/>
  <c r="H16" i="1"/>
  <c r="J16" i="1" s="1"/>
  <c r="H17" i="1"/>
  <c r="H5" i="1"/>
  <c r="I6" i="1"/>
  <c r="I7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N6" i="1"/>
  <c r="N7" i="1"/>
  <c r="N8" i="1"/>
  <c r="P8" i="1" s="1"/>
  <c r="N9" i="1"/>
  <c r="P9" i="1"/>
  <c r="N10" i="1"/>
  <c r="N11" i="1"/>
  <c r="N12" i="1"/>
  <c r="P12" i="1"/>
  <c r="N13" i="1"/>
  <c r="P13" i="1"/>
  <c r="N14" i="1"/>
  <c r="N15" i="1"/>
  <c r="N16" i="1"/>
  <c r="P16" i="1"/>
  <c r="N17" i="1"/>
  <c r="P17" i="1" s="1"/>
  <c r="Q15" i="1" l="1"/>
  <c r="Q11" i="1"/>
  <c r="J7" i="1"/>
  <c r="Q7" i="1" s="1"/>
  <c r="P14" i="1"/>
  <c r="R14" i="1" s="1"/>
  <c r="S14" i="1" s="1"/>
  <c r="P10" i="1"/>
  <c r="Q10" i="1" s="1"/>
  <c r="P6" i="1"/>
  <c r="Q16" i="1"/>
  <c r="Q9" i="1"/>
  <c r="J6" i="1"/>
  <c r="Q17" i="1"/>
  <c r="Q13" i="1"/>
  <c r="R17" i="1"/>
  <c r="S17" i="1" s="1"/>
  <c r="T17" i="1" s="1"/>
  <c r="R13" i="1"/>
  <c r="S13" i="1" s="1"/>
  <c r="T13" i="1" s="1"/>
  <c r="R9" i="1"/>
  <c r="S9" i="1" s="1"/>
  <c r="T9" i="1" s="1"/>
  <c r="Q8" i="1"/>
  <c r="R10" i="1"/>
  <c r="S10" i="1" s="1"/>
  <c r="T10" i="1" s="1"/>
  <c r="Q12" i="1"/>
  <c r="R16" i="1"/>
  <c r="S16" i="1" s="1"/>
  <c r="T16" i="1" s="1"/>
  <c r="R15" i="1"/>
  <c r="S15" i="1" s="1"/>
  <c r="T15" i="1" s="1"/>
  <c r="U15" i="1" s="1"/>
  <c r="R11" i="1"/>
  <c r="S11" i="1" s="1"/>
  <c r="T11" i="1" s="1"/>
  <c r="U11" i="1" s="1"/>
  <c r="AT6" i="1"/>
  <c r="I5" i="1" s="1"/>
  <c r="J5" i="1" s="1"/>
  <c r="AT7" i="1"/>
  <c r="AT8" i="1"/>
  <c r="AT9" i="1"/>
  <c r="AT10" i="1"/>
  <c r="AT11" i="1"/>
  <c r="AT12" i="1"/>
  <c r="AT13" i="1"/>
  <c r="AT14" i="1"/>
  <c r="AT15" i="1"/>
  <c r="AT16" i="1"/>
  <c r="AT5" i="1"/>
  <c r="R38" i="2"/>
  <c r="S35" i="2"/>
  <c r="S36" i="2" s="1"/>
  <c r="S38" i="2" s="1"/>
  <c r="M35" i="2"/>
  <c r="R32" i="2"/>
  <c r="S29" i="2"/>
  <c r="S30" i="2" s="1"/>
  <c r="N26" i="2"/>
  <c r="L26" i="2"/>
  <c r="E21" i="2" s="1"/>
  <c r="P24" i="2"/>
  <c r="G24" i="2" s="1"/>
  <c r="Q14" i="1" l="1"/>
  <c r="R7" i="1"/>
  <c r="S7" i="1" s="1"/>
  <c r="T7" i="1" s="1"/>
  <c r="U7" i="1" s="1"/>
  <c r="Q6" i="1"/>
  <c r="R6" i="1"/>
  <c r="S6" i="1" s="1"/>
  <c r="T6" i="1" s="1"/>
  <c r="R12" i="1"/>
  <c r="S12" i="1" s="1"/>
  <c r="R8" i="1"/>
  <c r="S8" i="1" s="1"/>
  <c r="T8" i="1" s="1"/>
  <c r="T14" i="1"/>
  <c r="U14" i="1" s="1"/>
  <c r="U13" i="1"/>
  <c r="U17" i="1"/>
  <c r="U9" i="1"/>
  <c r="U16" i="1"/>
  <c r="U10" i="1"/>
  <c r="S32" i="2"/>
  <c r="O26" i="2"/>
  <c r="M29" i="2" s="1"/>
  <c r="T35" i="2"/>
  <c r="T37" i="2" s="1"/>
  <c r="M31" i="2" s="1"/>
  <c r="T29" i="2"/>
  <c r="M24" i="2"/>
  <c r="M28" i="2" s="1"/>
  <c r="U6" i="1" l="1"/>
  <c r="U8" i="1"/>
  <c r="T12" i="1"/>
  <c r="U12" i="1" s="1"/>
  <c r="T31" i="2"/>
  <c r="M30" i="2" s="1"/>
  <c r="M32" i="2"/>
  <c r="M33" i="2"/>
  <c r="M34" i="2" s="1"/>
  <c r="N36" i="2" l="1"/>
  <c r="Y14" i="1" l="1"/>
  <c r="Y15" i="1" s="1"/>
  <c r="Z14" i="1"/>
  <c r="Z15" i="1" s="1"/>
  <c r="AA14" i="1"/>
  <c r="AA15" i="1" s="1"/>
  <c r="X14" i="1"/>
  <c r="X15" i="1" s="1"/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N5" i="1" l="1"/>
  <c r="P5" i="1" l="1"/>
  <c r="Q5" i="1" s="1"/>
  <c r="R5" i="1" l="1"/>
  <c r="S5" i="1" s="1"/>
  <c r="T5" i="1" l="1"/>
  <c r="U5" i="1" s="1"/>
</calcChain>
</file>

<file path=xl/sharedStrings.xml><?xml version="1.0" encoding="utf-8"?>
<sst xmlns="http://schemas.openxmlformats.org/spreadsheetml/2006/main" count="207" uniqueCount="172">
  <si>
    <t>재질</t>
    <phoneticPr fontId="2" type="noConversion"/>
  </si>
  <si>
    <t>그레이드</t>
    <phoneticPr fontId="2" type="noConversion"/>
  </si>
  <si>
    <t>제품중량(g)</t>
    <phoneticPr fontId="2" type="noConversion"/>
  </si>
  <si>
    <t>개당총중량(g)</t>
    <phoneticPr fontId="2" type="noConversion"/>
  </si>
  <si>
    <t>일 생산량</t>
    <phoneticPr fontId="2" type="noConversion"/>
  </si>
  <si>
    <t>임률</t>
    <phoneticPr fontId="2" type="noConversion"/>
  </si>
  <si>
    <t>개당임률</t>
    <phoneticPr fontId="2" type="noConversion"/>
  </si>
  <si>
    <t>일반관리비</t>
    <phoneticPr fontId="2" type="noConversion"/>
  </si>
  <si>
    <t>불량로스</t>
    <phoneticPr fontId="2" type="noConversion"/>
  </si>
  <si>
    <t>기업이윤</t>
    <phoneticPr fontId="2" type="noConversion"/>
  </si>
  <si>
    <t>Cav.</t>
    <phoneticPr fontId="2" type="noConversion"/>
  </si>
  <si>
    <t>C/T (sec.)</t>
    <phoneticPr fontId="2" type="noConversion"/>
  </si>
  <si>
    <t>원자재단가(Kg)</t>
    <phoneticPr fontId="2" type="noConversion"/>
  </si>
  <si>
    <t>개당원재료비</t>
    <phoneticPr fontId="2" type="noConversion"/>
  </si>
  <si>
    <t>설비톤수</t>
    <phoneticPr fontId="2" type="noConversion"/>
  </si>
  <si>
    <t>1. 개당총중량: 제품중량+런너중량/캐비티</t>
    <phoneticPr fontId="2" type="noConversion"/>
  </si>
  <si>
    <t>2. 개당원재료비: 원자재단가/1000*개당총중량</t>
    <phoneticPr fontId="2" type="noConversion"/>
  </si>
  <si>
    <t>3. 일생산량: 79200초/사이클타임*캐비티</t>
    <phoneticPr fontId="2" type="noConversion"/>
  </si>
  <si>
    <t>4. 개당임률: 임률/일생산량</t>
    <phoneticPr fontId="2" type="noConversion"/>
  </si>
  <si>
    <t>순서</t>
    <phoneticPr fontId="2" type="noConversion"/>
  </si>
  <si>
    <t>S/R총중량</t>
    <phoneticPr fontId="2" type="noConversion"/>
  </si>
  <si>
    <t>시</t>
    <phoneticPr fontId="2" type="noConversion"/>
  </si>
  <si>
    <t>분</t>
    <phoneticPr fontId="2" type="noConversion"/>
  </si>
  <si>
    <t>초</t>
    <phoneticPr fontId="2" type="noConversion"/>
  </si>
  <si>
    <t>품명</t>
    <phoneticPr fontId="2" type="noConversion"/>
  </si>
  <si>
    <t>ABS</t>
  </si>
  <si>
    <t>SAN</t>
  </si>
  <si>
    <t>재질</t>
    <phoneticPr fontId="2" type="noConversion"/>
  </si>
  <si>
    <t>단가</t>
    <phoneticPr fontId="2" type="noConversion"/>
  </si>
  <si>
    <t>그레이드</t>
    <phoneticPr fontId="2" type="noConversion"/>
  </si>
  <si>
    <t>HI121</t>
  </si>
  <si>
    <t>PP</t>
  </si>
  <si>
    <t>82TR</t>
  </si>
  <si>
    <t>회사
로고</t>
    <phoneticPr fontId="12" type="noConversion"/>
  </si>
  <si>
    <t xml:space="preserve">
기준임율
[oz/ton]</t>
    <phoneticPr fontId="12" type="noConversion"/>
  </si>
  <si>
    <t>4oz</t>
    <phoneticPr fontId="12" type="noConversion"/>
  </si>
  <si>
    <r>
      <t>120ton[</t>
    </r>
    <r>
      <rPr>
        <sz val="11"/>
        <color rgb="FF0070C0"/>
        <rFont val="돋움"/>
        <family val="3"/>
        <charset val="129"/>
      </rPr>
      <t>▼</t>
    </r>
    <r>
      <rPr>
        <sz val="11"/>
        <color theme="1"/>
        <rFont val="맑은 고딕"/>
        <family val="2"/>
        <charset val="129"/>
        <scheme val="minor"/>
      </rPr>
      <t>]</t>
    </r>
    <phoneticPr fontId="12" type="noConversion"/>
  </si>
  <si>
    <t>사출설비</t>
    <phoneticPr fontId="12" type="noConversion"/>
  </si>
  <si>
    <t>6oz</t>
    <phoneticPr fontId="12" type="noConversion"/>
  </si>
  <si>
    <r>
      <t>150ton</t>
    </r>
    <r>
      <rPr>
        <sz val="11"/>
        <color rgb="FF0070C0"/>
        <rFont val="돋움"/>
        <family val="3"/>
        <charset val="129"/>
      </rPr>
      <t>[▼]</t>
    </r>
    <phoneticPr fontId="12" type="noConversion"/>
  </si>
  <si>
    <t>취출방식</t>
    <phoneticPr fontId="12" type="noConversion"/>
  </si>
  <si>
    <t>로보트 흡착</t>
    <phoneticPr fontId="12" type="noConversion"/>
  </si>
  <si>
    <t>10oz</t>
    <phoneticPr fontId="12" type="noConversion"/>
  </si>
  <si>
    <r>
      <t>170ton</t>
    </r>
    <r>
      <rPr>
        <sz val="11"/>
        <color rgb="FF0070C0"/>
        <rFont val="돋움"/>
        <family val="3"/>
        <charset val="129"/>
      </rPr>
      <t>[▼]</t>
    </r>
    <phoneticPr fontId="12" type="noConversion"/>
  </si>
  <si>
    <t>가동시간</t>
    <phoneticPr fontId="12" type="noConversion"/>
  </si>
  <si>
    <t>22hr[79,200s]</t>
    <phoneticPr fontId="12" type="noConversion"/>
  </si>
  <si>
    <t>15oz</t>
    <phoneticPr fontId="12" type="noConversion"/>
  </si>
  <si>
    <r>
      <t>200ton[</t>
    </r>
    <r>
      <rPr>
        <sz val="11"/>
        <color rgb="FF0070C0"/>
        <rFont val="돋움"/>
        <family val="3"/>
        <charset val="129"/>
      </rPr>
      <t>▼</t>
    </r>
    <r>
      <rPr>
        <sz val="11"/>
        <color theme="1"/>
        <rFont val="맑은 고딕"/>
        <family val="2"/>
        <charset val="129"/>
        <scheme val="minor"/>
      </rPr>
      <t>]</t>
    </r>
    <phoneticPr fontId="12" type="noConversion"/>
  </si>
  <si>
    <t>포장방법</t>
    <phoneticPr fontId="12" type="noConversion"/>
  </si>
  <si>
    <t>정렬포장[도화지+발포지]</t>
    <phoneticPr fontId="12" type="noConversion"/>
  </si>
  <si>
    <t>20oz</t>
    <phoneticPr fontId="12" type="noConversion"/>
  </si>
  <si>
    <r>
      <t>240ton[</t>
    </r>
    <r>
      <rPr>
        <sz val="11"/>
        <color rgb="FF0070C0"/>
        <rFont val="돋움"/>
        <family val="3"/>
        <charset val="129"/>
      </rPr>
      <t>▼</t>
    </r>
    <r>
      <rPr>
        <sz val="11"/>
        <color theme="1"/>
        <rFont val="맑은 고딕"/>
        <family val="2"/>
        <charset val="129"/>
        <scheme val="minor"/>
      </rPr>
      <t>]</t>
    </r>
    <phoneticPr fontId="12" type="noConversion"/>
  </si>
  <si>
    <t>작성일자:</t>
    <phoneticPr fontId="12" type="noConversion"/>
  </si>
  <si>
    <t>30oz</t>
    <phoneticPr fontId="12" type="noConversion"/>
  </si>
  <si>
    <r>
      <t>280ton[</t>
    </r>
    <r>
      <rPr>
        <sz val="11"/>
        <color rgb="FF0070C0"/>
        <rFont val="돋움"/>
        <family val="3"/>
        <charset val="129"/>
      </rPr>
      <t>▼</t>
    </r>
    <r>
      <rPr>
        <sz val="11"/>
        <color theme="1"/>
        <rFont val="맑은 고딕"/>
        <family val="2"/>
        <charset val="129"/>
        <scheme val="minor"/>
      </rPr>
      <t>]</t>
    </r>
    <phoneticPr fontId="12" type="noConversion"/>
  </si>
  <si>
    <t>제품명</t>
    <phoneticPr fontId="12" type="noConversion"/>
  </si>
  <si>
    <t>규격</t>
    <phoneticPr fontId="12" type="noConversion"/>
  </si>
  <si>
    <t>CAVITY</t>
    <phoneticPr fontId="12" type="noConversion"/>
  </si>
  <si>
    <t>1 *</t>
    <phoneticPr fontId="12" type="noConversion"/>
  </si>
  <si>
    <t>일일 생산가능 수량</t>
    <phoneticPr fontId="12" type="noConversion"/>
  </si>
  <si>
    <t>사용 원자재 (RESIN)</t>
    <phoneticPr fontId="12" type="noConversion"/>
  </si>
  <si>
    <t>ABS-HI121H-NP</t>
    <phoneticPr fontId="12" type="noConversion"/>
  </si>
  <si>
    <t>원자재 단가 (1KG)</t>
    <phoneticPr fontId="12" type="noConversion"/>
  </si>
  <si>
    <t>제품중량(1EA)</t>
    <phoneticPr fontId="12" type="noConversion"/>
  </si>
  <si>
    <t>런너 중량</t>
    <phoneticPr fontId="12" type="noConversion"/>
  </si>
  <si>
    <t>제품 중량(런너포함)</t>
    <phoneticPr fontId="12" type="noConversion"/>
  </si>
  <si>
    <t>원자재 비용</t>
    <phoneticPr fontId="12" type="noConversion"/>
  </si>
  <si>
    <t>개당 런너중량</t>
    <phoneticPr fontId="12" type="noConversion"/>
  </si>
  <si>
    <t>g</t>
    <phoneticPr fontId="12" type="noConversion"/>
  </si>
  <si>
    <t>공정명</t>
    <phoneticPr fontId="12" type="noConversion"/>
  </si>
  <si>
    <t>사용 기기</t>
    <phoneticPr fontId="12" type="noConversion"/>
  </si>
  <si>
    <t xml:space="preserve"> 제품당 공정           TIME (초)</t>
    <phoneticPr fontId="12" type="noConversion"/>
  </si>
  <si>
    <t>일일 생산수량              (22시간 기준)</t>
    <phoneticPr fontId="12" type="noConversion"/>
  </si>
  <si>
    <t xml:space="preserve"> 가공 임율   (1일/22시간)</t>
    <phoneticPr fontId="12" type="noConversion"/>
  </si>
  <si>
    <t>가공비</t>
    <phoneticPr fontId="12" type="noConversion"/>
  </si>
  <si>
    <t>사출성형</t>
    <phoneticPr fontId="12" type="noConversion"/>
  </si>
  <si>
    <t>TON</t>
    <phoneticPr fontId="12" type="noConversion"/>
  </si>
  <si>
    <t>내 용</t>
    <phoneticPr fontId="12" type="noConversion"/>
  </si>
  <si>
    <t>계산 내용</t>
    <phoneticPr fontId="12" type="noConversion"/>
  </si>
  <si>
    <t>금 액</t>
    <phoneticPr fontId="12" type="noConversion"/>
  </si>
  <si>
    <t>비 고</t>
    <phoneticPr fontId="12" type="noConversion"/>
  </si>
  <si>
    <t>(원자재단가(1KG)/1.000) × 제품 중량(런너포함)</t>
    <phoneticPr fontId="12" type="noConversion"/>
  </si>
  <si>
    <t>안료 총 중량g</t>
    <phoneticPr fontId="12" type="noConversion"/>
  </si>
  <si>
    <t>안료 가격</t>
    <phoneticPr fontId="12" type="noConversion"/>
  </si>
  <si>
    <t>제품 1캐피티 총중량</t>
    <phoneticPr fontId="12" type="noConversion"/>
  </si>
  <si>
    <t>가 공 비</t>
    <phoneticPr fontId="12" type="noConversion"/>
  </si>
  <si>
    <t>가공임율 / 일일 생산수량</t>
    <phoneticPr fontId="12" type="noConversion"/>
  </si>
  <si>
    <t>안료</t>
    <phoneticPr fontId="12" type="noConversion"/>
  </si>
  <si>
    <t>1Kg당 원료(안료)가격</t>
    <phoneticPr fontId="12" type="noConversion"/>
  </si>
  <si>
    <t>원</t>
    <phoneticPr fontId="12" type="noConversion"/>
  </si>
  <si>
    <t>안료배합%</t>
    <phoneticPr fontId="12" type="noConversion"/>
  </si>
  <si>
    <t>안료 1g 당 가격</t>
    <phoneticPr fontId="12" type="noConversion"/>
  </si>
  <si>
    <t>안료비</t>
    <phoneticPr fontId="12" type="noConversion"/>
  </si>
  <si>
    <t>M/B</t>
    <phoneticPr fontId="12" type="noConversion"/>
  </si>
  <si>
    <t>1Kg당 원료(M/B)가격</t>
    <phoneticPr fontId="12" type="noConversion"/>
  </si>
  <si>
    <t>M/B배합%</t>
    <phoneticPr fontId="12" type="noConversion"/>
  </si>
  <si>
    <t xml:space="preserve"> 안료 가격/안료 총 중량</t>
    <phoneticPr fontId="12" type="noConversion"/>
  </si>
  <si>
    <t>일반 관리비용</t>
    <phoneticPr fontId="12" type="noConversion"/>
  </si>
  <si>
    <t>1 +  2</t>
    <phoneticPr fontId="12" type="noConversion"/>
  </si>
  <si>
    <t>제품1kg 당 %</t>
    <phoneticPr fontId="2" type="noConversion"/>
  </si>
  <si>
    <t>불량 LOSS</t>
    <phoneticPr fontId="12" type="noConversion"/>
  </si>
  <si>
    <t>기업 이윤</t>
    <phoneticPr fontId="12" type="noConversion"/>
  </si>
  <si>
    <t>1 + 2 + 4 + 5</t>
    <phoneticPr fontId="12" type="noConversion"/>
  </si>
  <si>
    <t>MB 총 중량g</t>
    <phoneticPr fontId="12" type="noConversion"/>
  </si>
  <si>
    <t>MB 가격</t>
    <phoneticPr fontId="12" type="noConversion"/>
  </si>
  <si>
    <t>사 상 비</t>
    <phoneticPr fontId="12" type="noConversion"/>
  </si>
  <si>
    <t>케이트 사상</t>
    <phoneticPr fontId="12" type="noConversion"/>
  </si>
  <si>
    <t>기타 내용</t>
    <phoneticPr fontId="12" type="noConversion"/>
  </si>
  <si>
    <t>합 계 금 액</t>
    <phoneticPr fontId="12" type="noConversion"/>
  </si>
  <si>
    <t>MB비</t>
    <phoneticPr fontId="12" type="noConversion"/>
  </si>
  <si>
    <t>최종 견적가</t>
    <phoneticPr fontId="12" type="noConversion"/>
  </si>
  <si>
    <t>업체 결정가</t>
    <phoneticPr fontId="12" type="noConversion"/>
  </si>
  <si>
    <t>결 재</t>
    <phoneticPr fontId="12" type="noConversion"/>
  </si>
  <si>
    <t>작성</t>
    <phoneticPr fontId="12" type="noConversion"/>
  </si>
  <si>
    <t>검 토</t>
    <phoneticPr fontId="12" type="noConversion"/>
  </si>
  <si>
    <t>검토</t>
    <phoneticPr fontId="12" type="noConversion"/>
  </si>
  <si>
    <t>승 인</t>
    <phoneticPr fontId="12" type="noConversion"/>
  </si>
  <si>
    <t>/</t>
    <phoneticPr fontId="12" type="noConversion"/>
  </si>
  <si>
    <t>※ 산출근거: 재료비, C/T, 설비임률은 당사 기준에 준함</t>
    <phoneticPr fontId="12" type="noConversion"/>
  </si>
  <si>
    <t>사출 견적서</t>
    <phoneticPr fontId="12" type="noConversion"/>
  </si>
  <si>
    <t>상군1111</t>
    <phoneticPr fontId="2" type="noConversion"/>
  </si>
  <si>
    <t>사출 원가 계산</t>
    <phoneticPr fontId="2" type="noConversion"/>
  </si>
  <si>
    <t>HF380</t>
  </si>
  <si>
    <t>SG175</t>
  </si>
  <si>
    <t>PP</t>
    <phoneticPr fontId="2" type="noConversion"/>
  </si>
  <si>
    <t>344RK</t>
  </si>
  <si>
    <t>J-550A</t>
  </si>
  <si>
    <t>J-560S</t>
  </si>
  <si>
    <t>M850</t>
    <phoneticPr fontId="2" type="noConversion"/>
  </si>
  <si>
    <t>XJ700</t>
  </si>
  <si>
    <t>SAN</t>
    <phoneticPr fontId="2" type="noConversion"/>
  </si>
  <si>
    <t>PE</t>
  </si>
  <si>
    <t xml:space="preserve">80HF 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</si>
  <si>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</si>
  <si>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</si>
  <si>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</si>
  <si>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</si>
  <si>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</si>
  <si>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</si>
  <si>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</si>
  <si>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</si>
  <si>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</si>
  <si>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</si>
  <si>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</si>
  <si>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</si>
  <si>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[설비임률표]</t>
    <phoneticPr fontId="2" type="noConversion"/>
  </si>
  <si>
    <t>[원재료단가표]</t>
    <phoneticPr fontId="2" type="noConversion"/>
  </si>
  <si>
    <t>[원재료 재질별 그레이드]</t>
    <phoneticPr fontId="2" type="noConversion"/>
  </si>
  <si>
    <t>※기준정보 Table</t>
    <phoneticPr fontId="2" type="noConversion"/>
  </si>
  <si>
    <t>에어쿠션</t>
    <phoneticPr fontId="2" type="noConversion"/>
  </si>
  <si>
    <t>외용기 상체</t>
    <phoneticPr fontId="2" type="noConversion"/>
  </si>
  <si>
    <t>220T,유압</t>
    <phoneticPr fontId="12" type="noConversion"/>
  </si>
  <si>
    <t>금형번호</t>
    <phoneticPr fontId="2" type="noConversion"/>
  </si>
  <si>
    <t>금형번호</t>
    <phoneticPr fontId="12" type="noConversion"/>
  </si>
  <si>
    <t>개당원가</t>
    <phoneticPr fontId="2" type="noConversion"/>
  </si>
  <si>
    <t>HF380</t>
    <phoneticPr fontId="2" type="noConversion"/>
  </si>
  <si>
    <t>5. 개당원가: 개당원재료비+개당임률</t>
    <phoneticPr fontId="2" type="noConversion"/>
  </si>
  <si>
    <t>6. 일반관리비: (개당원재료비+개당임률)*0.1</t>
    <phoneticPr fontId="2" type="noConversion"/>
  </si>
  <si>
    <t>7. 불량로스: (개당원재료비+개당임률+일반관리비)*0.1</t>
    <phoneticPr fontId="2" type="noConversion"/>
  </si>
  <si>
    <t>8. 기업이윤: (개당원재료비+개당임률+일반관리비+불량로스)*0.1</t>
    <phoneticPr fontId="2" type="noConversion"/>
  </si>
  <si>
    <t>판매단가</t>
    <phoneticPr fontId="2" type="noConversion"/>
  </si>
  <si>
    <t>22H 기준</t>
    <phoneticPr fontId="2" type="noConversion"/>
  </si>
  <si>
    <t>설비임률</t>
    <phoneticPr fontId="2" type="noConversion"/>
  </si>
  <si>
    <t>S/R중량(g)</t>
    <phoneticPr fontId="2" type="noConversion"/>
  </si>
  <si>
    <t>수식계산</t>
    <phoneticPr fontId="2" type="noConversion"/>
  </si>
  <si>
    <t>형체력</t>
    <phoneticPr fontId="2" type="noConversion"/>
  </si>
  <si>
    <t>공정시간</t>
    <phoneticPr fontId="2" type="noConversion"/>
  </si>
  <si>
    <t>제품취출개수</t>
    <phoneticPr fontId="2" type="noConversion"/>
  </si>
  <si>
    <t>NET중량</t>
    <phoneticPr fontId="2" type="noConversion"/>
  </si>
  <si>
    <t>[원가계산 산출개요]</t>
    <phoneticPr fontId="2" type="noConversion"/>
  </si>
  <si>
    <t>사출작업표준서,검사기준서에 준하여 작업함.</t>
    <phoneticPr fontId="2" type="noConversion"/>
  </si>
  <si>
    <t>ABS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</si>
</sst>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\1\ &quot;X&quot;\ ##"/>
    <numFmt numFmtId="177" formatCode="&quot;₩&quot;#,##0.0_);[Red]\(&quot;₩&quot;#,##0.0\)"/>
    <numFmt numFmtId="178" formatCode="0.00_);[Red]\(0.00\)"/>
    <numFmt numFmtId="179" formatCode="##&quot;H&quot;"/>
    <numFmt numFmtId="180" formatCode="#,##0_ "/>
    <numFmt numFmtId="181" formatCode="yy&quot;年&quot;\ m&quot;月&quot;\ d&quot;日&quot;;@"/>
    <numFmt numFmtId="182" formatCode="_-* #,##0.00_-;\-* #,##0.00_-;_-* &quot;-&quot;?_-;_-@_-"/>
    <numFmt numFmtId="183" formatCode="_-&quot;₩&quot;* #,##0.00_-;\-&quot;₩&quot;* #,##0.00_-;_-&quot;₩&quot;* &quot;-&quot;?_-;_-@_-"/>
    <numFmt numFmtId="184" formatCode="0.00_ "/>
    <numFmt numFmtId="185" formatCode="0_ "/>
    <numFmt numFmtId="186" formatCode="#,##0&quot; (TON)&quot;"/>
    <numFmt numFmtId="187" formatCode="0.0%"/>
    <numFmt numFmtId="188" formatCode="_-&quot;₩&quot;* #,##0.00_-;\-&quot;₩&quot;* #,##0.00_-;_-&quot;₩&quot;* &quot;-&quot;_-;_-@_-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26"/>
      <name val="돋움"/>
      <family val="3"/>
      <charset val="129"/>
    </font>
    <font>
      <b/>
      <sz val="26"/>
      <name val="돋움"/>
      <family val="3"/>
      <charset val="129"/>
    </font>
    <font>
      <sz val="14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rgb="FF0070C0"/>
      <name val="돋움"/>
      <family val="3"/>
      <charset val="129"/>
    </font>
    <font>
      <b/>
      <u/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돋움"/>
      <family val="3"/>
      <charset val="129"/>
    </font>
    <font>
      <sz val="10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14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u val="double"/>
      <sz val="36"/>
      <name val="HY헤드라인M"/>
      <family val="1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  <scheme val="major"/>
    </font>
    <font>
      <b/>
      <u val="double"/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 val="double"/>
      <sz val="22"/>
      <color theme="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ck">
        <color indexed="64"/>
      </right>
      <top/>
      <bottom style="thin">
        <color indexed="64"/>
      </bottom>
      <diagonal style="thin">
        <color indexed="64"/>
      </diagonal>
    </border>
    <border diagonalDown="1"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6" fillId="0" borderId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41" fontId="0" fillId="0" borderId="0" xfId="1" applyFont="1" applyFill="1" applyBorder="1">
      <alignment vertical="center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41" fontId="5" fillId="0" borderId="1" xfId="1" applyFon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9" fillId="0" borderId="0" xfId="5" applyFont="1">
      <alignment vertical="center"/>
    </xf>
    <xf numFmtId="0" fontId="10" fillId="0" borderId="0" xfId="5" applyFont="1">
      <alignment vertical="center"/>
    </xf>
    <xf numFmtId="0" fontId="8" fillId="0" borderId="0" xfId="5">
      <alignment vertical="center"/>
    </xf>
    <xf numFmtId="0" fontId="8" fillId="0" borderId="5" xfId="5" applyBorder="1">
      <alignment vertical="center"/>
    </xf>
    <xf numFmtId="181" fontId="8" fillId="0" borderId="0" xfId="5" applyNumberFormat="1">
      <alignment vertical="center"/>
    </xf>
    <xf numFmtId="0" fontId="8" fillId="0" borderId="0" xfId="5" applyAlignment="1">
      <alignment horizontal="right" vertical="center"/>
    </xf>
    <xf numFmtId="0" fontId="8" fillId="0" borderId="0" xfId="5" applyAlignment="1">
      <alignment horizontal="center" vertical="center"/>
    </xf>
    <xf numFmtId="0" fontId="8" fillId="0" borderId="6" xfId="5" applyBorder="1">
      <alignment vertical="center"/>
    </xf>
    <xf numFmtId="0" fontId="8" fillId="0" borderId="0" xfId="5" applyAlignment="1">
      <alignment horizontal="left" vertical="center"/>
    </xf>
    <xf numFmtId="0" fontId="15" fillId="0" borderId="5" xfId="5" applyFont="1" applyBorder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8" fillId="0" borderId="41" xfId="5" applyBorder="1">
      <alignment vertical="center"/>
    </xf>
    <xf numFmtId="0" fontId="8" fillId="0" borderId="42" xfId="5" applyBorder="1" applyAlignment="1">
      <alignment horizontal="center" vertical="center"/>
    </xf>
    <xf numFmtId="0" fontId="8" fillId="0" borderId="43" xfId="5" applyBorder="1">
      <alignment vertical="center"/>
    </xf>
    <xf numFmtId="0" fontId="8" fillId="2" borderId="1" xfId="5" applyFill="1" applyBorder="1" applyAlignment="1">
      <alignment horizontal="center" vertical="center"/>
    </xf>
    <xf numFmtId="0" fontId="16" fillId="3" borderId="45" xfId="5" applyFont="1" applyFill="1" applyBorder="1" applyAlignment="1">
      <alignment horizontal="right" vertical="center"/>
    </xf>
    <xf numFmtId="0" fontId="8" fillId="0" borderId="48" xfId="5" applyBorder="1" applyAlignment="1">
      <alignment horizontal="left" vertical="center"/>
    </xf>
    <xf numFmtId="41" fontId="16" fillId="3" borderId="1" xfId="5" applyNumberFormat="1" applyFont="1" applyFill="1" applyBorder="1" applyAlignment="1">
      <alignment horizontal="center" vertical="center"/>
    </xf>
    <xf numFmtId="0" fontId="8" fillId="2" borderId="1" xfId="5" applyFill="1" applyBorder="1" applyAlignment="1">
      <alignment horizontal="center" vertical="center" wrapText="1"/>
    </xf>
    <xf numFmtId="0" fontId="8" fillId="0" borderId="47" xfId="5" applyBorder="1" applyAlignment="1">
      <alignment horizontal="center" vertical="center"/>
    </xf>
    <xf numFmtId="182" fontId="8" fillId="0" borderId="45" xfId="5" applyNumberFormat="1" applyBorder="1" applyAlignment="1">
      <alignment horizontal="right" vertical="center"/>
    </xf>
    <xf numFmtId="184" fontId="17" fillId="3" borderId="0" xfId="5" applyNumberFormat="1" applyFont="1" applyFill="1">
      <alignment vertical="center"/>
    </xf>
    <xf numFmtId="0" fontId="8" fillId="2" borderId="52" xfId="5" applyFill="1" applyBorder="1">
      <alignment vertical="center"/>
    </xf>
    <xf numFmtId="0" fontId="18" fillId="2" borderId="1" xfId="5" applyFont="1" applyFill="1" applyBorder="1" applyAlignment="1">
      <alignment horizontal="center" vertical="center" wrapText="1"/>
    </xf>
    <xf numFmtId="0" fontId="8" fillId="2" borderId="53" xfId="5" applyFill="1" applyBorder="1" applyAlignment="1">
      <alignment horizontal="center" vertical="center"/>
    </xf>
    <xf numFmtId="0" fontId="8" fillId="0" borderId="44" xfId="5" applyBorder="1" applyAlignment="1">
      <alignment horizontal="center" vertical="center"/>
    </xf>
    <xf numFmtId="185" fontId="8" fillId="0" borderId="45" xfId="5" applyNumberFormat="1" applyBorder="1">
      <alignment vertical="center"/>
    </xf>
    <xf numFmtId="186" fontId="8" fillId="0" borderId="47" xfId="5" applyNumberFormat="1" applyBorder="1">
      <alignment vertical="center"/>
    </xf>
    <xf numFmtId="42" fontId="19" fillId="3" borderId="1" xfId="5" applyNumberFormat="1" applyFont="1" applyFill="1" applyBorder="1" applyAlignment="1">
      <alignment horizontal="center" vertical="center"/>
    </xf>
    <xf numFmtId="183" fontId="20" fillId="3" borderId="53" xfId="5" applyNumberFormat="1" applyFont="1" applyFill="1" applyBorder="1">
      <alignment vertical="center"/>
    </xf>
    <xf numFmtId="183" fontId="16" fillId="3" borderId="1" xfId="5" applyNumberFormat="1" applyFont="1" applyFill="1" applyBorder="1" applyAlignment="1">
      <alignment horizontal="center" vertical="center"/>
    </xf>
    <xf numFmtId="0" fontId="21" fillId="0" borderId="55" xfId="5" applyFont="1" applyBorder="1" applyAlignment="1">
      <alignment horizontal="center" vertical="center"/>
    </xf>
    <xf numFmtId="180" fontId="22" fillId="0" borderId="57" xfId="5" applyNumberFormat="1" applyFont="1" applyBorder="1" applyAlignment="1">
      <alignment horizontal="center" vertical="center"/>
    </xf>
    <xf numFmtId="184" fontId="22" fillId="0" borderId="57" xfId="5" applyNumberFormat="1" applyFont="1" applyBorder="1" applyAlignment="1">
      <alignment horizontal="center" vertical="center"/>
    </xf>
    <xf numFmtId="0" fontId="23" fillId="0" borderId="0" xfId="4" applyFont="1">
      <alignment vertical="center"/>
    </xf>
    <xf numFmtId="0" fontId="18" fillId="0" borderId="47" xfId="5" applyFont="1" applyBorder="1" applyAlignment="1">
      <alignment horizontal="left" vertical="center"/>
    </xf>
    <xf numFmtId="0" fontId="12" fillId="0" borderId="45" xfId="5" applyFont="1" applyBorder="1" applyAlignment="1">
      <alignment horizontal="center" vertical="center"/>
    </xf>
    <xf numFmtId="187" fontId="8" fillId="0" borderId="1" xfId="5" applyNumberFormat="1" applyBorder="1" applyAlignment="1">
      <alignment horizontal="center" vertical="center"/>
    </xf>
    <xf numFmtId="0" fontId="21" fillId="0" borderId="27" xfId="5" applyFont="1" applyBorder="1" applyAlignment="1">
      <alignment horizontal="center" vertical="center"/>
    </xf>
    <xf numFmtId="184" fontId="22" fillId="0" borderId="30" xfId="5" applyNumberFormat="1" applyFont="1" applyBorder="1" applyAlignment="1">
      <alignment horizontal="center" vertical="center"/>
    </xf>
    <xf numFmtId="9" fontId="8" fillId="0" borderId="1" xfId="5" applyNumberFormat="1" applyBorder="1" applyAlignment="1">
      <alignment horizontal="center" vertical="center"/>
    </xf>
    <xf numFmtId="9" fontId="21" fillId="0" borderId="62" xfId="5" applyNumberFormat="1" applyFont="1" applyBorder="1" applyAlignment="1">
      <alignment horizontal="center" vertical="center"/>
    </xf>
    <xf numFmtId="187" fontId="22" fillId="0" borderId="63" xfId="5" applyNumberFormat="1" applyFont="1" applyBorder="1" applyAlignment="1">
      <alignment horizontal="center" vertical="center"/>
    </xf>
    <xf numFmtId="0" fontId="22" fillId="0" borderId="28" xfId="5" applyFont="1" applyBorder="1" applyAlignment="1">
      <alignment horizontal="center" vertical="center"/>
    </xf>
    <xf numFmtId="184" fontId="22" fillId="0" borderId="0" xfId="5" applyNumberFormat="1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187" fontId="23" fillId="0" borderId="0" xfId="6" applyNumberFormat="1" applyFont="1" applyAlignment="1">
      <alignment horizontal="center" vertical="center"/>
    </xf>
    <xf numFmtId="0" fontId="8" fillId="0" borderId="46" xfId="5" applyBorder="1">
      <alignment vertical="center"/>
    </xf>
    <xf numFmtId="0" fontId="8" fillId="0" borderId="47" xfId="5" applyBorder="1">
      <alignment vertical="center"/>
    </xf>
    <xf numFmtId="180" fontId="21" fillId="0" borderId="57" xfId="5" applyNumberFormat="1" applyFont="1" applyBorder="1" applyAlignment="1">
      <alignment horizontal="center" vertical="center"/>
    </xf>
    <xf numFmtId="187" fontId="21" fillId="0" borderId="63" xfId="5" applyNumberFormat="1" applyFont="1" applyBorder="1" applyAlignment="1">
      <alignment horizontal="center" vertical="center"/>
    </xf>
    <xf numFmtId="0" fontId="8" fillId="0" borderId="1" xfId="5" applyBorder="1" applyAlignment="1">
      <alignment horizontal="center" vertical="center"/>
    </xf>
    <xf numFmtId="0" fontId="8" fillId="0" borderId="1" xfId="5" quotePrefix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41" fontId="5" fillId="4" borderId="1" xfId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shrinkToFit="1"/>
    </xf>
    <xf numFmtId="0" fontId="27" fillId="0" borderId="1" xfId="0" applyFont="1" applyBorder="1">
      <alignment vertical="center"/>
    </xf>
    <xf numFmtId="0" fontId="27" fillId="4" borderId="1" xfId="0" applyFont="1" applyFill="1" applyBorder="1">
      <alignment vertical="center"/>
    </xf>
    <xf numFmtId="0" fontId="28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5" fillId="0" borderId="70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5" fillId="0" borderId="70" xfId="0" applyNumberFormat="1" applyFont="1" applyBorder="1">
      <alignment vertical="center"/>
    </xf>
    <xf numFmtId="0" fontId="5" fillId="0" borderId="70" xfId="0" applyFont="1" applyBorder="1">
      <alignment vertical="center"/>
    </xf>
    <xf numFmtId="176" fontId="5" fillId="0" borderId="70" xfId="0" applyNumberFormat="1" applyFont="1" applyBorder="1">
      <alignment vertical="center"/>
    </xf>
    <xf numFmtId="0" fontId="5" fillId="4" borderId="78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41" fontId="5" fillId="4" borderId="70" xfId="1" applyFont="1" applyFill="1" applyBorder="1">
      <alignment vertical="center"/>
    </xf>
    <xf numFmtId="178" fontId="5" fillId="4" borderId="70" xfId="0" applyNumberFormat="1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shrinkToFit="1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78" xfId="0" applyFont="1" applyBorder="1" applyAlignment="1">
      <alignment horizontal="center" vertical="center"/>
    </xf>
    <xf numFmtId="0" fontId="5" fillId="4" borderId="70" xfId="1" applyNumberFormat="1" applyFont="1" applyFill="1" applyBorder="1">
      <alignment vertical="center"/>
    </xf>
    <xf numFmtId="0" fontId="5" fillId="4" borderId="79" xfId="0" applyFont="1" applyFill="1" applyBorder="1" applyAlignment="1">
      <alignment horizontal="center" vertical="center"/>
    </xf>
    <xf numFmtId="178" fontId="5" fillId="4" borderId="80" xfId="0" applyNumberFormat="1" applyFont="1" applyFill="1" applyBorder="1">
      <alignment vertical="center"/>
    </xf>
    <xf numFmtId="0" fontId="5" fillId="4" borderId="81" xfId="0" applyFont="1" applyFill="1" applyBorder="1" applyAlignment="1">
      <alignment horizontal="center" vertical="center"/>
    </xf>
    <xf numFmtId="178" fontId="5" fillId="4" borderId="69" xfId="0" applyNumberFormat="1" applyFont="1" applyFill="1" applyBorder="1">
      <alignment vertical="center"/>
    </xf>
    <xf numFmtId="0" fontId="5" fillId="4" borderId="82" xfId="0" applyFont="1" applyFill="1" applyBorder="1" applyAlignment="1">
      <alignment horizontal="center" vertical="center"/>
    </xf>
    <xf numFmtId="188" fontId="5" fillId="4" borderId="83" xfId="0" applyNumberFormat="1" applyFont="1" applyFill="1" applyBorder="1">
      <alignment vertical="center"/>
    </xf>
    <xf numFmtId="0" fontId="5" fillId="4" borderId="82" xfId="0" applyFont="1" applyFill="1" applyBorder="1">
      <alignment vertical="center"/>
    </xf>
    <xf numFmtId="177" fontId="6" fillId="4" borderId="83" xfId="0" applyNumberFormat="1" applyFont="1" applyFill="1" applyBorder="1">
      <alignment vertical="center"/>
    </xf>
    <xf numFmtId="2" fontId="5" fillId="4" borderId="70" xfId="0" applyNumberFormat="1" applyFont="1" applyFill="1" applyBorder="1">
      <alignment vertical="center"/>
    </xf>
    <xf numFmtId="0" fontId="31" fillId="0" borderId="0" xfId="0" applyFont="1" applyAlignment="1">
      <alignment horizontal="center" vertical="center"/>
    </xf>
    <xf numFmtId="9" fontId="30" fillId="0" borderId="0" xfId="2" applyFont="1">
      <alignment vertical="center"/>
    </xf>
    <xf numFmtId="0" fontId="4" fillId="4" borderId="0" xfId="0" applyFont="1" applyFill="1">
      <alignment vertical="center"/>
    </xf>
    <xf numFmtId="0" fontId="27" fillId="0" borderId="70" xfId="0" applyFont="1" applyBorder="1">
      <alignment vertical="center"/>
    </xf>
    <xf numFmtId="0" fontId="27" fillId="0" borderId="70" xfId="0" applyFont="1" applyBorder="1" applyAlignment="1">
      <alignment horizontal="left" shrinkToFit="1"/>
    </xf>
    <xf numFmtId="0" fontId="27" fillId="0" borderId="70" xfId="0" applyFont="1" applyBorder="1" applyAlignment="1">
      <alignment horizontal="center" shrinkToFit="1"/>
    </xf>
    <xf numFmtId="41" fontId="5" fillId="0" borderId="70" xfId="1" applyFont="1" applyFill="1" applyBorder="1" applyAlignment="1">
      <alignment horizontal="center" vertical="center"/>
    </xf>
    <xf numFmtId="0" fontId="27" fillId="0" borderId="84" xfId="0" applyFont="1" applyBorder="1">
      <alignment vertical="center"/>
    </xf>
    <xf numFmtId="0" fontId="27" fillId="0" borderId="84" xfId="0" applyFont="1" applyBorder="1" applyAlignment="1">
      <alignment horizontal="left" shrinkToFit="1"/>
    </xf>
    <xf numFmtId="0" fontId="27" fillId="0" borderId="84" xfId="0" applyFont="1" applyBorder="1" applyAlignment="1">
      <alignment horizontal="center" shrinkToFit="1"/>
    </xf>
    <xf numFmtId="41" fontId="5" fillId="0" borderId="84" xfId="1" applyFont="1" applyFill="1" applyBorder="1" applyAlignment="1">
      <alignment horizontal="center" vertical="center"/>
    </xf>
    <xf numFmtId="0" fontId="32" fillId="0" borderId="0" xfId="0" applyFont="1" applyAlignment="1">
      <alignment horizontal="centerContinuous" vertical="center"/>
    </xf>
    <xf numFmtId="0" fontId="5" fillId="0" borderId="0" xfId="0" applyFont="1" applyAlignment="1">
      <alignment horizontal="left" vertical="center"/>
    </xf>
    <xf numFmtId="0" fontId="0" fillId="0" borderId="47" xfId="0" applyBorder="1" applyAlignment="1">
      <alignment horizontal="center" vertical="center"/>
    </xf>
    <xf numFmtId="41" fontId="0" fillId="0" borderId="45" xfId="1" applyFont="1" applyFill="1" applyBorder="1">
      <alignment vertical="center"/>
    </xf>
    <xf numFmtId="0" fontId="0" fillId="4" borderId="69" xfId="0" applyFill="1" applyBorder="1" applyAlignment="1">
      <alignment horizontal="center" vertical="center"/>
    </xf>
    <xf numFmtId="0" fontId="0" fillId="4" borderId="80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41" fontId="0" fillId="0" borderId="85" xfId="1" applyFont="1" applyFill="1" applyBorder="1">
      <alignment vertical="center"/>
    </xf>
    <xf numFmtId="41" fontId="0" fillId="4" borderId="70" xfId="1" applyFont="1" applyFill="1" applyBorder="1">
      <alignment vertical="center"/>
    </xf>
    <xf numFmtId="0" fontId="8" fillId="0" borderId="1" xfId="5" applyBorder="1" applyAlignment="1">
      <alignment horizontal="center" vertical="center" textRotation="255"/>
    </xf>
    <xf numFmtId="0" fontId="8" fillId="0" borderId="64" xfId="5" applyBorder="1" applyAlignment="1">
      <alignment horizontal="left" vertical="top"/>
    </xf>
    <xf numFmtId="0" fontId="8" fillId="0" borderId="65" xfId="5" applyBorder="1" applyAlignment="1">
      <alignment horizontal="left" vertical="top"/>
    </xf>
    <xf numFmtId="0" fontId="8" fillId="0" borderId="66" xfId="5" applyBorder="1" applyAlignment="1">
      <alignment horizontal="left" vertical="top"/>
    </xf>
    <xf numFmtId="0" fontId="8" fillId="0" borderId="5" xfId="5" applyBorder="1" applyAlignment="1">
      <alignment horizontal="left" vertical="top"/>
    </xf>
    <xf numFmtId="0" fontId="8" fillId="0" borderId="0" xfId="5" applyAlignment="1">
      <alignment horizontal="left" vertical="top"/>
    </xf>
    <xf numFmtId="0" fontId="8" fillId="0" borderId="72" xfId="5" applyBorder="1" applyAlignment="1">
      <alignment horizontal="left" vertical="top"/>
    </xf>
    <xf numFmtId="0" fontId="8" fillId="0" borderId="73" xfId="5" applyBorder="1" applyAlignment="1">
      <alignment horizontal="left" vertical="top"/>
    </xf>
    <xf numFmtId="0" fontId="8" fillId="0" borderId="74" xfId="5" applyBorder="1" applyAlignment="1">
      <alignment horizontal="left" vertical="top"/>
    </xf>
    <xf numFmtId="0" fontId="8" fillId="0" borderId="75" xfId="5" applyBorder="1" applyAlignment="1">
      <alignment horizontal="left" vertical="top"/>
    </xf>
    <xf numFmtId="0" fontId="8" fillId="2" borderId="1" xfId="5" applyFill="1" applyBorder="1" applyAlignment="1">
      <alignment horizontal="center" vertical="center"/>
    </xf>
    <xf numFmtId="42" fontId="8" fillId="0" borderId="1" xfId="5" applyNumberFormat="1" applyBorder="1" applyAlignment="1">
      <alignment horizontal="center" vertical="center"/>
    </xf>
    <xf numFmtId="42" fontId="8" fillId="0" borderId="53" xfId="5" applyNumberFormat="1" applyBorder="1" applyAlignment="1">
      <alignment horizontal="center" vertical="center"/>
    </xf>
    <xf numFmtId="0" fontId="8" fillId="2" borderId="76" xfId="5" applyFill="1" applyBorder="1" applyAlignment="1">
      <alignment horizontal="center" vertical="center"/>
    </xf>
    <xf numFmtId="42" fontId="8" fillId="0" borderId="76" xfId="5" applyNumberFormat="1" applyBorder="1" applyAlignment="1">
      <alignment horizontal="center" vertical="center"/>
    </xf>
    <xf numFmtId="42" fontId="8" fillId="0" borderId="77" xfId="5" applyNumberFormat="1" applyBorder="1" applyAlignment="1">
      <alignment horizontal="center" vertical="center"/>
    </xf>
    <xf numFmtId="0" fontId="8" fillId="0" borderId="0" xfId="5" applyAlignment="1">
      <alignment horizontal="center" vertical="center"/>
    </xf>
    <xf numFmtId="0" fontId="8" fillId="2" borderId="64" xfId="5" applyFill="1" applyBorder="1" applyAlignment="1">
      <alignment horizontal="center" vertical="center"/>
    </xf>
    <xf numFmtId="0" fontId="8" fillId="2" borderId="65" xfId="5" applyFill="1" applyBorder="1" applyAlignment="1">
      <alignment horizontal="center" vertical="center"/>
    </xf>
    <xf numFmtId="0" fontId="8" fillId="2" borderId="66" xfId="5" applyFill="1" applyBorder="1" applyAlignment="1">
      <alignment horizontal="center" vertical="center"/>
    </xf>
    <xf numFmtId="0" fontId="8" fillId="2" borderId="41" xfId="5" applyFill="1" applyBorder="1" applyAlignment="1">
      <alignment horizontal="center" vertical="center"/>
    </xf>
    <xf numFmtId="0" fontId="8" fillId="2" borderId="42" xfId="5" applyFill="1" applyBorder="1" applyAlignment="1">
      <alignment horizontal="center" vertical="center"/>
    </xf>
    <xf numFmtId="0" fontId="8" fillId="2" borderId="69" xfId="5" applyFill="1" applyBorder="1" applyAlignment="1">
      <alignment horizontal="center" vertical="center"/>
    </xf>
    <xf numFmtId="0" fontId="8" fillId="2" borderId="67" xfId="5" applyFill="1" applyBorder="1" applyAlignment="1">
      <alignment horizontal="center" vertical="center"/>
    </xf>
    <xf numFmtId="0" fontId="8" fillId="2" borderId="70" xfId="5" applyFill="1" applyBorder="1" applyAlignment="1">
      <alignment horizontal="center" vertical="center"/>
    </xf>
    <xf numFmtId="183" fontId="16" fillId="3" borderId="67" xfId="5" applyNumberFormat="1" applyFont="1" applyFill="1" applyBorder="1" applyAlignment="1">
      <alignment horizontal="center" vertical="center"/>
    </xf>
    <xf numFmtId="183" fontId="16" fillId="3" borderId="68" xfId="5" applyNumberFormat="1" applyFont="1" applyFill="1" applyBorder="1" applyAlignment="1">
      <alignment horizontal="center" vertical="center"/>
    </xf>
    <xf numFmtId="183" fontId="16" fillId="3" borderId="70" xfId="5" applyNumberFormat="1" applyFont="1" applyFill="1" applyBorder="1" applyAlignment="1">
      <alignment horizontal="center" vertical="center"/>
    </xf>
    <xf numFmtId="183" fontId="16" fillId="3" borderId="71" xfId="5" applyNumberFormat="1" applyFont="1" applyFill="1" applyBorder="1" applyAlignment="1">
      <alignment horizontal="center" vertical="center"/>
    </xf>
    <xf numFmtId="0" fontId="22" fillId="0" borderId="58" xfId="5" applyFont="1" applyBorder="1" applyAlignment="1">
      <alignment horizontal="center" vertical="center"/>
    </xf>
    <xf numFmtId="0" fontId="22" fillId="0" borderId="59" xfId="5" applyFont="1" applyBorder="1" applyAlignment="1">
      <alignment horizontal="center" vertical="center"/>
    </xf>
    <xf numFmtId="0" fontId="22" fillId="0" borderId="31" xfId="5" applyFont="1" applyBorder="1" applyAlignment="1">
      <alignment horizontal="center" vertical="center"/>
    </xf>
    <xf numFmtId="0" fontId="22" fillId="0" borderId="29" xfId="5" applyFont="1" applyBorder="1" applyAlignment="1">
      <alignment horizontal="center" vertical="center"/>
    </xf>
    <xf numFmtId="0" fontId="22" fillId="0" borderId="60" xfId="5" applyFont="1" applyBorder="1" applyAlignment="1">
      <alignment horizontal="center" vertical="center"/>
    </xf>
    <xf numFmtId="0" fontId="22" fillId="0" borderId="61" xfId="5" applyFont="1" applyBorder="1" applyAlignment="1">
      <alignment horizontal="center" vertical="center"/>
    </xf>
    <xf numFmtId="0" fontId="8" fillId="0" borderId="45" xfId="5" applyBorder="1" applyAlignment="1">
      <alignment horizontal="center" vertical="center"/>
    </xf>
    <xf numFmtId="0" fontId="8" fillId="0" borderId="46" xfId="5" applyBorder="1" applyAlignment="1">
      <alignment horizontal="center" vertical="center"/>
    </xf>
    <xf numFmtId="0" fontId="8" fillId="0" borderId="1" xfId="5" applyBorder="1" applyAlignment="1">
      <alignment horizontal="center" vertical="center"/>
    </xf>
    <xf numFmtId="0" fontId="8" fillId="0" borderId="53" xfId="5" applyBorder="1" applyAlignment="1">
      <alignment horizontal="center" vertical="center"/>
    </xf>
    <xf numFmtId="0" fontId="21" fillId="0" borderId="54" xfId="5" applyFont="1" applyBorder="1" applyAlignment="1">
      <alignment horizontal="center" vertical="center"/>
    </xf>
    <xf numFmtId="0" fontId="21" fillId="0" borderId="55" xfId="5" applyFont="1" applyBorder="1" applyAlignment="1">
      <alignment horizontal="center" vertical="center"/>
    </xf>
    <xf numFmtId="180" fontId="22" fillId="0" borderId="56" xfId="5" applyNumberFormat="1" applyFont="1" applyBorder="1" applyAlignment="1">
      <alignment horizontal="center" vertical="center"/>
    </xf>
    <xf numFmtId="180" fontId="22" fillId="0" borderId="57" xfId="5" applyNumberFormat="1" applyFont="1" applyBorder="1" applyAlignment="1">
      <alignment horizontal="center" vertical="center"/>
    </xf>
    <xf numFmtId="9" fontId="8" fillId="0" borderId="45" xfId="5" applyNumberFormat="1" applyBorder="1" applyAlignment="1">
      <alignment horizontal="center" vertical="center"/>
    </xf>
    <xf numFmtId="9" fontId="8" fillId="0" borderId="46" xfId="5" applyNumberFormat="1" applyBorder="1" applyAlignment="1">
      <alignment horizontal="center" vertical="center"/>
    </xf>
    <xf numFmtId="0" fontId="18" fillId="0" borderId="45" xfId="5" applyFont="1" applyBorder="1" applyAlignment="1">
      <alignment horizontal="center" vertical="center"/>
    </xf>
    <xf numFmtId="0" fontId="18" fillId="0" borderId="46" xfId="5" applyFont="1" applyBorder="1" applyAlignment="1">
      <alignment horizontal="center" vertical="center"/>
    </xf>
    <xf numFmtId="3" fontId="18" fillId="0" borderId="45" xfId="5" applyNumberFormat="1" applyFont="1" applyBorder="1" applyAlignment="1">
      <alignment horizontal="right" vertical="center"/>
    </xf>
    <xf numFmtId="0" fontId="18" fillId="0" borderId="46" xfId="5" applyFont="1" applyBorder="1" applyAlignment="1">
      <alignment horizontal="right" vertical="center"/>
    </xf>
    <xf numFmtId="0" fontId="8" fillId="0" borderId="47" xfId="5" applyBorder="1" applyAlignment="1">
      <alignment horizontal="center" vertical="center"/>
    </xf>
    <xf numFmtId="0" fontId="8" fillId="0" borderId="48" xfId="5" applyBorder="1" applyAlignment="1">
      <alignment horizontal="center" vertical="center"/>
    </xf>
    <xf numFmtId="180" fontId="16" fillId="3" borderId="1" xfId="5" applyNumberFormat="1" applyFont="1" applyFill="1" applyBorder="1" applyAlignment="1">
      <alignment horizontal="right" vertical="center"/>
    </xf>
    <xf numFmtId="0" fontId="8" fillId="2" borderId="45" xfId="5" applyFill="1" applyBorder="1" applyAlignment="1">
      <alignment horizontal="center" vertical="center"/>
    </xf>
    <xf numFmtId="0" fontId="8" fillId="2" borderId="46" xfId="5" applyFill="1" applyBorder="1" applyAlignment="1">
      <alignment horizontal="center" vertical="center"/>
    </xf>
    <xf numFmtId="0" fontId="8" fillId="2" borderId="47" xfId="5" applyFill="1" applyBorder="1" applyAlignment="1">
      <alignment horizontal="center" vertical="center"/>
    </xf>
    <xf numFmtId="0" fontId="8" fillId="2" borderId="53" xfId="5" applyFill="1" applyBorder="1" applyAlignment="1">
      <alignment horizontal="center" vertical="center"/>
    </xf>
    <xf numFmtId="182" fontId="8" fillId="0" borderId="49" xfId="5" applyNumberFormat="1" applyBorder="1" applyAlignment="1">
      <alignment horizontal="right" vertical="center"/>
    </xf>
    <xf numFmtId="182" fontId="8" fillId="0" borderId="46" xfId="5" applyNumberFormat="1" applyBorder="1" applyAlignment="1">
      <alignment horizontal="right" vertical="center"/>
    </xf>
    <xf numFmtId="182" fontId="16" fillId="3" borderId="45" xfId="5" applyNumberFormat="1" applyFont="1" applyFill="1" applyBorder="1" applyAlignment="1">
      <alignment horizontal="right" vertical="center"/>
    </xf>
    <xf numFmtId="182" fontId="16" fillId="3" borderId="46" xfId="5" applyNumberFormat="1" applyFont="1" applyFill="1" applyBorder="1">
      <alignment vertical="center"/>
    </xf>
    <xf numFmtId="183" fontId="16" fillId="3" borderId="1" xfId="5" applyNumberFormat="1" applyFont="1" applyFill="1" applyBorder="1" applyAlignment="1">
      <alignment horizontal="center" vertical="center"/>
    </xf>
    <xf numFmtId="0" fontId="8" fillId="2" borderId="45" xfId="5" applyFill="1" applyBorder="1" applyAlignment="1">
      <alignment horizontal="center" vertical="center" wrapText="1"/>
    </xf>
    <xf numFmtId="0" fontId="8" fillId="2" borderId="46" xfId="5" applyFill="1" applyBorder="1" applyAlignment="1">
      <alignment horizontal="center" vertical="center" wrapText="1"/>
    </xf>
    <xf numFmtId="0" fontId="8" fillId="2" borderId="47" xfId="5" applyFill="1" applyBorder="1" applyAlignment="1">
      <alignment horizontal="center" vertical="center" wrapText="1"/>
    </xf>
    <xf numFmtId="0" fontId="8" fillId="2" borderId="1" xfId="5" applyFill="1" applyBorder="1" applyAlignment="1">
      <alignment horizontal="center" vertical="center" wrapText="1"/>
    </xf>
    <xf numFmtId="0" fontId="8" fillId="2" borderId="44" xfId="5" applyFill="1" applyBorder="1" applyAlignment="1">
      <alignment horizontal="center" vertical="center"/>
    </xf>
    <xf numFmtId="42" fontId="8" fillId="0" borderId="45" xfId="5" applyNumberFormat="1" applyBorder="1" applyAlignment="1">
      <alignment horizontal="center" vertical="center"/>
    </xf>
    <xf numFmtId="42" fontId="8" fillId="0" borderId="48" xfId="5" applyNumberFormat="1" applyBorder="1" applyAlignment="1">
      <alignment horizontal="center" vertical="center"/>
    </xf>
    <xf numFmtId="0" fontId="8" fillId="0" borderId="49" xfId="5" applyBorder="1" applyAlignment="1">
      <alignment horizontal="center" vertical="center"/>
    </xf>
    <xf numFmtId="0" fontId="8" fillId="2" borderId="50" xfId="5" applyFill="1" applyBorder="1" applyAlignment="1">
      <alignment horizontal="center" vertical="distributed"/>
    </xf>
    <xf numFmtId="0" fontId="8" fillId="2" borderId="51" xfId="5" applyFill="1" applyBorder="1" applyAlignment="1">
      <alignment horizontal="center" vertical="distributed"/>
    </xf>
    <xf numFmtId="0" fontId="8" fillId="0" borderId="19" xfId="5" applyBorder="1" applyAlignment="1">
      <alignment horizontal="center" vertical="center"/>
    </xf>
    <xf numFmtId="0" fontId="8" fillId="0" borderId="20" xfId="5" applyBorder="1" applyAlignment="1">
      <alignment horizontal="center" vertical="center"/>
    </xf>
    <xf numFmtId="0" fontId="8" fillId="0" borderId="25" xfId="5" applyBorder="1" applyAlignment="1">
      <alignment horizontal="center" vertical="center"/>
    </xf>
    <xf numFmtId="0" fontId="8" fillId="0" borderId="22" xfId="5" applyBorder="1" applyAlignment="1">
      <alignment horizontal="center" vertical="center"/>
    </xf>
    <xf numFmtId="0" fontId="8" fillId="0" borderId="26" xfId="5" applyBorder="1" applyAlignment="1">
      <alignment horizontal="center" vertical="center"/>
    </xf>
    <xf numFmtId="0" fontId="8" fillId="0" borderId="23" xfId="5" applyBorder="1" applyAlignment="1">
      <alignment horizontal="center" vertical="center"/>
    </xf>
    <xf numFmtId="6" fontId="8" fillId="0" borderId="19" xfId="5" applyNumberFormat="1" applyBorder="1" applyAlignment="1">
      <alignment horizontal="center" vertical="center"/>
    </xf>
    <xf numFmtId="0" fontId="8" fillId="0" borderId="24" xfId="5" applyBorder="1" applyAlignment="1">
      <alignment horizontal="center" vertical="center"/>
    </xf>
    <xf numFmtId="0" fontId="8" fillId="0" borderId="18" xfId="5" applyBorder="1" applyAlignment="1">
      <alignment horizontal="center" vertical="center"/>
    </xf>
    <xf numFmtId="0" fontId="8" fillId="0" borderId="32" xfId="5" applyBorder="1" applyAlignment="1">
      <alignment horizontal="center" vertical="center"/>
    </xf>
    <xf numFmtId="0" fontId="8" fillId="0" borderId="33" xfId="5" applyBorder="1" applyAlignment="1">
      <alignment horizontal="center" vertical="center"/>
    </xf>
    <xf numFmtId="181" fontId="8" fillId="0" borderId="19" xfId="5" applyNumberFormat="1" applyBorder="1" applyAlignment="1">
      <alignment horizontal="center" vertical="center"/>
    </xf>
    <xf numFmtId="181" fontId="8" fillId="0" borderId="20" xfId="5" applyNumberFormat="1" applyBorder="1" applyAlignment="1">
      <alignment horizontal="center" vertical="center"/>
    </xf>
    <xf numFmtId="181" fontId="8" fillId="0" borderId="33" xfId="5" applyNumberFormat="1" applyBorder="1" applyAlignment="1">
      <alignment horizontal="center" vertical="center"/>
    </xf>
    <xf numFmtId="181" fontId="8" fillId="0" borderId="34" xfId="5" applyNumberFormat="1" applyBorder="1" applyAlignment="1">
      <alignment horizontal="center" vertical="center"/>
    </xf>
    <xf numFmtId="0" fontId="8" fillId="0" borderId="37" xfId="5" applyBorder="1" applyAlignment="1">
      <alignment horizontal="center" vertical="center"/>
    </xf>
    <xf numFmtId="0" fontId="8" fillId="0" borderId="38" xfId="5" applyBorder="1" applyAlignment="1">
      <alignment horizontal="center" vertical="center"/>
    </xf>
    <xf numFmtId="0" fontId="8" fillId="0" borderId="39" xfId="5" applyBorder="1" applyAlignment="1">
      <alignment horizontal="center" vertical="center"/>
    </xf>
    <xf numFmtId="0" fontId="8" fillId="0" borderId="40" xfId="5" applyBorder="1" applyAlignment="1">
      <alignment horizontal="center" vertical="center"/>
    </xf>
    <xf numFmtId="0" fontId="11" fillId="0" borderId="2" xfId="5" applyFont="1" applyBorder="1" applyAlignment="1">
      <alignment horizontal="center" vertical="center" wrapText="1"/>
    </xf>
    <xf numFmtId="0" fontId="11" fillId="0" borderId="3" xfId="5" applyFont="1" applyBorder="1" applyAlignment="1">
      <alignment horizontal="center" vertical="center" wrapText="1"/>
    </xf>
    <xf numFmtId="0" fontId="11" fillId="0" borderId="5" xfId="5" applyFont="1" applyBorder="1" applyAlignment="1">
      <alignment horizontal="center" vertical="center" wrapText="1"/>
    </xf>
    <xf numFmtId="0" fontId="11" fillId="0" borderId="0" xfId="5" applyFont="1" applyAlignment="1">
      <alignment horizontal="center" vertical="center" wrapText="1"/>
    </xf>
    <xf numFmtId="0" fontId="11" fillId="0" borderId="7" xfId="5" applyFont="1" applyBorder="1" applyAlignment="1">
      <alignment horizontal="center" vertical="center" wrapText="1"/>
    </xf>
    <xf numFmtId="0" fontId="11" fillId="0" borderId="8" xfId="5" applyFont="1" applyBorder="1" applyAlignment="1">
      <alignment horizontal="center" vertical="center" wrapText="1"/>
    </xf>
    <xf numFmtId="0" fontId="25" fillId="0" borderId="3" xfId="5" applyFont="1" applyBorder="1" applyAlignment="1">
      <alignment horizontal="left" vertical="center" indent="4"/>
    </xf>
    <xf numFmtId="0" fontId="25" fillId="0" borderId="4" xfId="5" applyFont="1" applyBorder="1" applyAlignment="1">
      <alignment horizontal="left" vertical="center" indent="4"/>
    </xf>
    <xf numFmtId="0" fontId="25" fillId="0" borderId="0" xfId="5" applyFont="1" applyAlignment="1">
      <alignment horizontal="left" vertical="center" indent="4"/>
    </xf>
    <xf numFmtId="0" fontId="25" fillId="0" borderId="6" xfId="5" applyFont="1" applyBorder="1" applyAlignment="1">
      <alignment horizontal="left" vertical="center" indent="4"/>
    </xf>
    <xf numFmtId="0" fontId="25" fillId="0" borderId="8" xfId="5" applyFont="1" applyBorder="1" applyAlignment="1">
      <alignment horizontal="left" vertical="center" indent="4"/>
    </xf>
    <xf numFmtId="0" fontId="8" fillId="0" borderId="9" xfId="5" applyBorder="1" applyAlignment="1">
      <alignment horizontal="center" vertical="center"/>
    </xf>
    <xf numFmtId="0" fontId="8" fillId="0" borderId="10" xfId="5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0" fontId="13" fillId="0" borderId="11" xfId="5" applyFont="1" applyBorder="1" applyAlignment="1">
      <alignment horizontal="center" vertical="center"/>
    </xf>
    <xf numFmtId="0" fontId="13" fillId="0" borderId="19" xfId="5" applyFont="1" applyBorder="1" applyAlignment="1">
      <alignment horizontal="center" vertical="center"/>
    </xf>
    <xf numFmtId="0" fontId="13" fillId="0" borderId="20" xfId="5" applyFont="1" applyBorder="1" applyAlignment="1">
      <alignment horizontal="center" vertical="center"/>
    </xf>
    <xf numFmtId="0" fontId="8" fillId="0" borderId="12" xfId="5" applyBorder="1" applyAlignment="1">
      <alignment horizontal="center" vertical="center" wrapText="1"/>
    </xf>
    <xf numFmtId="0" fontId="8" fillId="0" borderId="13" xfId="5" applyBorder="1" applyAlignment="1">
      <alignment horizontal="center" vertical="center"/>
    </xf>
    <xf numFmtId="0" fontId="8" fillId="0" borderId="21" xfId="5" applyBorder="1" applyAlignment="1">
      <alignment horizontal="center" vertical="center"/>
    </xf>
    <xf numFmtId="0" fontId="8" fillId="0" borderId="35" xfId="5" applyBorder="1" applyAlignment="1">
      <alignment horizontal="center" vertical="center"/>
    </xf>
    <xf numFmtId="0" fontId="8" fillId="0" borderId="36" xfId="5" applyBorder="1" applyAlignment="1">
      <alignment horizontal="center" vertical="center"/>
    </xf>
    <xf numFmtId="0" fontId="8" fillId="0" borderId="14" xfId="5" applyBorder="1" applyAlignment="1">
      <alignment horizontal="center" vertical="center"/>
    </xf>
    <xf numFmtId="0" fontId="8" fillId="0" borderId="15" xfId="5" applyBorder="1" applyAlignment="1">
      <alignment horizontal="center" vertical="center"/>
    </xf>
    <xf numFmtId="6" fontId="8" fillId="0" borderId="16" xfId="5" applyNumberFormat="1" applyBorder="1" applyAlignment="1">
      <alignment horizontal="center" vertical="center"/>
    </xf>
    <xf numFmtId="0" fontId="8" fillId="0" borderId="17" xfId="5" applyBorder="1" applyAlignment="1">
      <alignment horizontal="center" vertical="center"/>
    </xf>
  </cellXfs>
  <cellStyles count="8">
    <cellStyle name="백분율" xfId="2" builtinId="5"/>
    <cellStyle name="백분율 2" xfId="6" xr:uid="{00000000-0005-0000-0000-000001000000}"/>
    <cellStyle name="쉼표 [0]" xfId="1" builtinId="6"/>
    <cellStyle name="표준" xfId="0" builtinId="0"/>
    <cellStyle name="표준 13" xfId="7" xr:uid="{00000000-0005-0000-0000-000004000000}"/>
    <cellStyle name="표준 2" xfId="3" xr:uid="{00000000-0005-0000-0000-000005000000}"/>
    <cellStyle name="표준 2 2" xfId="4" xr:uid="{00000000-0005-0000-0000-000006000000}"/>
    <cellStyle name="표준 3" xfId="5" xr:uid="{00000000-0005-0000-0000-000007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9324;&#52636;&#44204;&#51201;&#49436;&#50577;&#49885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&#49324;&#52636;&#50896;&#44032;&#48516;&#49437;!A1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158751</xdr:colOff>
      <xdr:row>0</xdr:row>
      <xdr:rowOff>177240</xdr:rowOff>
    </xdr:from>
    <xdr:to>
      <xdr:col>25</xdr:col>
      <xdr:colOff>547689</xdr:colOff>
      <xdr:row>2</xdr:row>
      <xdr:rowOff>222063</xdr:rowOff>
    </xdr:to>
    <xdr:sp macro="" textlink="">
      <xdr:nvSpPr>
        <xdr:cNvPr id="2" name="화살표: 오른쪽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EEC6C3-D157-4E38-BB3E-2863E31E7518}"/>
            </a:ext>
          </a:extLst>
        </xdr:cNvPr>
        <xdr:cNvSpPr/>
      </xdr:nvSpPr>
      <xdr:spPr>
        <a:xfrm>
          <a:off x="9842501" y="177240"/>
          <a:ext cx="1500188" cy="854448"/>
        </a:xfrm>
        <a:prstGeom prst="rightArrow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400" b="1">
              <a:solidFill>
                <a:sysClr val="windowText" lastClr="000000"/>
              </a:solidFill>
            </a:rPr>
            <a:t>    </a:t>
          </a:r>
          <a:r>
            <a:rPr lang="ko-KR" altLang="en-US" sz="1400" b="1">
              <a:solidFill>
                <a:srgbClr val="FF0000"/>
              </a:solidFill>
            </a:rPr>
            <a:t>사출견적서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9526</xdr:rowOff>
    </xdr:from>
    <xdr:to>
      <xdr:col>14</xdr:col>
      <xdr:colOff>544830</xdr:colOff>
      <xdr:row>13</xdr:row>
      <xdr:rowOff>152401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F8F9F9D-D605-414D-9A81-70971B43CED7}"/>
            </a:ext>
          </a:extLst>
        </xdr:cNvPr>
        <xdr:cNvSpPr/>
      </xdr:nvSpPr>
      <xdr:spPr>
        <a:xfrm>
          <a:off x="3853815" y="2425066"/>
          <a:ext cx="2787015" cy="30289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C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</xdr:row>
          <xdr:rowOff>53340</xdr:rowOff>
        </xdr:from>
        <xdr:to>
          <xdr:col>14</xdr:col>
          <xdr:colOff>548640</xdr:colOff>
          <xdr:row>3</xdr:row>
          <xdr:rowOff>383944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FD0B174D-39F6-460B-9A4F-DA07DEF9B2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$74:$AB$76" spid="_x0000_s10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90060" y="182880"/>
              <a:ext cx="2354580" cy="90972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16</xdr:col>
      <xdr:colOff>502920</xdr:colOff>
      <xdr:row>1</xdr:row>
      <xdr:rowOff>45720</xdr:rowOff>
    </xdr:from>
    <xdr:to>
      <xdr:col>17</xdr:col>
      <xdr:colOff>678180</xdr:colOff>
      <xdr:row>3</xdr:row>
      <xdr:rowOff>205740</xdr:rowOff>
    </xdr:to>
    <xdr:sp macro="" textlink="">
      <xdr:nvSpPr>
        <xdr:cNvPr id="2" name="화살표: 왼쪽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318FDF-41D2-4340-B3B3-65C1525A4C1E}"/>
            </a:ext>
          </a:extLst>
        </xdr:cNvPr>
        <xdr:cNvSpPr/>
      </xdr:nvSpPr>
      <xdr:spPr>
        <a:xfrm>
          <a:off x="8465820" y="175260"/>
          <a:ext cx="1325880" cy="739140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rgbClr val="FF0000"/>
              </a:solidFill>
            </a:rPr>
            <a:t> </a:t>
          </a:r>
          <a:r>
            <a:rPr lang="ko-KR" altLang="en-US" sz="1200" b="1">
              <a:solidFill>
                <a:srgbClr val="FF0000"/>
              </a:solidFill>
            </a:rPr>
            <a:t>사출원가분석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22860</xdr:colOff>
      <xdr:row>1</xdr:row>
      <xdr:rowOff>30480</xdr:rowOff>
    </xdr:from>
    <xdr:to>
      <xdr:col>3</xdr:col>
      <xdr:colOff>0</xdr:colOff>
      <xdr:row>3</xdr:row>
      <xdr:rowOff>388620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1E0B14AA-A6C5-4879-A9ED-3ED118C9A8E4}"/>
            </a:ext>
          </a:extLst>
        </xdr:cNvPr>
        <xdr:cNvSpPr/>
      </xdr:nvSpPr>
      <xdr:spPr>
        <a:xfrm>
          <a:off x="152400" y="160020"/>
          <a:ext cx="861060" cy="93726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C4:AD17" totalsRowShown="0" headerRowDxfId="5" headerRowBorderDxfId="4" tableBorderDxfId="3" totalsRowBorderDxfId="2">
  <autoFilter ref="AC4:AD17" xr:uid="{00000000-0009-0000-0100-000001000000}"/>
  <tableColumns count="2">
    <tableColumn id="1" xr3:uid="{00000000-0010-0000-0000-000001000000}" name="설비톤수" dataDxfId="1"/>
    <tableColumn id="2" xr3:uid="{00000000-0010-0000-0000-000002000000}" name="임률" dataDxfId="0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17"/>
  <sheetViews>
    <sheetView zoomScale="145" zoomScaleNormal="145" workbookViewId="0">
      <pane xSplit="21" ySplit="4" topLeftCell="V5" activePane="bottomRight" state="frozen"/>
      <selection pane="topRight" activeCell="U1" sqref="U1"/>
      <selection pane="bottomLeft" activeCell="A5" sqref="A5"/>
      <selection pane="bottomRight" activeCell="AF5" sqref="AF5:AF16"/>
    </sheetView>
  </sheetViews>
  <sheetFormatPr defaultRowHeight="16.5" outlineLevelCol="2" x14ac:dyDescent="0.3"/>
  <cols>
    <col min="1" max="1" width="5.25" style="4" bestFit="1" customWidth="1"/>
    <col min="2" max="2" width="7.75" customWidth="1"/>
    <col min="3" max="3" width="8.375" customWidth="1"/>
    <col min="4" max="4" width="7.25" customWidth="1"/>
    <col min="5" max="5" width="8" bestFit="1" customWidth="1"/>
    <col min="6" max="6" width="9.375" customWidth="1"/>
    <col min="7" max="7" width="10" customWidth="1"/>
    <col min="8" max="8" width="10.875" customWidth="1" outlineLevel="1"/>
    <col min="9" max="9" width="12.25" customWidth="1" outlineLevel="1"/>
    <col min="10" max="10" width="10.875" customWidth="1" outlineLevel="1"/>
    <col min="11" max="11" width="8" customWidth="1"/>
    <col min="12" max="12" width="9.125" customWidth="1"/>
    <col min="13" max="13" width="36" hidden="1" customWidth="1"/>
    <col min="14" max="14" width="8.625" hidden="1" customWidth="1" outlineLevel="1"/>
    <col min="15" max="15" width="10.75" hidden="1" customWidth="1" outlineLevel="1"/>
    <col min="16" max="16" width="6.125" hidden="1" customWidth="1" outlineLevel="1"/>
    <col min="17" max="17" width="8.375" hidden="1" customWidth="1" outlineLevel="1"/>
    <col min="18" max="18" width="8.625" hidden="1" customWidth="1" outlineLevel="1"/>
    <col min="19" max="19" width="7.125" hidden="1" customWidth="1" outlineLevel="1"/>
    <col min="20" max="20" width="8" hidden="1" customWidth="1" outlineLevel="1"/>
    <col min="21" max="21" width="7.5" hidden="1" customWidth="1" collapsed="1"/>
    <col min="22" max="22" width="3.375" hidden="1" customWidth="1"/>
    <col min="23" max="23" width="5.75" hidden="1" customWidth="1" outlineLevel="1"/>
    <col min="24" max="27" width="7.25" hidden="1" customWidth="1" outlineLevel="1"/>
    <col min="28" max="28" width="3.625" customWidth="1" collapsed="1"/>
    <col min="29" max="29" width="10.125" customWidth="1" outlineLevel="1"/>
    <col min="30" max="30" width="11.75" customWidth="1" outlineLevel="1"/>
    <col min="31" max="31" width="3" customWidth="1" outlineLevel="1"/>
    <col min="32" max="32" width="5.75" customWidth="1" outlineLevel="1"/>
    <col min="33" max="33" width="9.625" customWidth="1" outlineLevel="1"/>
    <col min="34" max="44" width="6.25" style="7" hidden="1" customWidth="1" outlineLevel="2"/>
    <col min="45" max="45" width="7.25" style="7" hidden="1" customWidth="1" outlineLevel="2"/>
    <col min="46" max="46" width="6.375" customWidth="1" outlineLevel="1" collapsed="1"/>
    <col min="47" max="47" width="3" customWidth="1" outlineLevel="1"/>
    <col min="48" max="51" width="8.75" customWidth="1" outlineLevel="1"/>
  </cols>
  <sheetData>
    <row r="1" spans="1:51" ht="46.5" x14ac:dyDescent="0.3">
      <c r="A1" s="72" t="s">
        <v>121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AC1" s="112" t="s">
        <v>148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U2" s="103" t="s">
        <v>164</v>
      </c>
      <c r="AI2"/>
      <c r="AK2"/>
      <c r="AM2"/>
      <c r="AO2"/>
      <c r="AQ2"/>
      <c r="AS2"/>
      <c r="AT2" s="7"/>
    </row>
    <row r="3" spans="1:51" ht="17.25" thickBot="1" x14ac:dyDescent="0.35">
      <c r="F3" s="101" t="s">
        <v>168</v>
      </c>
      <c r="G3" s="101" t="s">
        <v>20</v>
      </c>
      <c r="H3" s="101"/>
      <c r="I3" s="101"/>
      <c r="J3" s="101"/>
      <c r="K3" s="101" t="s">
        <v>165</v>
      </c>
      <c r="L3" s="101" t="s">
        <v>167</v>
      </c>
      <c r="M3" s="101" t="s">
        <v>166</v>
      </c>
      <c r="N3" s="101" t="s">
        <v>161</v>
      </c>
      <c r="O3" s="88"/>
      <c r="P3" s="88"/>
      <c r="Q3" s="88"/>
      <c r="R3" s="102">
        <v>0.1</v>
      </c>
      <c r="S3" s="102">
        <v>0.1</v>
      </c>
      <c r="T3" s="102">
        <v>0.1</v>
      </c>
      <c r="AC3" s="88" t="s">
        <v>145</v>
      </c>
      <c r="AD3" s="88"/>
      <c r="AE3" s="88"/>
      <c r="AF3" s="88" t="s">
        <v>146</v>
      </c>
      <c r="AG3" s="88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8"/>
      <c r="AU3" s="88"/>
      <c r="AV3" s="88" t="s">
        <v>147</v>
      </c>
      <c r="AW3" s="88"/>
      <c r="AX3" s="88"/>
    </row>
    <row r="4" spans="1:51" ht="30.6" customHeight="1" thickTop="1" thickBot="1" x14ac:dyDescent="0.35">
      <c r="A4" s="90" t="s">
        <v>19</v>
      </c>
      <c r="B4" s="90" t="s">
        <v>152</v>
      </c>
      <c r="C4" s="90" t="s">
        <v>24</v>
      </c>
      <c r="D4" s="83" t="s">
        <v>0</v>
      </c>
      <c r="E4" s="83" t="s">
        <v>1</v>
      </c>
      <c r="F4" s="83" t="s">
        <v>2</v>
      </c>
      <c r="G4" s="83" t="s">
        <v>163</v>
      </c>
      <c r="H4" s="82" t="s">
        <v>3</v>
      </c>
      <c r="I4" s="82" t="s">
        <v>12</v>
      </c>
      <c r="J4" s="82" t="s">
        <v>13</v>
      </c>
      <c r="K4" s="83" t="s">
        <v>14</v>
      </c>
      <c r="L4" s="83" t="s">
        <v>10</v>
      </c>
      <c r="M4" s="83" t="s">
        <v>11</v>
      </c>
      <c r="N4" s="82" t="s">
        <v>4</v>
      </c>
      <c r="O4" s="82" t="s">
        <v>162</v>
      </c>
      <c r="P4" s="92" t="s">
        <v>6</v>
      </c>
      <c r="Q4" s="96" t="s">
        <v>154</v>
      </c>
      <c r="R4" s="94" t="s">
        <v>7</v>
      </c>
      <c r="S4" s="82" t="s">
        <v>8</v>
      </c>
      <c r="T4" s="92" t="s">
        <v>9</v>
      </c>
      <c r="U4" s="98" t="s">
        <v>160</v>
      </c>
      <c r="W4" s="113" t="s">
        <v>169</v>
      </c>
      <c r="AC4" s="116" t="s">
        <v>14</v>
      </c>
      <c r="AD4" s="117" t="s">
        <v>5</v>
      </c>
      <c r="AE4" s="7"/>
      <c r="AF4" s="67" t="s">
        <v>27</v>
      </c>
      <c r="AG4" s="67" t="s">
        <v>29</v>
      </c>
      <c r="AH4" s="86" t="s">
        <v>133</v>
      </c>
      <c r="AI4" s="86" t="s">
        <v>134</v>
      </c>
      <c r="AJ4" s="86" t="s">
        <v>135</v>
      </c>
      <c r="AK4" s="86" t="s">
        <v>136</v>
      </c>
      <c r="AL4" s="86" t="s">
        <v>137</v>
      </c>
      <c r="AM4" s="86" t="s">
        <v>138</v>
      </c>
      <c r="AN4" s="86" t="s">
        <v>139</v>
      </c>
      <c r="AO4" s="86" t="s">
        <v>140</v>
      </c>
      <c r="AP4" s="86" t="s">
        <v>141</v>
      </c>
      <c r="AQ4" s="86" t="s">
        <v>142</v>
      </c>
      <c r="AR4" s="86" t="s">
        <v>143</v>
      </c>
      <c r="AS4" s="86" t="s">
        <v>144</v>
      </c>
      <c r="AT4" s="68" t="s">
        <v>28</v>
      </c>
      <c r="AV4" s="71" t="s">
        <v>25</v>
      </c>
      <c r="AW4" s="71" t="s">
        <v>124</v>
      </c>
      <c r="AX4" s="71" t="s">
        <v>131</v>
      </c>
      <c r="AY4" s="71" t="s">
        <v>130</v>
      </c>
    </row>
    <row r="5" spans="1:51" ht="17.25" thickTop="1" x14ac:dyDescent="0.25">
      <c r="A5" s="77">
        <f>ROW()-4</f>
        <v>1</v>
      </c>
      <c r="B5" s="78"/>
      <c r="C5" s="77"/>
      <c r="D5" s="79" t="s">
        <v>171</v>
      </c>
      <c r="E5" s="80" t="s">
        <v>30</v>
      </c>
      <c r="F5" s="80">
        <v>13</v>
      </c>
      <c r="G5" s="80">
        <v>13</v>
      </c>
      <c r="H5" s="100">
        <f>IFERROR((F5+G5)/L5,"")</f>
        <v>6.5</v>
      </c>
      <c r="I5" s="91">
        <f>IF($E5="","",VLOOKUP($E5,$AG$4:$AT$16,14,0))</f>
        <v>2400</v>
      </c>
      <c r="J5" s="85">
        <f>IFERROR((I5/1000)*H5,"")</f>
        <v>15.6</v>
      </c>
      <c r="K5" s="80">
        <v>220</v>
      </c>
      <c r="L5" s="81">
        <v>4</v>
      </c>
      <c r="M5" s="80">
        <v>45</v>
      </c>
      <c r="N5" s="84">
        <f>IFERROR(79200/M5*L5,"")</f>
        <v>7040</v>
      </c>
      <c r="O5" s="120">
        <f t="shared" ref="O5:O17" si="0">IFERROR(VLOOKUP(K5,$AC$5:$AD$17,2,0),"")</f>
        <v>300000</v>
      </c>
      <c r="P5" s="93">
        <f>IFERROR(O5/N5,"")</f>
        <v>42.613636363636367</v>
      </c>
      <c r="Q5" s="97">
        <f>IFERROR(J5+P5,"")</f>
        <v>58.213636363636368</v>
      </c>
      <c r="R5" s="95">
        <f>IFERROR((J5+P5)*$R$3,"")</f>
        <v>5.8213636363636372</v>
      </c>
      <c r="S5" s="85">
        <f>IFERROR((J5+P5+R5)*$S$3,"")</f>
        <v>6.4035000000000011</v>
      </c>
      <c r="T5" s="93">
        <f>IFERROR((J5+P5+R5+S5)*$T$3,"")</f>
        <v>7.0438500000000008</v>
      </c>
      <c r="U5" s="99">
        <f>IFERROR(J5+P5+R5+S5+T5,"")</f>
        <v>77.482350000000011</v>
      </c>
      <c r="V5" s="10"/>
      <c r="W5" s="1" t="s">
        <v>15</v>
      </c>
      <c r="AC5" s="114">
        <v>100</v>
      </c>
      <c r="AD5" s="115">
        <v>160000</v>
      </c>
      <c r="AE5" s="8"/>
      <c r="AF5" s="70" t="s">
        <v>25</v>
      </c>
      <c r="AG5" s="69" t="s">
        <v>155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11">
        <v>2600</v>
      </c>
      <c r="AT5" s="11">
        <f>AVERAGE(AH5:AS5)</f>
        <v>2600</v>
      </c>
      <c r="AV5" s="69" t="s">
        <v>122</v>
      </c>
      <c r="AW5" s="69" t="s">
        <v>125</v>
      </c>
      <c r="AX5" s="69" t="s">
        <v>128</v>
      </c>
      <c r="AY5" s="69" t="s">
        <v>132</v>
      </c>
    </row>
    <row r="6" spans="1:51" x14ac:dyDescent="0.25">
      <c r="A6" s="73">
        <f t="shared" ref="A6:A17" si="1">ROW()-4</f>
        <v>2</v>
      </c>
      <c r="B6" s="5"/>
      <c r="C6" s="73"/>
      <c r="D6" s="74" t="s">
        <v>31</v>
      </c>
      <c r="E6" s="75"/>
      <c r="F6" s="75"/>
      <c r="G6" s="75"/>
      <c r="H6" s="100" t="str">
        <f t="shared" ref="H6:H17" si="2">IFERROR((F6+G6)/L6,"")</f>
        <v/>
      </c>
      <c r="I6" s="91" t="str">
        <f t="shared" ref="I6:I17" si="3">IF($E6="","",VLOOKUP($E6,$AG$4:$AT$16,14,0))</f>
        <v/>
      </c>
      <c r="J6" s="85" t="str">
        <f t="shared" ref="J6:J17" si="4">IFERROR((I6/1000)*H6,"")</f>
        <v/>
      </c>
      <c r="K6" s="75"/>
      <c r="L6" s="76"/>
      <c r="M6" s="75"/>
      <c r="N6" s="84" t="str">
        <f t="shared" ref="N6:N17" si="5">IFERROR(79200/M6*L6,"")</f>
        <v/>
      </c>
      <c r="O6" s="120" t="str">
        <f t="shared" si="0"/>
        <v/>
      </c>
      <c r="P6" s="93" t="str">
        <f t="shared" ref="P6:P17" si="6">IFERROR(O6/N6,"")</f>
        <v/>
      </c>
      <c r="Q6" s="97" t="str">
        <f t="shared" ref="Q6:Q17" si="7">IFERROR(J6+P6,"")</f>
        <v/>
      </c>
      <c r="R6" s="95" t="str">
        <f t="shared" ref="R6:R17" si="8">IFERROR((J6+P6)*$R$3,"")</f>
        <v/>
      </c>
      <c r="S6" s="85" t="str">
        <f t="shared" ref="S6:S17" si="9">IFERROR((J6+P6+R6)*$S$3,"")</f>
        <v/>
      </c>
      <c r="T6" s="93" t="str">
        <f t="shared" ref="T6:T17" si="10">IFERROR((J6+P6+R6+S6)*$T$3,"")</f>
        <v/>
      </c>
      <c r="U6" s="99" t="str">
        <f t="shared" ref="U6:U17" si="11">IFERROR(J6+P6+R6+S6+T6,"")</f>
        <v/>
      </c>
      <c r="V6" s="10"/>
      <c r="W6" s="2" t="s">
        <v>16</v>
      </c>
      <c r="AC6" s="114">
        <v>120</v>
      </c>
      <c r="AD6" s="115">
        <v>180000</v>
      </c>
      <c r="AE6" s="8"/>
      <c r="AF6" s="70" t="s">
        <v>25</v>
      </c>
      <c r="AG6" s="69" t="s">
        <v>30</v>
      </c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11">
        <v>2400</v>
      </c>
      <c r="AT6" s="11">
        <f t="shared" ref="AT6:AT16" si="12">AVERAGE(AH6:AS6)</f>
        <v>2400</v>
      </c>
      <c r="AV6" s="69" t="s">
        <v>30</v>
      </c>
      <c r="AW6" s="69">
        <v>4017</v>
      </c>
      <c r="AX6" s="69">
        <v>5321</v>
      </c>
      <c r="AY6" s="69" t="s">
        <v>32</v>
      </c>
    </row>
    <row r="7" spans="1:51" ht="17.25" thickBot="1" x14ac:dyDescent="0.3">
      <c r="A7" s="73">
        <f t="shared" si="1"/>
        <v>3</v>
      </c>
      <c r="B7" s="5"/>
      <c r="C7" s="73"/>
      <c r="D7" s="74"/>
      <c r="E7" s="75"/>
      <c r="F7" s="75"/>
      <c r="G7" s="75"/>
      <c r="H7" s="100" t="str">
        <f t="shared" si="2"/>
        <v/>
      </c>
      <c r="I7" s="91" t="str">
        <f t="shared" si="3"/>
        <v/>
      </c>
      <c r="J7" s="85" t="str">
        <f t="shared" si="4"/>
        <v/>
      </c>
      <c r="K7" s="75"/>
      <c r="L7" s="76"/>
      <c r="M7" s="75"/>
      <c r="N7" s="84" t="str">
        <f t="shared" si="5"/>
        <v/>
      </c>
      <c r="O7" s="120" t="str">
        <f t="shared" si="0"/>
        <v/>
      </c>
      <c r="P7" s="93" t="str">
        <f t="shared" si="6"/>
        <v/>
      </c>
      <c r="Q7" s="97" t="str">
        <f t="shared" si="7"/>
        <v/>
      </c>
      <c r="R7" s="95" t="str">
        <f t="shared" si="8"/>
        <v/>
      </c>
      <c r="S7" s="85" t="str">
        <f t="shared" si="9"/>
        <v/>
      </c>
      <c r="T7" s="93" t="str">
        <f t="shared" si="10"/>
        <v/>
      </c>
      <c r="U7" s="99" t="str">
        <f t="shared" si="11"/>
        <v/>
      </c>
      <c r="V7" s="10"/>
      <c r="W7" s="2" t="s">
        <v>17</v>
      </c>
      <c r="AC7" s="114">
        <v>130</v>
      </c>
      <c r="AD7" s="115">
        <v>200000</v>
      </c>
      <c r="AE7" s="8"/>
      <c r="AF7" s="108" t="s">
        <v>25</v>
      </c>
      <c r="AG7" s="109" t="s">
        <v>123</v>
      </c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1">
        <v>2600</v>
      </c>
      <c r="AT7" s="111">
        <f t="shared" si="12"/>
        <v>2600</v>
      </c>
      <c r="AV7" s="69" t="s">
        <v>123</v>
      </c>
      <c r="AW7" s="69" t="s">
        <v>126</v>
      </c>
      <c r="AX7" s="69" t="s">
        <v>129</v>
      </c>
    </row>
    <row r="8" spans="1:51" x14ac:dyDescent="0.25">
      <c r="A8" s="73">
        <f t="shared" si="1"/>
        <v>4</v>
      </c>
      <c r="B8" s="5"/>
      <c r="C8" s="73"/>
      <c r="D8" s="74"/>
      <c r="E8" s="75"/>
      <c r="F8" s="75"/>
      <c r="G8" s="75"/>
      <c r="H8" s="100" t="str">
        <f t="shared" si="2"/>
        <v/>
      </c>
      <c r="I8" s="91" t="str">
        <f t="shared" si="3"/>
        <v/>
      </c>
      <c r="J8" s="85" t="str">
        <f t="shared" si="4"/>
        <v/>
      </c>
      <c r="K8" s="75"/>
      <c r="L8" s="76"/>
      <c r="M8" s="75"/>
      <c r="N8" s="84" t="str">
        <f t="shared" si="5"/>
        <v/>
      </c>
      <c r="O8" s="120" t="str">
        <f t="shared" si="0"/>
        <v/>
      </c>
      <c r="P8" s="93" t="str">
        <f t="shared" si="6"/>
        <v/>
      </c>
      <c r="Q8" s="97" t="str">
        <f t="shared" si="7"/>
        <v/>
      </c>
      <c r="R8" s="95" t="str">
        <f t="shared" si="8"/>
        <v/>
      </c>
      <c r="S8" s="85" t="str">
        <f t="shared" si="9"/>
        <v/>
      </c>
      <c r="T8" s="93" t="str">
        <f t="shared" si="10"/>
        <v/>
      </c>
      <c r="U8" s="99" t="str">
        <f t="shared" si="11"/>
        <v/>
      </c>
      <c r="V8" s="10"/>
      <c r="W8" s="2" t="s">
        <v>18</v>
      </c>
      <c r="AC8" s="114">
        <v>150</v>
      </c>
      <c r="AD8" s="115">
        <v>250000</v>
      </c>
      <c r="AE8" s="8"/>
      <c r="AF8" s="104" t="s">
        <v>124</v>
      </c>
      <c r="AG8" s="105" t="s">
        <v>125</v>
      </c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1600</v>
      </c>
      <c r="AT8" s="107">
        <f t="shared" si="12"/>
        <v>1600</v>
      </c>
      <c r="AW8" s="69" t="s">
        <v>127</v>
      </c>
    </row>
    <row r="9" spans="1:51" x14ac:dyDescent="0.25">
      <c r="A9" s="73">
        <f t="shared" si="1"/>
        <v>5</v>
      </c>
      <c r="B9" s="5"/>
      <c r="C9" s="73"/>
      <c r="D9" s="74"/>
      <c r="E9" s="75"/>
      <c r="F9" s="75"/>
      <c r="G9" s="75"/>
      <c r="H9" s="100" t="str">
        <f t="shared" si="2"/>
        <v/>
      </c>
      <c r="I9" s="91" t="str">
        <f t="shared" si="3"/>
        <v/>
      </c>
      <c r="J9" s="85" t="str">
        <f t="shared" si="4"/>
        <v/>
      </c>
      <c r="K9" s="75"/>
      <c r="L9" s="76"/>
      <c r="M9" s="75"/>
      <c r="N9" s="84" t="str">
        <f t="shared" si="5"/>
        <v/>
      </c>
      <c r="O9" s="120" t="str">
        <f t="shared" si="0"/>
        <v/>
      </c>
      <c r="P9" s="93" t="str">
        <f t="shared" si="6"/>
        <v/>
      </c>
      <c r="Q9" s="97" t="str">
        <f t="shared" si="7"/>
        <v/>
      </c>
      <c r="R9" s="95" t="str">
        <f t="shared" si="8"/>
        <v/>
      </c>
      <c r="S9" s="85" t="str">
        <f t="shared" si="9"/>
        <v/>
      </c>
      <c r="T9" s="93" t="str">
        <f t="shared" si="10"/>
        <v/>
      </c>
      <c r="U9" s="99" t="str">
        <f t="shared" si="11"/>
        <v/>
      </c>
      <c r="V9" s="10"/>
      <c r="W9" s="2" t="s">
        <v>156</v>
      </c>
      <c r="AC9" s="114">
        <v>160</v>
      </c>
      <c r="AD9" s="115">
        <v>250000</v>
      </c>
      <c r="AE9" s="8"/>
      <c r="AF9" s="70" t="s">
        <v>31</v>
      </c>
      <c r="AG9" s="69">
        <v>4017</v>
      </c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11">
        <v>1600</v>
      </c>
      <c r="AT9" s="11">
        <f t="shared" si="12"/>
        <v>1600</v>
      </c>
    </row>
    <row r="10" spans="1:51" x14ac:dyDescent="0.25">
      <c r="A10" s="73">
        <f t="shared" si="1"/>
        <v>6</v>
      </c>
      <c r="B10" s="5"/>
      <c r="C10" s="73"/>
      <c r="D10" s="74"/>
      <c r="E10" s="75"/>
      <c r="F10" s="75"/>
      <c r="G10" s="75"/>
      <c r="H10" s="100" t="str">
        <f t="shared" si="2"/>
        <v/>
      </c>
      <c r="I10" s="91" t="str">
        <f t="shared" si="3"/>
        <v/>
      </c>
      <c r="J10" s="85" t="str">
        <f t="shared" si="4"/>
        <v/>
      </c>
      <c r="K10" s="75"/>
      <c r="L10" s="76"/>
      <c r="M10" s="75"/>
      <c r="N10" s="84" t="str">
        <f t="shared" si="5"/>
        <v/>
      </c>
      <c r="O10" s="120" t="str">
        <f t="shared" si="0"/>
        <v/>
      </c>
      <c r="P10" s="93" t="str">
        <f t="shared" si="6"/>
        <v/>
      </c>
      <c r="Q10" s="97" t="str">
        <f t="shared" si="7"/>
        <v/>
      </c>
      <c r="R10" s="95" t="str">
        <f t="shared" si="8"/>
        <v/>
      </c>
      <c r="S10" s="85" t="str">
        <f t="shared" si="9"/>
        <v/>
      </c>
      <c r="T10" s="93" t="str">
        <f t="shared" si="10"/>
        <v/>
      </c>
      <c r="U10" s="99" t="str">
        <f t="shared" si="11"/>
        <v/>
      </c>
      <c r="V10" s="10"/>
      <c r="W10" s="2" t="s">
        <v>157</v>
      </c>
      <c r="AC10" s="114">
        <v>170</v>
      </c>
      <c r="AD10" s="115">
        <v>250000</v>
      </c>
      <c r="AE10" s="8"/>
      <c r="AF10" s="70" t="s">
        <v>31</v>
      </c>
      <c r="AG10" s="69" t="s">
        <v>126</v>
      </c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11">
        <v>1800</v>
      </c>
      <c r="AT10" s="11">
        <f t="shared" si="12"/>
        <v>1800</v>
      </c>
    </row>
    <row r="11" spans="1:51" ht="17.25" thickBot="1" x14ac:dyDescent="0.3">
      <c r="A11" s="73">
        <f t="shared" si="1"/>
        <v>7</v>
      </c>
      <c r="B11" s="5"/>
      <c r="C11" s="73"/>
      <c r="D11" s="74"/>
      <c r="E11" s="75"/>
      <c r="F11" s="75"/>
      <c r="G11" s="75"/>
      <c r="H11" s="100" t="str">
        <f t="shared" si="2"/>
        <v/>
      </c>
      <c r="I11" s="91" t="str">
        <f t="shared" si="3"/>
        <v/>
      </c>
      <c r="J11" s="85" t="str">
        <f t="shared" si="4"/>
        <v/>
      </c>
      <c r="K11" s="75"/>
      <c r="L11" s="76"/>
      <c r="M11" s="75"/>
      <c r="N11" s="84" t="str">
        <f t="shared" si="5"/>
        <v/>
      </c>
      <c r="O11" s="120" t="str">
        <f t="shared" si="0"/>
        <v/>
      </c>
      <c r="P11" s="93" t="str">
        <f t="shared" si="6"/>
        <v/>
      </c>
      <c r="Q11" s="97" t="str">
        <f t="shared" si="7"/>
        <v/>
      </c>
      <c r="R11" s="95" t="str">
        <f t="shared" si="8"/>
        <v/>
      </c>
      <c r="S11" s="85" t="str">
        <f t="shared" si="9"/>
        <v/>
      </c>
      <c r="T11" s="93" t="str">
        <f t="shared" si="10"/>
        <v/>
      </c>
      <c r="U11" s="99" t="str">
        <f t="shared" si="11"/>
        <v/>
      </c>
      <c r="V11" s="10"/>
      <c r="W11" s="2" t="s">
        <v>158</v>
      </c>
      <c r="AC11" s="114">
        <v>180</v>
      </c>
      <c r="AD11" s="115">
        <v>270000</v>
      </c>
      <c r="AE11" s="8"/>
      <c r="AF11" s="108" t="s">
        <v>31</v>
      </c>
      <c r="AG11" s="109" t="s">
        <v>127</v>
      </c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1">
        <v>1600</v>
      </c>
      <c r="AT11" s="111">
        <f t="shared" si="12"/>
        <v>1600</v>
      </c>
    </row>
    <row r="12" spans="1:51" x14ac:dyDescent="0.25">
      <c r="A12" s="73">
        <f t="shared" si="1"/>
        <v>8</v>
      </c>
      <c r="B12" s="5"/>
      <c r="C12" s="73"/>
      <c r="D12" s="74"/>
      <c r="E12" s="75"/>
      <c r="F12" s="75"/>
      <c r="G12" s="75"/>
      <c r="H12" s="100" t="str">
        <f t="shared" si="2"/>
        <v/>
      </c>
      <c r="I12" s="91" t="str">
        <f t="shared" si="3"/>
        <v/>
      </c>
      <c r="J12" s="85" t="str">
        <f t="shared" si="4"/>
        <v/>
      </c>
      <c r="K12" s="75"/>
      <c r="L12" s="76"/>
      <c r="M12" s="75"/>
      <c r="N12" s="84" t="str">
        <f t="shared" si="5"/>
        <v/>
      </c>
      <c r="O12" s="120" t="str">
        <f t="shared" si="0"/>
        <v/>
      </c>
      <c r="P12" s="93" t="str">
        <f t="shared" si="6"/>
        <v/>
      </c>
      <c r="Q12" s="97" t="str">
        <f t="shared" si="7"/>
        <v/>
      </c>
      <c r="R12" s="95" t="str">
        <f t="shared" si="8"/>
        <v/>
      </c>
      <c r="S12" s="85" t="str">
        <f t="shared" si="9"/>
        <v/>
      </c>
      <c r="T12" s="93" t="str">
        <f t="shared" si="10"/>
        <v/>
      </c>
      <c r="U12" s="99" t="str">
        <f t="shared" si="11"/>
        <v/>
      </c>
      <c r="V12" s="10"/>
      <c r="W12" s="2" t="s">
        <v>159</v>
      </c>
      <c r="X12" s="3"/>
      <c r="AC12" s="114">
        <v>200</v>
      </c>
      <c r="AD12" s="115">
        <v>300000</v>
      </c>
      <c r="AE12" s="8"/>
      <c r="AF12" s="104" t="s">
        <v>131</v>
      </c>
      <c r="AG12" s="105" t="s">
        <v>128</v>
      </c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7">
        <v>1700</v>
      </c>
      <c r="AT12" s="107">
        <f t="shared" si="12"/>
        <v>1700</v>
      </c>
    </row>
    <row r="13" spans="1:51" x14ac:dyDescent="0.25">
      <c r="A13" s="73">
        <f t="shared" si="1"/>
        <v>9</v>
      </c>
      <c r="B13" s="5"/>
      <c r="C13" s="73"/>
      <c r="D13" s="74"/>
      <c r="E13" s="75"/>
      <c r="F13" s="75"/>
      <c r="G13" s="75"/>
      <c r="H13" s="100" t="str">
        <f t="shared" si="2"/>
        <v/>
      </c>
      <c r="I13" s="91" t="str">
        <f t="shared" si="3"/>
        <v/>
      </c>
      <c r="J13" s="85" t="str">
        <f t="shared" si="4"/>
        <v/>
      </c>
      <c r="K13" s="75"/>
      <c r="L13" s="76"/>
      <c r="M13" s="75"/>
      <c r="N13" s="84" t="str">
        <f t="shared" si="5"/>
        <v/>
      </c>
      <c r="O13" s="120" t="str">
        <f t="shared" si="0"/>
        <v/>
      </c>
      <c r="P13" s="93" t="str">
        <f t="shared" si="6"/>
        <v/>
      </c>
      <c r="Q13" s="97" t="str">
        <f t="shared" si="7"/>
        <v/>
      </c>
      <c r="R13" s="95" t="str">
        <f t="shared" si="8"/>
        <v/>
      </c>
      <c r="S13" s="85" t="str">
        <f t="shared" si="9"/>
        <v/>
      </c>
      <c r="T13" s="93" t="str">
        <f t="shared" si="10"/>
        <v/>
      </c>
      <c r="U13" s="99" t="str">
        <f t="shared" si="11"/>
        <v/>
      </c>
      <c r="V13" s="10"/>
      <c r="W13" s="5" t="s">
        <v>21</v>
      </c>
      <c r="X13" s="12">
        <v>24</v>
      </c>
      <c r="Y13" s="12">
        <v>22</v>
      </c>
      <c r="Z13" s="12">
        <v>10</v>
      </c>
      <c r="AA13" s="12">
        <v>8</v>
      </c>
      <c r="AC13" s="114">
        <v>220</v>
      </c>
      <c r="AD13" s="115">
        <v>300000</v>
      </c>
      <c r="AE13" s="8"/>
      <c r="AF13" s="70" t="s">
        <v>131</v>
      </c>
      <c r="AG13" s="69">
        <v>5321</v>
      </c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11">
        <v>2100</v>
      </c>
      <c r="AT13" s="11">
        <f t="shared" si="12"/>
        <v>2100</v>
      </c>
    </row>
    <row r="14" spans="1:51" ht="17.25" thickBot="1" x14ac:dyDescent="0.3">
      <c r="A14" s="73">
        <f t="shared" si="1"/>
        <v>10</v>
      </c>
      <c r="B14" s="5"/>
      <c r="C14" s="73"/>
      <c r="D14" s="74"/>
      <c r="E14" s="75"/>
      <c r="F14" s="75"/>
      <c r="G14" s="75"/>
      <c r="H14" s="100" t="str">
        <f t="shared" si="2"/>
        <v/>
      </c>
      <c r="I14" s="91" t="str">
        <f t="shared" si="3"/>
        <v/>
      </c>
      <c r="J14" s="85" t="str">
        <f t="shared" si="4"/>
        <v/>
      </c>
      <c r="K14" s="75"/>
      <c r="L14" s="76"/>
      <c r="M14" s="75"/>
      <c r="N14" s="84" t="str">
        <f t="shared" si="5"/>
        <v/>
      </c>
      <c r="O14" s="120" t="str">
        <f t="shared" si="0"/>
        <v/>
      </c>
      <c r="P14" s="93" t="str">
        <f t="shared" si="6"/>
        <v/>
      </c>
      <c r="Q14" s="97" t="str">
        <f t="shared" si="7"/>
        <v/>
      </c>
      <c r="R14" s="95" t="str">
        <f t="shared" si="8"/>
        <v/>
      </c>
      <c r="S14" s="85" t="str">
        <f t="shared" si="9"/>
        <v/>
      </c>
      <c r="T14" s="93" t="str">
        <f t="shared" si="10"/>
        <v/>
      </c>
      <c r="U14" s="99" t="str">
        <f t="shared" si="11"/>
        <v/>
      </c>
      <c r="V14" s="10"/>
      <c r="W14" s="5" t="s">
        <v>22</v>
      </c>
      <c r="X14" s="9">
        <f>+X13*60</f>
        <v>1440</v>
      </c>
      <c r="Y14" s="9">
        <f t="shared" ref="Y14:AA15" si="13">+Y13*60</f>
        <v>1320</v>
      </c>
      <c r="Z14" s="9">
        <f t="shared" si="13"/>
        <v>600</v>
      </c>
      <c r="AA14" s="9">
        <f t="shared" si="13"/>
        <v>480</v>
      </c>
      <c r="AC14" s="114">
        <v>240</v>
      </c>
      <c r="AD14" s="115">
        <v>320000</v>
      </c>
      <c r="AE14" s="8"/>
      <c r="AF14" s="108" t="s">
        <v>131</v>
      </c>
      <c r="AG14" s="109" t="s">
        <v>129</v>
      </c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1">
        <v>2100</v>
      </c>
      <c r="AT14" s="111">
        <f t="shared" si="12"/>
        <v>2100</v>
      </c>
    </row>
    <row r="15" spans="1:51" x14ac:dyDescent="0.25">
      <c r="A15" s="73">
        <f t="shared" si="1"/>
        <v>11</v>
      </c>
      <c r="B15" s="5"/>
      <c r="C15" s="73"/>
      <c r="D15" s="74"/>
      <c r="E15" s="75"/>
      <c r="F15" s="75"/>
      <c r="G15" s="75"/>
      <c r="H15" s="100" t="str">
        <f t="shared" si="2"/>
        <v/>
      </c>
      <c r="I15" s="91" t="str">
        <f t="shared" si="3"/>
        <v/>
      </c>
      <c r="J15" s="85" t="str">
        <f t="shared" si="4"/>
        <v/>
      </c>
      <c r="K15" s="75"/>
      <c r="L15" s="76"/>
      <c r="M15" s="75"/>
      <c r="N15" s="84" t="str">
        <f t="shared" si="5"/>
        <v/>
      </c>
      <c r="O15" s="120" t="str">
        <f t="shared" si="0"/>
        <v/>
      </c>
      <c r="P15" s="93" t="str">
        <f t="shared" si="6"/>
        <v/>
      </c>
      <c r="Q15" s="97" t="str">
        <f t="shared" si="7"/>
        <v/>
      </c>
      <c r="R15" s="95" t="str">
        <f t="shared" si="8"/>
        <v/>
      </c>
      <c r="S15" s="85" t="str">
        <f t="shared" si="9"/>
        <v/>
      </c>
      <c r="T15" s="93" t="str">
        <f t="shared" si="10"/>
        <v/>
      </c>
      <c r="U15" s="99" t="str">
        <f t="shared" si="11"/>
        <v/>
      </c>
      <c r="V15" s="10"/>
      <c r="W15" s="5" t="s">
        <v>23</v>
      </c>
      <c r="X15" s="9">
        <f>+X14*60</f>
        <v>86400</v>
      </c>
      <c r="Y15" s="9">
        <f t="shared" si="13"/>
        <v>79200</v>
      </c>
      <c r="Z15" s="9">
        <f t="shared" si="13"/>
        <v>36000</v>
      </c>
      <c r="AA15" s="9">
        <f t="shared" si="13"/>
        <v>28800</v>
      </c>
      <c r="AC15" s="114">
        <v>280</v>
      </c>
      <c r="AD15" s="115">
        <v>350000</v>
      </c>
      <c r="AE15" s="8"/>
      <c r="AF15" s="104" t="s">
        <v>130</v>
      </c>
      <c r="AG15" s="105" t="s">
        <v>132</v>
      </c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7">
        <v>2300</v>
      </c>
      <c r="AT15" s="107">
        <f t="shared" si="12"/>
        <v>2300</v>
      </c>
    </row>
    <row r="16" spans="1:51" ht="17.25" thickBot="1" x14ac:dyDescent="0.3">
      <c r="A16" s="73">
        <f t="shared" si="1"/>
        <v>12</v>
      </c>
      <c r="B16" s="5"/>
      <c r="C16" s="73"/>
      <c r="D16" s="74"/>
      <c r="E16" s="75"/>
      <c r="F16" s="75"/>
      <c r="G16" s="75"/>
      <c r="H16" s="100" t="str">
        <f t="shared" si="2"/>
        <v/>
      </c>
      <c r="I16" s="91" t="str">
        <f t="shared" si="3"/>
        <v/>
      </c>
      <c r="J16" s="85" t="str">
        <f t="shared" si="4"/>
        <v/>
      </c>
      <c r="K16" s="75"/>
      <c r="L16" s="76"/>
      <c r="M16" s="75"/>
      <c r="N16" s="84" t="str">
        <f t="shared" si="5"/>
        <v/>
      </c>
      <c r="O16" s="120" t="str">
        <f t="shared" si="0"/>
        <v/>
      </c>
      <c r="P16" s="93" t="str">
        <f t="shared" si="6"/>
        <v/>
      </c>
      <c r="Q16" s="97" t="str">
        <f t="shared" si="7"/>
        <v/>
      </c>
      <c r="R16" s="95" t="str">
        <f t="shared" si="8"/>
        <v/>
      </c>
      <c r="S16" s="85" t="str">
        <f t="shared" si="9"/>
        <v/>
      </c>
      <c r="T16" s="93" t="str">
        <f t="shared" si="10"/>
        <v/>
      </c>
      <c r="U16" s="99" t="str">
        <f t="shared" si="11"/>
        <v/>
      </c>
      <c r="V16" s="10"/>
      <c r="AC16" s="118">
        <v>380</v>
      </c>
      <c r="AD16" s="119">
        <v>400000</v>
      </c>
      <c r="AE16" s="8"/>
      <c r="AF16" s="108" t="s">
        <v>26</v>
      </c>
      <c r="AG16" s="109" t="s">
        <v>32</v>
      </c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1">
        <v>2300</v>
      </c>
      <c r="AT16" s="111">
        <f t="shared" si="12"/>
        <v>2300</v>
      </c>
    </row>
    <row r="17" spans="1:45" x14ac:dyDescent="0.3">
      <c r="A17" s="73">
        <f t="shared" si="1"/>
        <v>13</v>
      </c>
      <c r="B17" s="5"/>
      <c r="C17" s="73"/>
      <c r="D17" s="74"/>
      <c r="E17" s="75"/>
      <c r="F17" s="75"/>
      <c r="G17" s="75"/>
      <c r="H17" s="100" t="str">
        <f t="shared" si="2"/>
        <v/>
      </c>
      <c r="I17" s="91" t="str">
        <f t="shared" si="3"/>
        <v/>
      </c>
      <c r="J17" s="85" t="str">
        <f t="shared" si="4"/>
        <v/>
      </c>
      <c r="K17" s="75"/>
      <c r="L17" s="76"/>
      <c r="M17" s="75"/>
      <c r="N17" s="84" t="str">
        <f t="shared" si="5"/>
        <v/>
      </c>
      <c r="O17" s="120" t="str">
        <f t="shared" si="0"/>
        <v/>
      </c>
      <c r="P17" s="93" t="str">
        <f t="shared" si="6"/>
        <v/>
      </c>
      <c r="Q17" s="97" t="str">
        <f t="shared" si="7"/>
        <v/>
      </c>
      <c r="R17" s="95" t="str">
        <f t="shared" si="8"/>
        <v/>
      </c>
      <c r="S17" s="85" t="str">
        <f t="shared" si="9"/>
        <v/>
      </c>
      <c r="T17" s="93" t="str">
        <f t="shared" si="10"/>
        <v/>
      </c>
      <c r="U17" s="99" t="str">
        <f t="shared" si="11"/>
        <v/>
      </c>
      <c r="V17" s="10"/>
      <c r="AC17" s="118">
        <v>400</v>
      </c>
      <c r="AD17" s="119">
        <v>450000</v>
      </c>
      <c r="AH17"/>
      <c r="AI17"/>
      <c r="AJ17"/>
      <c r="AK17"/>
      <c r="AL17"/>
      <c r="AM17"/>
      <c r="AN17"/>
      <c r="AO17"/>
      <c r="AP17"/>
      <c r="AQ17"/>
      <c r="AR17"/>
      <c r="AS17"/>
    </row>
  </sheetData>
  <phoneticPr fontId="2" type="noConversion"/>
  <dataValidations count="3">
    <dataValidation type="list" allowBlank="1" showInputMessage="1" showErrorMessage="1" sqref="D5:D17" xr:uid="{00000000-0002-0000-0000-000000000000}">
      <formula1>$AV$4:$AY$4</formula1>
    </dataValidation>
    <dataValidation type="list" allowBlank="1" showInputMessage="1" showErrorMessage="1" sqref="E5:E17" xr:uid="{00000000-0002-0000-0000-000001000000}">
      <formula1>INDIRECT(D5)</formula1>
    </dataValidation>
    <dataValidation type="list" allowBlank="1" showInputMessage="1" showErrorMessage="1" sqref="K5:K17" xr:uid="{00000000-0002-0000-0000-000002000000}">
      <formula1>$AC$5:$AC$17</formula1>
    </dataValidation>
  </dataValidations>
  <pageMargins left="0.7" right="0.7" top="0.75" bottom="0.75" header="0.3" footer="0.3"/>
  <pageSetup paperSize="9" orientation="portrait" r:id="rId1"/>
  <ignoredErrors>
    <ignoredError sqref="AT9 AT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8"/>
  <sheetViews>
    <sheetView tabSelected="1" view="pageBreakPreview" topLeftCell="A10" zoomScaleNormal="100" zoomScaleSheetLayoutView="100" workbookViewId="0">
      <selection activeCell="U27" sqref="U27"/>
    </sheetView>
  </sheetViews>
  <sheetFormatPr defaultColWidth="8.75" defaultRowHeight="13.5" x14ac:dyDescent="0.3"/>
  <cols>
    <col min="1" max="1" width="1.75" style="15" customWidth="1"/>
    <col min="2" max="2" width="3.375" style="15" customWidth="1"/>
    <col min="3" max="3" width="8.25" style="15" customWidth="1"/>
    <col min="4" max="4" width="3.875" style="15" customWidth="1"/>
    <col min="5" max="5" width="10.25" style="15" customWidth="1"/>
    <col min="6" max="6" width="4.25" style="15" customWidth="1"/>
    <col min="7" max="7" width="2" style="15" customWidth="1"/>
    <col min="8" max="8" width="3" style="15" customWidth="1"/>
    <col min="9" max="10" width="3.75" style="15" customWidth="1"/>
    <col min="11" max="11" width="6.625" style="15" customWidth="1"/>
    <col min="12" max="12" width="5.75" style="15" customWidth="1"/>
    <col min="13" max="13" width="12.625" style="15" customWidth="1"/>
    <col min="14" max="14" width="10.75" style="15" customWidth="1"/>
    <col min="15" max="15" width="7.75" style="15" customWidth="1"/>
    <col min="16" max="16" width="16.75" style="15" customWidth="1"/>
    <col min="17" max="17" width="15.125" style="15" customWidth="1"/>
    <col min="18" max="18" width="14.375" style="15" customWidth="1"/>
    <col min="19" max="19" width="20" style="15" customWidth="1"/>
    <col min="20" max="20" width="21.75" style="15" customWidth="1"/>
    <col min="21" max="22" width="15.25" style="15" customWidth="1"/>
    <col min="23" max="23" width="8.75" style="15"/>
    <col min="24" max="24" width="4.25" style="15" customWidth="1"/>
    <col min="25" max="29" width="8.75" style="15"/>
    <col min="30" max="30" width="15.75" style="15" customWidth="1"/>
    <col min="31" max="31" width="28.875" style="15" customWidth="1"/>
    <col min="32" max="32" width="24" style="15" customWidth="1"/>
    <col min="33" max="16384" width="8.75" style="15"/>
  </cols>
  <sheetData>
    <row r="1" spans="2:21" ht="10.5" customHeight="1" thickBot="1" x14ac:dyDescent="0.35">
      <c r="B1" s="13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2:21" ht="21" customHeight="1" thickTop="1" x14ac:dyDescent="0.3">
      <c r="B2" s="211" t="s">
        <v>33</v>
      </c>
      <c r="C2" s="212"/>
      <c r="D2" s="217" t="s">
        <v>119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2:21" ht="24.75" customHeight="1" x14ac:dyDescent="0.3">
      <c r="B3" s="213"/>
      <c r="C3" s="214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2:21" ht="33.75" customHeight="1" thickBot="1" x14ac:dyDescent="0.35">
      <c r="B4" s="215"/>
      <c r="C4" s="216"/>
      <c r="D4" s="221"/>
      <c r="E4" s="221"/>
      <c r="F4" s="221"/>
      <c r="G4" s="221"/>
      <c r="H4" s="221"/>
      <c r="I4" s="221"/>
      <c r="J4" s="219"/>
      <c r="K4" s="219"/>
      <c r="L4" s="219"/>
      <c r="M4" s="219"/>
      <c r="N4" s="219"/>
      <c r="O4" s="220"/>
    </row>
    <row r="5" spans="2:21" ht="12.75" customHeight="1" thickTop="1" x14ac:dyDescent="0.3">
      <c r="B5" s="222" t="s">
        <v>153</v>
      </c>
      <c r="C5" s="223"/>
      <c r="D5" s="224" t="s">
        <v>120</v>
      </c>
      <c r="E5" s="224"/>
      <c r="F5" s="224"/>
      <c r="G5" s="224"/>
      <c r="H5" s="224"/>
      <c r="I5" s="225"/>
      <c r="J5" s="228" t="s">
        <v>34</v>
      </c>
      <c r="K5" s="229"/>
      <c r="L5" s="233" t="s">
        <v>35</v>
      </c>
      <c r="M5" s="234" t="s">
        <v>36</v>
      </c>
      <c r="N5" s="235">
        <v>180000</v>
      </c>
      <c r="O5" s="236"/>
    </row>
    <row r="6" spans="2:21" ht="12.75" customHeight="1" x14ac:dyDescent="0.3">
      <c r="B6" s="200"/>
      <c r="C6" s="192"/>
      <c r="D6" s="226"/>
      <c r="E6" s="226"/>
      <c r="F6" s="226"/>
      <c r="G6" s="226"/>
      <c r="H6" s="226"/>
      <c r="I6" s="227"/>
      <c r="J6" s="200"/>
      <c r="K6" s="230"/>
      <c r="L6" s="195"/>
      <c r="M6" s="197"/>
      <c r="N6" s="192"/>
      <c r="O6" s="199"/>
    </row>
    <row r="7" spans="2:21" ht="12.75" customHeight="1" x14ac:dyDescent="0.3">
      <c r="B7" s="200" t="s">
        <v>37</v>
      </c>
      <c r="C7" s="192"/>
      <c r="D7" s="192" t="s">
        <v>151</v>
      </c>
      <c r="E7" s="192"/>
      <c r="F7" s="192"/>
      <c r="G7" s="192"/>
      <c r="H7" s="192"/>
      <c r="I7" s="193"/>
      <c r="J7" s="200"/>
      <c r="K7" s="230"/>
      <c r="L7" s="194" t="s">
        <v>38</v>
      </c>
      <c r="M7" s="196" t="s">
        <v>39</v>
      </c>
      <c r="N7" s="198">
        <v>240000</v>
      </c>
      <c r="O7" s="199"/>
      <c r="Q7"/>
      <c r="R7"/>
      <c r="S7"/>
      <c r="T7"/>
      <c r="U7"/>
    </row>
    <row r="8" spans="2:21" ht="12.75" customHeight="1" x14ac:dyDescent="0.3">
      <c r="B8" s="200"/>
      <c r="C8" s="192"/>
      <c r="D8" s="192"/>
      <c r="E8" s="192"/>
      <c r="F8" s="192"/>
      <c r="G8" s="192"/>
      <c r="H8" s="192"/>
      <c r="I8" s="193"/>
      <c r="J8" s="200"/>
      <c r="K8" s="230"/>
      <c r="L8" s="195"/>
      <c r="M8" s="197"/>
      <c r="N8" s="192"/>
      <c r="O8" s="199"/>
      <c r="Q8"/>
      <c r="R8"/>
      <c r="S8"/>
      <c r="T8"/>
      <c r="U8"/>
    </row>
    <row r="9" spans="2:21" ht="12.75" customHeight="1" x14ac:dyDescent="0.3">
      <c r="B9" s="200" t="s">
        <v>40</v>
      </c>
      <c r="C9" s="192"/>
      <c r="D9" s="192" t="s">
        <v>41</v>
      </c>
      <c r="E9" s="192"/>
      <c r="F9" s="192"/>
      <c r="G9" s="192"/>
      <c r="H9" s="192"/>
      <c r="I9" s="193"/>
      <c r="J9" s="200"/>
      <c r="K9" s="230"/>
      <c r="L9" s="194" t="s">
        <v>42</v>
      </c>
      <c r="M9" s="196" t="s">
        <v>43</v>
      </c>
      <c r="N9" s="198">
        <v>300000</v>
      </c>
      <c r="O9" s="199"/>
      <c r="Q9"/>
      <c r="R9"/>
      <c r="S9"/>
      <c r="T9"/>
      <c r="U9"/>
    </row>
    <row r="10" spans="2:21" ht="12.75" customHeight="1" x14ac:dyDescent="0.3">
      <c r="B10" s="200"/>
      <c r="C10" s="192"/>
      <c r="D10" s="192"/>
      <c r="E10" s="192"/>
      <c r="F10" s="192"/>
      <c r="G10" s="192"/>
      <c r="H10" s="192"/>
      <c r="I10" s="193"/>
      <c r="J10" s="200"/>
      <c r="K10" s="230"/>
      <c r="L10" s="195"/>
      <c r="M10" s="197"/>
      <c r="N10" s="192"/>
      <c r="O10" s="199"/>
      <c r="Q10"/>
      <c r="R10"/>
      <c r="S10"/>
      <c r="T10"/>
      <c r="U10"/>
    </row>
    <row r="11" spans="2:21" ht="12.75" customHeight="1" x14ac:dyDescent="0.3">
      <c r="B11" s="200" t="s">
        <v>44</v>
      </c>
      <c r="C11" s="192"/>
      <c r="D11" s="192" t="s">
        <v>45</v>
      </c>
      <c r="E11" s="192"/>
      <c r="F11" s="192"/>
      <c r="G11" s="192"/>
      <c r="H11" s="192"/>
      <c r="I11" s="193"/>
      <c r="J11" s="200"/>
      <c r="K11" s="230"/>
      <c r="L11" s="194" t="s">
        <v>46</v>
      </c>
      <c r="M11" s="196" t="s">
        <v>47</v>
      </c>
      <c r="N11" s="198">
        <v>350000</v>
      </c>
      <c r="O11" s="199"/>
      <c r="Q11"/>
      <c r="R11"/>
      <c r="S11"/>
      <c r="T11"/>
      <c r="U11"/>
    </row>
    <row r="12" spans="2:21" ht="12.75" customHeight="1" x14ac:dyDescent="0.3">
      <c r="B12" s="200"/>
      <c r="C12" s="192"/>
      <c r="D12" s="192"/>
      <c r="E12" s="192"/>
      <c r="F12" s="192"/>
      <c r="G12" s="192"/>
      <c r="H12" s="192"/>
      <c r="I12" s="193"/>
      <c r="J12" s="200"/>
      <c r="K12" s="230"/>
      <c r="L12" s="195"/>
      <c r="M12" s="197"/>
      <c r="N12" s="192"/>
      <c r="O12" s="199"/>
      <c r="Q12"/>
      <c r="R12"/>
      <c r="S12"/>
      <c r="T12"/>
      <c r="U12"/>
    </row>
    <row r="13" spans="2:21" ht="12.75" customHeight="1" x14ac:dyDescent="0.3">
      <c r="B13" s="200" t="s">
        <v>48</v>
      </c>
      <c r="C13" s="192"/>
      <c r="D13" s="203" t="s">
        <v>49</v>
      </c>
      <c r="E13" s="203"/>
      <c r="F13" s="203"/>
      <c r="G13" s="203"/>
      <c r="H13" s="203"/>
      <c r="I13" s="204"/>
      <c r="J13" s="200"/>
      <c r="K13" s="230"/>
      <c r="L13" s="194" t="s">
        <v>50</v>
      </c>
      <c r="M13" s="196" t="s">
        <v>51</v>
      </c>
      <c r="N13" s="198">
        <v>380000</v>
      </c>
      <c r="O13" s="199"/>
      <c r="Q13"/>
      <c r="R13"/>
      <c r="S13"/>
      <c r="T13"/>
      <c r="U13"/>
    </row>
    <row r="14" spans="2:21" ht="12.75" customHeight="1" x14ac:dyDescent="0.3">
      <c r="B14" s="200"/>
      <c r="C14" s="192"/>
      <c r="D14" s="203"/>
      <c r="E14" s="203"/>
      <c r="F14" s="203"/>
      <c r="G14" s="203"/>
      <c r="H14" s="203"/>
      <c r="I14" s="204"/>
      <c r="J14" s="200"/>
      <c r="K14" s="230"/>
      <c r="L14" s="195"/>
      <c r="M14" s="197"/>
      <c r="N14" s="192"/>
      <c r="O14" s="199"/>
      <c r="Q14"/>
      <c r="R14"/>
      <c r="S14"/>
      <c r="T14"/>
      <c r="U14"/>
    </row>
    <row r="15" spans="2:21" ht="12.75" customHeight="1" x14ac:dyDescent="0.3">
      <c r="B15" s="200" t="s">
        <v>52</v>
      </c>
      <c r="C15" s="192"/>
      <c r="D15" s="203">
        <v>44529</v>
      </c>
      <c r="E15" s="203"/>
      <c r="F15" s="203"/>
      <c r="G15" s="203"/>
      <c r="H15" s="203"/>
      <c r="I15" s="204"/>
      <c r="J15" s="200"/>
      <c r="K15" s="230"/>
      <c r="L15" s="194" t="s">
        <v>53</v>
      </c>
      <c r="M15" s="196" t="s">
        <v>54</v>
      </c>
      <c r="N15" s="198">
        <v>400000</v>
      </c>
      <c r="O15" s="199"/>
      <c r="Q15"/>
      <c r="R15"/>
      <c r="S15"/>
      <c r="T15"/>
      <c r="U15"/>
    </row>
    <row r="16" spans="2:21" ht="12.75" customHeight="1" thickBot="1" x14ac:dyDescent="0.35">
      <c r="B16" s="201"/>
      <c r="C16" s="202"/>
      <c r="D16" s="205"/>
      <c r="E16" s="205"/>
      <c r="F16" s="205"/>
      <c r="G16" s="205"/>
      <c r="H16" s="205"/>
      <c r="I16" s="206"/>
      <c r="J16" s="231"/>
      <c r="K16" s="232"/>
      <c r="L16" s="207"/>
      <c r="M16" s="208"/>
      <c r="N16" s="209"/>
      <c r="O16" s="210"/>
      <c r="Q16"/>
      <c r="R16"/>
      <c r="S16"/>
      <c r="T16"/>
      <c r="U16"/>
    </row>
    <row r="17" spans="1:24" ht="15.75" customHeight="1" thickTop="1" x14ac:dyDescent="0.3">
      <c r="B17" s="16"/>
      <c r="D17" s="17"/>
      <c r="E17" s="17"/>
      <c r="F17" s="17"/>
      <c r="G17" s="17"/>
      <c r="H17" s="17"/>
      <c r="I17" s="17"/>
      <c r="J17" s="17"/>
      <c r="K17" s="18"/>
      <c r="L17" s="19"/>
      <c r="M17" s="19"/>
      <c r="N17" s="19"/>
      <c r="O17" s="20"/>
      <c r="Q17"/>
      <c r="R17"/>
      <c r="S17"/>
      <c r="T17"/>
      <c r="U17"/>
    </row>
    <row r="18" spans="1:24" ht="21" customHeight="1" x14ac:dyDescent="0.3">
      <c r="A18" s="21"/>
      <c r="B18" s="22" t="s">
        <v>118</v>
      </c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0"/>
    </row>
    <row r="19" spans="1:24" ht="15.75" customHeight="1" x14ac:dyDescent="0.3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1:24" ht="24" customHeight="1" x14ac:dyDescent="0.3">
      <c r="B20" s="186" t="s">
        <v>55</v>
      </c>
      <c r="C20" s="131"/>
      <c r="D20" s="158" t="s">
        <v>149</v>
      </c>
      <c r="E20" s="158"/>
      <c r="F20" s="158"/>
      <c r="G20" s="131" t="s">
        <v>56</v>
      </c>
      <c r="H20" s="131"/>
      <c r="I20" s="131"/>
      <c r="J20" s="156" t="s">
        <v>150</v>
      </c>
      <c r="K20" s="157"/>
      <c r="L20" s="170"/>
      <c r="M20" s="27" t="s">
        <v>57</v>
      </c>
      <c r="N20" s="28" t="s">
        <v>58</v>
      </c>
      <c r="O20" s="29">
        <v>4</v>
      </c>
    </row>
    <row r="21" spans="1:24" ht="30" customHeight="1" x14ac:dyDescent="0.3">
      <c r="B21" s="186" t="s">
        <v>59</v>
      </c>
      <c r="C21" s="131"/>
      <c r="D21" s="131"/>
      <c r="E21" s="30">
        <f>SUM(L26)</f>
        <v>7040</v>
      </c>
      <c r="F21" s="185" t="s">
        <v>60</v>
      </c>
      <c r="G21" s="185"/>
      <c r="H21" s="185"/>
      <c r="I21" s="185"/>
      <c r="J21" s="156" t="s">
        <v>61</v>
      </c>
      <c r="K21" s="157"/>
      <c r="L21" s="170"/>
      <c r="M21" s="31" t="s">
        <v>62</v>
      </c>
      <c r="N21" s="187">
        <v>2400</v>
      </c>
      <c r="O21" s="188"/>
    </row>
    <row r="22" spans="1:24" ht="20.25" customHeight="1" x14ac:dyDescent="0.3">
      <c r="B22" s="189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71"/>
    </row>
    <row r="23" spans="1:24" ht="24" customHeight="1" x14ac:dyDescent="0.3">
      <c r="B23" s="186" t="s">
        <v>63</v>
      </c>
      <c r="C23" s="131"/>
      <c r="D23" s="131"/>
      <c r="E23" s="131" t="s">
        <v>64</v>
      </c>
      <c r="F23" s="131"/>
      <c r="G23" s="173" t="s">
        <v>65</v>
      </c>
      <c r="H23" s="174"/>
      <c r="I23" s="174"/>
      <c r="J23" s="174"/>
      <c r="K23" s="174"/>
      <c r="L23" s="175"/>
      <c r="M23" s="131" t="s">
        <v>66</v>
      </c>
      <c r="N23" s="131"/>
      <c r="O23" s="190"/>
      <c r="P23" s="19" t="s">
        <v>67</v>
      </c>
    </row>
    <row r="24" spans="1:24" ht="24" customHeight="1" x14ac:dyDescent="0.3">
      <c r="B24" s="177">
        <v>13</v>
      </c>
      <c r="C24" s="178"/>
      <c r="D24" s="32" t="s">
        <v>68</v>
      </c>
      <c r="E24" s="33">
        <v>13</v>
      </c>
      <c r="F24" s="32" t="s">
        <v>68</v>
      </c>
      <c r="G24" s="179">
        <f>SUM(B24,P24)</f>
        <v>16.25</v>
      </c>
      <c r="H24" s="180"/>
      <c r="I24" s="180"/>
      <c r="J24" s="180"/>
      <c r="K24" s="180"/>
      <c r="L24" s="32" t="s">
        <v>68</v>
      </c>
      <c r="M24" s="181">
        <f>(N21/1000)*G24</f>
        <v>39</v>
      </c>
      <c r="N24" s="181"/>
      <c r="O24" s="191"/>
      <c r="P24" s="34">
        <f>IF(E24="","",(E24/O20))</f>
        <v>3.25</v>
      </c>
    </row>
    <row r="25" spans="1:24" ht="33" customHeight="1" x14ac:dyDescent="0.3">
      <c r="B25" s="35"/>
      <c r="C25" s="131" t="s">
        <v>69</v>
      </c>
      <c r="D25" s="131"/>
      <c r="E25" s="131" t="s">
        <v>70</v>
      </c>
      <c r="F25" s="131"/>
      <c r="G25" s="182" t="s">
        <v>71</v>
      </c>
      <c r="H25" s="183"/>
      <c r="I25" s="183"/>
      <c r="J25" s="183"/>
      <c r="K25" s="184"/>
      <c r="L25" s="185" t="s">
        <v>72</v>
      </c>
      <c r="M25" s="185"/>
      <c r="N25" s="36" t="s">
        <v>73</v>
      </c>
      <c r="O25" s="37" t="s">
        <v>74</v>
      </c>
    </row>
    <row r="26" spans="1:24" ht="24" customHeight="1" x14ac:dyDescent="0.3">
      <c r="B26" s="38"/>
      <c r="C26" s="158" t="s">
        <v>75</v>
      </c>
      <c r="D26" s="158"/>
      <c r="E26" s="39">
        <v>220</v>
      </c>
      <c r="F26" s="40" t="s">
        <v>76</v>
      </c>
      <c r="G26" s="156">
        <v>45</v>
      </c>
      <c r="H26" s="157"/>
      <c r="I26" s="157"/>
      <c r="J26" s="157"/>
      <c r="K26" s="170"/>
      <c r="L26" s="172">
        <f>IF(G26="","",(79200/G26)*O20)</f>
        <v>7040</v>
      </c>
      <c r="M26" s="172"/>
      <c r="N26" s="41">
        <f>IF(E26="","",IF(E26=80,180000,IF(E26=90,180000,IF(E26=100,180000,IF(E26=110,180000,IF(E26=120,240000,IF(E26=130,240000,IF(E26=140,240000,IF(E26=150,300000,IF(E26=160,300000,IF(E26=170,300000,IF(E26=200,350000,IF(E26=200,350000,IF(E26=200,350000,IF(E26=210,380000,IF(E26=220,380000,IF(E26=230,380000,IF(E26=240,400000,IF(E26=250,400000,IF(E26=260,400000,IF(E26=270,400000,IF(E26=280,400000,IF(E26=290,400000,IF(E26=300,400000,IF(E26=310,400000,IF(E26=320,400000,IF(E26=330,400000,IF(E26=340,400000,IF(E26=350,400000,IF(E26=360,400000,IF(E26=370,400000,IF(E26=380,400000))))))))))))))))))))))))))))))))</f>
        <v>380000</v>
      </c>
      <c r="O26" s="42">
        <f>IF(N26="","",(N26/L26))</f>
        <v>53.977272727272727</v>
      </c>
    </row>
    <row r="27" spans="1:24" ht="24" customHeight="1" thickBot="1" x14ac:dyDescent="0.35">
      <c r="B27" s="35"/>
      <c r="C27" s="173" t="s">
        <v>77</v>
      </c>
      <c r="D27" s="174"/>
      <c r="E27" s="173" t="s">
        <v>78</v>
      </c>
      <c r="F27" s="174"/>
      <c r="G27" s="174"/>
      <c r="H27" s="174"/>
      <c r="I27" s="174"/>
      <c r="J27" s="174"/>
      <c r="K27" s="174"/>
      <c r="L27" s="175"/>
      <c r="M27" s="27" t="s">
        <v>79</v>
      </c>
      <c r="N27" s="131" t="s">
        <v>80</v>
      </c>
      <c r="O27" s="176"/>
    </row>
    <row r="28" spans="1:24" ht="24" customHeight="1" x14ac:dyDescent="0.3">
      <c r="B28" s="38">
        <v>1</v>
      </c>
      <c r="C28" s="156" t="s">
        <v>66</v>
      </c>
      <c r="D28" s="157"/>
      <c r="E28" s="156" t="s">
        <v>81</v>
      </c>
      <c r="F28" s="157"/>
      <c r="G28" s="157"/>
      <c r="H28" s="157"/>
      <c r="I28" s="157"/>
      <c r="J28" s="157"/>
      <c r="K28" s="157"/>
      <c r="L28" s="170"/>
      <c r="M28" s="43">
        <f>SUM(M24)</f>
        <v>39</v>
      </c>
      <c r="N28" s="158"/>
      <c r="O28" s="159"/>
      <c r="Q28" s="160" t="s">
        <v>82</v>
      </c>
      <c r="R28" s="161"/>
      <c r="S28" s="44" t="s">
        <v>83</v>
      </c>
      <c r="T28" s="44" t="s">
        <v>84</v>
      </c>
    </row>
    <row r="29" spans="1:24" ht="24" customHeight="1" thickBot="1" x14ac:dyDescent="0.35">
      <c r="B29" s="38">
        <v>2</v>
      </c>
      <c r="C29" s="156" t="s">
        <v>85</v>
      </c>
      <c r="D29" s="157"/>
      <c r="E29" s="156" t="s">
        <v>86</v>
      </c>
      <c r="F29" s="157"/>
      <c r="G29" s="157"/>
      <c r="H29" s="157"/>
      <c r="I29" s="157"/>
      <c r="J29" s="157"/>
      <c r="K29" s="157"/>
      <c r="L29" s="170"/>
      <c r="M29" s="43">
        <f>SUM(O26)</f>
        <v>53.977272727272727</v>
      </c>
      <c r="N29" s="158"/>
      <c r="O29" s="159"/>
      <c r="Q29" s="162">
        <v>1000</v>
      </c>
      <c r="R29" s="163"/>
      <c r="S29" s="45">
        <f>H30</f>
        <v>0</v>
      </c>
      <c r="T29" s="46">
        <f>G24</f>
        <v>16.25</v>
      </c>
      <c r="U29" s="47"/>
      <c r="V29" s="47"/>
      <c r="W29" s="47"/>
      <c r="X29" s="47"/>
    </row>
    <row r="30" spans="1:24" ht="24" customHeight="1" x14ac:dyDescent="0.3">
      <c r="B30" s="38">
        <v>3</v>
      </c>
      <c r="C30" s="156" t="s">
        <v>87</v>
      </c>
      <c r="D30" s="157"/>
      <c r="E30" s="166" t="s">
        <v>88</v>
      </c>
      <c r="F30" s="167"/>
      <c r="G30" s="167"/>
      <c r="H30" s="168"/>
      <c r="I30" s="169"/>
      <c r="J30" s="48" t="s">
        <v>89</v>
      </c>
      <c r="K30" s="49" t="s">
        <v>90</v>
      </c>
      <c r="L30" s="50"/>
      <c r="M30" s="43">
        <f>T31</f>
        <v>0</v>
      </c>
      <c r="N30" s="158"/>
      <c r="O30" s="159"/>
      <c r="Q30" s="150" t="s">
        <v>91</v>
      </c>
      <c r="R30" s="151"/>
      <c r="S30" s="152">
        <f>S29/Q29</f>
        <v>0</v>
      </c>
      <c r="T30" s="51" t="s">
        <v>92</v>
      </c>
      <c r="U30" s="47"/>
      <c r="V30" s="47"/>
      <c r="W30" s="47"/>
      <c r="X30" s="47"/>
    </row>
    <row r="31" spans="1:24" ht="24" customHeight="1" thickBot="1" x14ac:dyDescent="0.35">
      <c r="B31" s="38"/>
      <c r="C31" s="156" t="s">
        <v>93</v>
      </c>
      <c r="D31" s="170"/>
      <c r="E31" s="166" t="s">
        <v>94</v>
      </c>
      <c r="F31" s="167"/>
      <c r="G31" s="167"/>
      <c r="H31" s="168">
        <v>4500</v>
      </c>
      <c r="I31" s="169"/>
      <c r="J31" s="48" t="s">
        <v>89</v>
      </c>
      <c r="K31" s="49" t="s">
        <v>95</v>
      </c>
      <c r="L31" s="50">
        <v>0.03</v>
      </c>
      <c r="M31" s="43">
        <f>T37</f>
        <v>2.1937500000000001</v>
      </c>
      <c r="N31" s="156"/>
      <c r="O31" s="171"/>
      <c r="Q31" s="154" t="s">
        <v>96</v>
      </c>
      <c r="R31" s="155"/>
      <c r="S31" s="153"/>
      <c r="T31" s="52">
        <f>S32*T29</f>
        <v>0</v>
      </c>
      <c r="U31" s="47"/>
      <c r="V31" s="47"/>
      <c r="W31" s="47"/>
      <c r="X31" s="47"/>
    </row>
    <row r="32" spans="1:24" ht="24" customHeight="1" thickBot="1" x14ac:dyDescent="0.35">
      <c r="B32" s="38">
        <v>4</v>
      </c>
      <c r="C32" s="156" t="s">
        <v>97</v>
      </c>
      <c r="D32" s="157"/>
      <c r="E32" s="156" t="s">
        <v>98</v>
      </c>
      <c r="F32" s="157"/>
      <c r="G32" s="157"/>
      <c r="H32" s="157"/>
      <c r="I32" s="157"/>
      <c r="J32" s="157"/>
      <c r="K32" s="157"/>
      <c r="L32" s="53">
        <v>0.1</v>
      </c>
      <c r="M32" s="43">
        <f>(M28+M29)*L32</f>
        <v>9.297727272727272</v>
      </c>
      <c r="N32" s="158"/>
      <c r="O32" s="159"/>
      <c r="Q32" s="54" t="s">
        <v>99</v>
      </c>
      <c r="R32" s="55">
        <f>L30</f>
        <v>0</v>
      </c>
      <c r="S32" s="56">
        <f>S30*R32</f>
        <v>0</v>
      </c>
      <c r="T32" s="57"/>
      <c r="U32" s="47"/>
      <c r="V32" s="47"/>
      <c r="W32" s="58"/>
      <c r="X32" s="59"/>
    </row>
    <row r="33" spans="2:31" ht="24" customHeight="1" thickBot="1" x14ac:dyDescent="0.35">
      <c r="B33" s="38">
        <v>5</v>
      </c>
      <c r="C33" s="156" t="s">
        <v>100</v>
      </c>
      <c r="D33" s="157"/>
      <c r="E33" s="164" t="s">
        <v>98</v>
      </c>
      <c r="F33" s="165"/>
      <c r="G33" s="165"/>
      <c r="H33" s="165"/>
      <c r="I33" s="165"/>
      <c r="J33" s="165"/>
      <c r="K33" s="165"/>
      <c r="L33" s="53">
        <v>0.1</v>
      </c>
      <c r="M33" s="43">
        <f>(M28+M29)*L33</f>
        <v>9.297727272727272</v>
      </c>
      <c r="N33" s="158"/>
      <c r="O33" s="159"/>
      <c r="Q33" s="19"/>
      <c r="U33" s="47"/>
      <c r="V33" s="47"/>
      <c r="W33" s="58"/>
      <c r="X33" s="60"/>
    </row>
    <row r="34" spans="2:31" ht="24" customHeight="1" x14ac:dyDescent="0.3">
      <c r="B34" s="38">
        <v>6</v>
      </c>
      <c r="C34" s="156" t="s">
        <v>101</v>
      </c>
      <c r="D34" s="157"/>
      <c r="E34" s="156" t="s">
        <v>102</v>
      </c>
      <c r="F34" s="157"/>
      <c r="G34" s="157"/>
      <c r="H34" s="157"/>
      <c r="I34" s="157"/>
      <c r="J34" s="157"/>
      <c r="K34" s="157"/>
      <c r="L34" s="53">
        <v>0.1</v>
      </c>
      <c r="M34" s="43">
        <f>(M28+M29+M32+M33)*L34</f>
        <v>11.157272727272726</v>
      </c>
      <c r="N34" s="158"/>
      <c r="O34" s="159"/>
      <c r="Q34" s="160" t="s">
        <v>103</v>
      </c>
      <c r="R34" s="161"/>
      <c r="S34" s="44" t="s">
        <v>104</v>
      </c>
      <c r="T34" s="44" t="s">
        <v>84</v>
      </c>
      <c r="U34" s="47"/>
      <c r="V34" s="47"/>
      <c r="W34" s="47"/>
      <c r="X34" s="60"/>
    </row>
    <row r="35" spans="2:31" ht="24" customHeight="1" thickBot="1" x14ac:dyDescent="0.35">
      <c r="B35" s="38">
        <v>7</v>
      </c>
      <c r="C35" s="156" t="s">
        <v>105</v>
      </c>
      <c r="D35" s="157"/>
      <c r="E35" s="156" t="s">
        <v>106</v>
      </c>
      <c r="F35" s="157"/>
      <c r="G35" s="157"/>
      <c r="H35" s="157"/>
      <c r="I35" s="157"/>
      <c r="J35" s="157"/>
      <c r="K35" s="61">
        <v>5</v>
      </c>
      <c r="L35" s="62" t="s">
        <v>89</v>
      </c>
      <c r="M35" s="43">
        <f>K35</f>
        <v>5</v>
      </c>
      <c r="N35" s="158"/>
      <c r="O35" s="159"/>
      <c r="Q35" s="162">
        <v>1000</v>
      </c>
      <c r="R35" s="163"/>
      <c r="S35" s="63">
        <f>H31</f>
        <v>4500</v>
      </c>
      <c r="T35" s="46">
        <f>G24</f>
        <v>16.25</v>
      </c>
    </row>
    <row r="36" spans="2:31" ht="20.25" x14ac:dyDescent="0.3">
      <c r="B36" s="138" t="s">
        <v>107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40"/>
      <c r="M36" s="144" t="s">
        <v>108</v>
      </c>
      <c r="N36" s="146">
        <f>SUM(M28:M35)</f>
        <v>129.92374999999998</v>
      </c>
      <c r="O36" s="147"/>
      <c r="Q36" s="150" t="s">
        <v>91</v>
      </c>
      <c r="R36" s="151"/>
      <c r="S36" s="152">
        <f>S35/Q35</f>
        <v>4.5</v>
      </c>
      <c r="T36" s="51" t="s">
        <v>109</v>
      </c>
    </row>
    <row r="37" spans="2:31" ht="21" thickBot="1" x14ac:dyDescent="0.35">
      <c r="B37" s="141"/>
      <c r="C37" s="142"/>
      <c r="D37" s="142"/>
      <c r="E37" s="142"/>
      <c r="F37" s="142"/>
      <c r="G37" s="142"/>
      <c r="H37" s="142"/>
      <c r="I37" s="142"/>
      <c r="J37" s="142"/>
      <c r="K37" s="142"/>
      <c r="L37" s="143"/>
      <c r="M37" s="145"/>
      <c r="N37" s="148"/>
      <c r="O37" s="149"/>
      <c r="Q37" s="154" t="s">
        <v>96</v>
      </c>
      <c r="R37" s="155"/>
      <c r="S37" s="153"/>
      <c r="T37" s="52">
        <f>S38*T35</f>
        <v>2.1937500000000001</v>
      </c>
      <c r="AD37" s="19"/>
      <c r="AE37" s="19"/>
    </row>
    <row r="38" spans="2:31" ht="21" thickBot="1" x14ac:dyDescent="0.35">
      <c r="B38" s="122" t="s">
        <v>170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131" t="s">
        <v>110</v>
      </c>
      <c r="N38" s="132"/>
      <c r="O38" s="133"/>
      <c r="Q38" s="54" t="s">
        <v>99</v>
      </c>
      <c r="R38" s="64">
        <f>L31</f>
        <v>0.03</v>
      </c>
      <c r="S38" s="56">
        <f>S36*R38</f>
        <v>0.13500000000000001</v>
      </c>
      <c r="T38" s="57"/>
    </row>
    <row r="39" spans="2:31" x14ac:dyDescent="0.3">
      <c r="B39" s="125"/>
      <c r="C39" s="126"/>
      <c r="D39" s="126"/>
      <c r="E39" s="126"/>
      <c r="F39" s="126"/>
      <c r="G39" s="126"/>
      <c r="H39" s="126"/>
      <c r="I39" s="126"/>
      <c r="J39" s="126"/>
      <c r="K39" s="126"/>
      <c r="L39" s="127"/>
      <c r="M39" s="131"/>
      <c r="N39" s="132"/>
      <c r="O39" s="133"/>
    </row>
    <row r="40" spans="2:31" x14ac:dyDescent="0.3">
      <c r="B40" s="125"/>
      <c r="C40" s="126"/>
      <c r="D40" s="126"/>
      <c r="E40" s="126"/>
      <c r="F40" s="126"/>
      <c r="G40" s="126"/>
      <c r="H40" s="126"/>
      <c r="I40" s="126"/>
      <c r="J40" s="126"/>
      <c r="K40" s="126"/>
      <c r="L40" s="127"/>
      <c r="M40" s="131" t="s">
        <v>111</v>
      </c>
      <c r="N40" s="132"/>
      <c r="O40" s="133"/>
    </row>
    <row r="41" spans="2:31" ht="14.25" thickBot="1" x14ac:dyDescent="0.35">
      <c r="B41" s="128"/>
      <c r="C41" s="129"/>
      <c r="D41" s="129"/>
      <c r="E41" s="129"/>
      <c r="F41" s="129"/>
      <c r="G41" s="129"/>
      <c r="H41" s="129"/>
      <c r="I41" s="129"/>
      <c r="J41" s="129"/>
      <c r="K41" s="129"/>
      <c r="L41" s="130"/>
      <c r="M41" s="134"/>
      <c r="N41" s="135"/>
      <c r="O41" s="136"/>
      <c r="Q41" s="19"/>
      <c r="R41" s="19"/>
      <c r="S41" s="19"/>
    </row>
    <row r="42" spans="2:31" ht="14.25" thickTop="1" x14ac:dyDescent="0.3"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</row>
    <row r="43" spans="2:31" x14ac:dyDescent="0.3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2:31" x14ac:dyDescent="0.3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2:31" x14ac:dyDescent="0.3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2:31" x14ac:dyDescent="0.3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2:31" x14ac:dyDescent="0.3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2:31" x14ac:dyDescent="0.3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3:14" x14ac:dyDescent="0.3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3:14" x14ac:dyDescent="0.3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3:14" x14ac:dyDescent="0.3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3:14" x14ac:dyDescent="0.3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3:14" x14ac:dyDescent="0.3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3:14" x14ac:dyDescent="0.3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3:14" x14ac:dyDescent="0.3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3:14" x14ac:dyDescent="0.3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3:14" x14ac:dyDescent="0.3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3:14" x14ac:dyDescent="0.3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3:14" x14ac:dyDescent="0.3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3:14" x14ac:dyDescent="0.3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74" spans="24:28" ht="21.75" customHeight="1" x14ac:dyDescent="0.3">
      <c r="X74" s="121" t="s">
        <v>112</v>
      </c>
      <c r="Y74" s="65" t="s">
        <v>113</v>
      </c>
      <c r="Z74" s="65" t="s">
        <v>114</v>
      </c>
      <c r="AA74" s="65" t="s">
        <v>115</v>
      </c>
      <c r="AB74" s="65" t="s">
        <v>116</v>
      </c>
    </row>
    <row r="75" spans="24:28" ht="48" customHeight="1" x14ac:dyDescent="0.3">
      <c r="X75" s="121"/>
      <c r="Y75" s="65"/>
      <c r="Z75" s="65"/>
      <c r="AA75" s="65"/>
      <c r="AB75" s="65"/>
    </row>
    <row r="76" spans="24:28" ht="21.75" customHeight="1" x14ac:dyDescent="0.3">
      <c r="X76" s="121"/>
      <c r="Y76" s="66" t="s">
        <v>117</v>
      </c>
      <c r="Z76" s="66" t="s">
        <v>117</v>
      </c>
      <c r="AA76" s="66" t="s">
        <v>117</v>
      </c>
      <c r="AB76" s="66" t="s">
        <v>117</v>
      </c>
    </row>
    <row r="77" spans="24:28" x14ac:dyDescent="0.3">
      <c r="Y77" s="19"/>
      <c r="Z77" s="19"/>
      <c r="AA77" s="19"/>
      <c r="AB77" s="19"/>
    </row>
    <row r="78" spans="24:28" x14ac:dyDescent="0.3">
      <c r="Y78" s="19"/>
      <c r="Z78" s="19"/>
      <c r="AA78" s="19"/>
      <c r="AB78" s="19"/>
    </row>
  </sheetData>
  <mergeCells count="106">
    <mergeCell ref="B9:C10"/>
    <mergeCell ref="D9:I10"/>
    <mergeCell ref="L9:L10"/>
    <mergeCell ref="M9:M10"/>
    <mergeCell ref="N9:O10"/>
    <mergeCell ref="L7:L8"/>
    <mergeCell ref="M7:M8"/>
    <mergeCell ref="N7:O8"/>
    <mergeCell ref="B2:C4"/>
    <mergeCell ref="D2:O4"/>
    <mergeCell ref="B5:C6"/>
    <mergeCell ref="D5:I6"/>
    <mergeCell ref="J5:K16"/>
    <mergeCell ref="L5:L6"/>
    <mergeCell ref="M5:M6"/>
    <mergeCell ref="N5:O6"/>
    <mergeCell ref="B7:C8"/>
    <mergeCell ref="D7:I8"/>
    <mergeCell ref="B13:C14"/>
    <mergeCell ref="D13:I14"/>
    <mergeCell ref="L13:L14"/>
    <mergeCell ref="M13:M14"/>
    <mergeCell ref="N13:O14"/>
    <mergeCell ref="B11:C12"/>
    <mergeCell ref="D11:I12"/>
    <mergeCell ref="L11:L12"/>
    <mergeCell ref="M11:M12"/>
    <mergeCell ref="N11:O12"/>
    <mergeCell ref="B20:C20"/>
    <mergeCell ref="D20:F20"/>
    <mergeCell ref="G20:I20"/>
    <mergeCell ref="J20:L20"/>
    <mergeCell ref="B15:C16"/>
    <mergeCell ref="D15:I16"/>
    <mergeCell ref="L15:L16"/>
    <mergeCell ref="M15:M16"/>
    <mergeCell ref="N15:O16"/>
    <mergeCell ref="B24:C24"/>
    <mergeCell ref="G24:K24"/>
    <mergeCell ref="M24:N24"/>
    <mergeCell ref="C25:D25"/>
    <mergeCell ref="E25:F25"/>
    <mergeCell ref="G25:K25"/>
    <mergeCell ref="L25:M25"/>
    <mergeCell ref="B21:D21"/>
    <mergeCell ref="F21:I21"/>
    <mergeCell ref="J21:L21"/>
    <mergeCell ref="N21:O21"/>
    <mergeCell ref="B22:O22"/>
    <mergeCell ref="B23:D23"/>
    <mergeCell ref="E23:F23"/>
    <mergeCell ref="G23:L23"/>
    <mergeCell ref="M23:N23"/>
    <mergeCell ref="O23:O24"/>
    <mergeCell ref="C28:D28"/>
    <mergeCell ref="E28:L28"/>
    <mergeCell ref="N28:O28"/>
    <mergeCell ref="Q28:R28"/>
    <mergeCell ref="C29:D29"/>
    <mergeCell ref="E29:L29"/>
    <mergeCell ref="N29:O29"/>
    <mergeCell ref="Q29:R29"/>
    <mergeCell ref="C26:D26"/>
    <mergeCell ref="G26:K26"/>
    <mergeCell ref="L26:M26"/>
    <mergeCell ref="C27:D27"/>
    <mergeCell ref="E27:L27"/>
    <mergeCell ref="N27:O27"/>
    <mergeCell ref="C30:D30"/>
    <mergeCell ref="E30:G30"/>
    <mergeCell ref="H30:I30"/>
    <mergeCell ref="N30:O30"/>
    <mergeCell ref="Q30:R30"/>
    <mergeCell ref="S30:S31"/>
    <mergeCell ref="C31:D31"/>
    <mergeCell ref="E31:G31"/>
    <mergeCell ref="H31:I31"/>
    <mergeCell ref="N31:O31"/>
    <mergeCell ref="C34:D34"/>
    <mergeCell ref="E34:K34"/>
    <mergeCell ref="N34:O34"/>
    <mergeCell ref="Q34:R34"/>
    <mergeCell ref="C35:D35"/>
    <mergeCell ref="E35:J35"/>
    <mergeCell ref="N35:O35"/>
    <mergeCell ref="Q35:R35"/>
    <mergeCell ref="Q31:R31"/>
    <mergeCell ref="C32:D32"/>
    <mergeCell ref="E32:K32"/>
    <mergeCell ref="N32:O32"/>
    <mergeCell ref="C33:D33"/>
    <mergeCell ref="E33:K33"/>
    <mergeCell ref="N33:O33"/>
    <mergeCell ref="X74:X76"/>
    <mergeCell ref="B38:L41"/>
    <mergeCell ref="M38:M39"/>
    <mergeCell ref="N38:O39"/>
    <mergeCell ref="M40:M41"/>
    <mergeCell ref="N40:O41"/>
    <mergeCell ref="B42:O42"/>
    <mergeCell ref="B36:L37"/>
    <mergeCell ref="M36:M37"/>
    <mergeCell ref="N36:O37"/>
    <mergeCell ref="Q36:R36"/>
    <mergeCell ref="S36:S37"/>
    <mergeCell ref="Q37:R37"/>
  </mergeCells>
  <phoneticPr fontId="2" type="noConversion"/>
  <printOptions horizontalCentered="1" verticalCentered="1"/>
  <pageMargins left="0" right="0" top="0" bottom="0" header="0" footer="0"/>
  <pageSetup paperSize="9" scale="105" orientation="portrait" r:id="rId1"/>
  <headerFooter alignWithMargins="0">
    <oddFooter>&amp;LTEL 000-000-0000&amp;R상군TV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사출원가분석</vt:lpstr>
      <vt:lpstr>사출견적서양식</vt:lpstr>
      <vt:lpstr>ABS</vt:lpstr>
      <vt:lpstr>PE</vt:lpstr>
      <vt:lpstr>PP</vt:lpstr>
      <vt:lpstr>사출견적서양식!Print_Area</vt:lpstr>
      <vt:lpstr>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Class1-000</cp:lastModifiedBy>
  <cp:lastPrinted>2021-09-23T03:46:43Z</cp:lastPrinted>
  <dcterms:created xsi:type="dcterms:W3CDTF">2018-07-19T02:35:01Z</dcterms:created>
  <dcterms:modified xsi:type="dcterms:W3CDTF">2024-07-10T07:30:33Z</dcterms:modified>
</cp:coreProperties>
</file>