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i2z\Desktop\"/>
    </mc:Choice>
  </mc:AlternateContent>
  <xr:revisionPtr revIDLastSave="0" documentId="13_ncr:1_{6DFF5AE6-03BC-49DF-8323-C31F95634990}" xr6:coauthVersionLast="47" xr6:coauthVersionMax="47" xr10:uidLastSave="{00000000-0000-0000-0000-000000000000}"/>
  <bookViews>
    <workbookView xWindow="7485" yWindow="0" windowWidth="21600" windowHeight="11385" xr2:uid="{00000000-000D-0000-FFFF-FFFF00000000}"/>
  </bookViews>
  <sheets>
    <sheet name="Sizing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K22" i="1"/>
  <c r="I29" i="1"/>
  <c r="B8" i="1"/>
  <c r="C19" i="1" l="1"/>
  <c r="D19" i="1"/>
  <c r="E19" i="1"/>
  <c r="F19" i="1"/>
  <c r="G19" i="1"/>
  <c r="B19" i="1"/>
  <c r="I19" i="1"/>
  <c r="K21" i="1"/>
  <c r="E29" i="1"/>
  <c r="I14" i="2"/>
  <c r="J12" i="1"/>
  <c r="J20" i="1"/>
  <c r="J21" i="1"/>
  <c r="J22" i="1"/>
  <c r="J24" i="1"/>
  <c r="J25" i="1"/>
  <c r="B32" i="1" l="1"/>
  <c r="B33" i="1"/>
  <c r="B48" i="1"/>
  <c r="C12" i="1" l="1"/>
  <c r="C13" i="1" s="1"/>
  <c r="D12" i="1"/>
  <c r="E12" i="1"/>
  <c r="F12" i="1"/>
  <c r="G12" i="1"/>
  <c r="G13" i="1" s="1"/>
  <c r="B12" i="1"/>
  <c r="B13" i="1" s="1"/>
  <c r="E13" i="1" l="1"/>
  <c r="I13" i="1" s="1"/>
  <c r="I12" i="1"/>
  <c r="D13" i="1"/>
  <c r="B7" i="1"/>
  <c r="B6" i="1"/>
  <c r="B4" i="1"/>
  <c r="B3" i="1"/>
  <c r="D6" i="2"/>
  <c r="C6" i="2"/>
  <c r="B11" i="2"/>
  <c r="C11" i="2"/>
  <c r="D11" i="2"/>
  <c r="D4" i="1" l="1"/>
  <c r="B16" i="1"/>
  <c r="D16" i="1" s="1"/>
  <c r="H21" i="1" l="1"/>
  <c r="H24" i="1" s="1"/>
  <c r="H22" i="1"/>
  <c r="G15" i="1"/>
  <c r="D15" i="1"/>
  <c r="B15" i="1"/>
  <c r="F15" i="1"/>
  <c r="C15" i="1"/>
  <c r="E15" i="1"/>
  <c r="D22" i="1"/>
  <c r="D25" i="1" s="1"/>
  <c r="F22" i="1"/>
  <c r="F25" i="1" s="1"/>
  <c r="F21" i="1"/>
  <c r="F24" i="1" s="1"/>
  <c r="G22" i="1"/>
  <c r="G25" i="1" s="1"/>
  <c r="C22" i="1"/>
  <c r="C25" i="1" s="1"/>
  <c r="G21" i="1"/>
  <c r="G24" i="1" s="1"/>
  <c r="E22" i="1"/>
  <c r="E25" i="1" s="1"/>
  <c r="I25" i="1" s="1"/>
  <c r="B22" i="1"/>
  <c r="B25" i="1" s="1"/>
  <c r="E21" i="1"/>
  <c r="E24" i="1" s="1"/>
  <c r="D21" i="1"/>
  <c r="D24" i="1" s="1"/>
  <c r="C21" i="1"/>
  <c r="C24" i="1" s="1"/>
  <c r="B21" i="1"/>
  <c r="B24" i="1" s="1"/>
  <c r="D26" i="1" l="1"/>
  <c r="D27" i="1"/>
  <c r="E26" i="1"/>
  <c r="E27" i="1"/>
  <c r="G26" i="1"/>
  <c r="G27" i="1"/>
  <c r="B26" i="1"/>
  <c r="B27" i="1"/>
  <c r="C27" i="1"/>
  <c r="C26" i="1"/>
  <c r="F26" i="1"/>
  <c r="F27" i="1"/>
  <c r="I22" i="1"/>
  <c r="I15" i="1"/>
  <c r="E18" i="1"/>
  <c r="I18" i="1" s="1"/>
  <c r="E17" i="1"/>
  <c r="I17" i="1" s="1"/>
  <c r="C17" i="1"/>
  <c r="C18" i="1"/>
  <c r="F17" i="1"/>
  <c r="F18" i="1"/>
  <c r="I21" i="1"/>
  <c r="I24" i="1"/>
  <c r="B18" i="1"/>
  <c r="B17" i="1"/>
  <c r="D18" i="1"/>
  <c r="D17" i="1"/>
  <c r="G18" i="1"/>
  <c r="G17" i="1"/>
  <c r="I27" i="1" l="1"/>
  <c r="I26" i="1"/>
  <c r="F20" i="1"/>
  <c r="G20" i="1"/>
  <c r="D20" i="1"/>
  <c r="B20" i="1"/>
  <c r="C20" i="1"/>
  <c r="E20" i="1"/>
  <c r="I20" i="1" s="1"/>
</calcChain>
</file>

<file path=xl/sharedStrings.xml><?xml version="1.0" encoding="utf-8"?>
<sst xmlns="http://schemas.openxmlformats.org/spreadsheetml/2006/main" count="69" uniqueCount="47">
  <si>
    <t>Sensor</t>
  </si>
  <si>
    <t>MP</t>
  </si>
  <si>
    <t>Sensor Size</t>
  </si>
  <si>
    <t>Inch</t>
  </si>
  <si>
    <t>Sensor Pixel Size</t>
  </si>
  <si>
    <t>µm</t>
  </si>
  <si>
    <t>mm</t>
  </si>
  <si>
    <t>Resolution X</t>
  </si>
  <si>
    <t>Px</t>
  </si>
  <si>
    <t>Resolution Y</t>
  </si>
  <si>
    <t>Distance</t>
  </si>
  <si>
    <t>Distance between the object and camera/sensor (optics)</t>
  </si>
  <si>
    <t>Distance between the object and camera/sensor (front glass)</t>
  </si>
  <si>
    <t>Binning</t>
  </si>
  <si>
    <t>OFF</t>
  </si>
  <si>
    <t>Focal Length</t>
  </si>
  <si>
    <t>Aperture</t>
  </si>
  <si>
    <t>f-number</t>
  </si>
  <si>
    <t>Hyperfocal Distance</t>
  </si>
  <si>
    <t>Hyperfocal distance is a distance beyond which all objects can be brought into an "acceptable" focus. In other words, it is the closest distance at which a lens can be focused while keeping objects acceptably sharp.</t>
  </si>
  <si>
    <t>Circle of Confusion</t>
  </si>
  <si>
    <t>Used: Pixel Diagonal. The Circle of Confusion is the maximum size that a spot of light can be to be indistinguishable from a single point to the final viewer - bigger than the circle of confusion and we see a blur - smaller and we see what looks like a focused single dot.</t>
  </si>
  <si>
    <t>Far Distance</t>
  </si>
  <si>
    <t>Near Distance</t>
  </si>
  <si>
    <t>Valid distance</t>
  </si>
  <si>
    <t>Depth of Field</t>
  </si>
  <si>
    <t>The depth of field (DOF) is the range within which the object can move away towards the camera without resulting in a blurred image.</t>
  </si>
  <si>
    <t>Width FoV at  Distance</t>
  </si>
  <si>
    <t>Height FoV at  Distance</t>
  </si>
  <si>
    <t>Resolution X  in Image</t>
  </si>
  <si>
    <t>Resolution Y in Image</t>
  </si>
  <si>
    <t>Python 1300</t>
  </si>
  <si>
    <t>IMX265(1/1,8")</t>
  </si>
  <si>
    <t>IMX264 (2/3")</t>
  </si>
  <si>
    <t>Focal length</t>
  </si>
  <si>
    <t>f-Number</t>
  </si>
  <si>
    <t>Minimum Object distance</t>
  </si>
  <si>
    <t>Maximum Object distance</t>
  </si>
  <si>
    <t>ON</t>
  </si>
  <si>
    <t>Pixel multiplier</t>
  </si>
  <si>
    <t>Optics - Front glass</t>
  </si>
  <si>
    <t>Unit</t>
  </si>
  <si>
    <t>Value</t>
  </si>
  <si>
    <t>cm</t>
  </si>
  <si>
    <t>inch</t>
  </si>
  <si>
    <t>重复精度</t>
  </si>
  <si>
    <t>检测精度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</si>
</sst>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2" applyNumberFormat="0" applyAlignment="0" applyProtection="0"/>
  </cellStyleXfs>
  <cellXfs count="31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12" fontId="0" fillId="0" borderId="1" xfId="0" quotePrefix="1" applyNumberFormat="1" applyBorder="1" applyAlignment="1">
      <alignment horizontal="right"/>
    </xf>
    <xf numFmtId="0" fontId="0" fillId="0" borderId="1" xfId="0" applyFill="1" applyBorder="1"/>
    <xf numFmtId="0" fontId="0" fillId="4" borderId="1" xfId="0" applyFill="1" applyBorder="1"/>
    <xf numFmtId="0" fontId="3" fillId="0" borderId="0" xfId="0" applyFont="1" applyBorder="1"/>
    <xf numFmtId="12" fontId="0" fillId="0" borderId="0" xfId="0" quotePrefix="1" applyNumberFormat="1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right"/>
    </xf>
    <xf numFmtId="0" fontId="2" fillId="2" borderId="0" xfId="1" applyBorder="1"/>
    <xf numFmtId="0" fontId="1" fillId="3" borderId="0" xfId="2" applyBorder="1"/>
    <xf numFmtId="0" fontId="4" fillId="0" borderId="0" xfId="0" quotePrefix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2" borderId="0" xfId="1"/>
    <xf numFmtId="0" fontId="5" fillId="5" borderId="2" xfId="3" applyAlignment="1">
      <alignment horizontal="right"/>
    </xf>
    <xf numFmtId="0" fontId="2" fillId="2" borderId="1" xfId="1" applyBorder="1" applyAlignment="1">
      <alignment horizontal="right"/>
    </xf>
    <xf numFmtId="0" fontId="2" fillId="2" borderId="1" xfId="1" applyBorder="1"/>
    <xf numFmtId="0" fontId="1" fillId="3" borderId="1" xfId="2" applyBorder="1"/>
    <xf numFmtId="0" fontId="0" fillId="0" borderId="1" xfId="0" applyBorder="1" applyAlignment="1">
      <alignment horizontal="center"/>
    </xf>
    <xf numFmtId="176" fontId="2" fillId="2" borderId="1" xfId="1" applyNumberFormat="1" applyBorder="1"/>
    <xf numFmtId="0" fontId="2" fillId="2" borderId="3" xfId="1" applyBorder="1"/>
    <xf numFmtId="17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</cellXfs>
  <cellStyles count="4">
    <cellStyle name="20% - Accent6" xfId="2" builtinId="50"/>
    <cellStyle name="Good" xfId="1" builtinId="26"/>
    <cellStyle name="Input" xfId="3" builtinId="20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27</xdr:row>
      <xdr:rowOff>133350</xdr:rowOff>
    </xdr:from>
    <xdr:to>
      <xdr:col>1</xdr:col>
      <xdr:colOff>933450</xdr:colOff>
      <xdr:row>45</xdr:row>
      <xdr:rowOff>123825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2371725" y="2990850"/>
          <a:ext cx="9525" cy="34194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695324</xdr:colOff>
      <xdr:row>30</xdr:row>
      <xdr:rowOff>55706</xdr:rowOff>
    </xdr:from>
    <xdr:to>
      <xdr:col>10</xdr:col>
      <xdr:colOff>1095373</xdr:colOff>
      <xdr:row>44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810374" y="4818206"/>
          <a:ext cx="2876549" cy="275416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552449</xdr:colOff>
      <xdr:row>35</xdr:row>
      <xdr:rowOff>66676</xdr:rowOff>
    </xdr:from>
    <xdr:to>
      <xdr:col>8</xdr:col>
      <xdr:colOff>442936</xdr:colOff>
      <xdr:row>40</xdr:row>
      <xdr:rowOff>76201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5400000">
          <a:off x="6598455" y="5850720"/>
          <a:ext cx="962025" cy="823937"/>
        </a:xfrm>
        <a:prstGeom prst="triangle">
          <a:avLst>
            <a:gd name="adj" fmla="val 48333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625274</xdr:colOff>
      <xdr:row>33</xdr:row>
      <xdr:rowOff>104775</xdr:rowOff>
    </xdr:from>
    <xdr:to>
      <xdr:col>9</xdr:col>
      <xdr:colOff>283758</xdr:colOff>
      <xdr:row>42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673774" y="5438775"/>
          <a:ext cx="591934" cy="1762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100924</xdr:colOff>
      <xdr:row>36</xdr:row>
      <xdr:rowOff>171450</xdr:rowOff>
    </xdr:from>
    <xdr:to>
      <xdr:col>10</xdr:col>
      <xdr:colOff>491599</xdr:colOff>
      <xdr:row>38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8692474" y="6076950"/>
          <a:ext cx="390675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700"/>
        </a:p>
      </xdr:txBody>
    </xdr:sp>
    <xdr:clientData/>
  </xdr:twoCellAnchor>
  <xdr:twoCellAnchor>
    <xdr:from>
      <xdr:col>1</xdr:col>
      <xdr:colOff>600078</xdr:colOff>
      <xdr:row>32</xdr:row>
      <xdr:rowOff>21356</xdr:rowOff>
    </xdr:from>
    <xdr:to>
      <xdr:col>2</xdr:col>
      <xdr:colOff>266705</xdr:colOff>
      <xdr:row>42</xdr:row>
      <xdr:rowOff>123822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247903" y="4479056"/>
          <a:ext cx="733427" cy="1912216"/>
          <a:chOff x="2066928" y="3936131"/>
          <a:chExt cx="619127" cy="2007466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 rot="16200000">
            <a:off x="1372759" y="4630300"/>
            <a:ext cx="2007466" cy="619127"/>
          </a:xfrm>
          <a:prstGeom prst="rect">
            <a:avLst/>
          </a:prstGeom>
          <a:solidFill>
            <a:schemeClr val="accent3"/>
          </a:solidFill>
          <a:ln w="381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 rot="16200000">
            <a:off x="1876426" y="4810123"/>
            <a:ext cx="1019175" cy="314326"/>
          </a:xfrm>
          <a:prstGeom prst="rect">
            <a:avLst/>
          </a:prstGeom>
          <a:ln w="381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Object</a:t>
            </a:r>
          </a:p>
        </xdr:txBody>
      </xdr:sp>
    </xdr:grpSp>
    <xdr:clientData/>
  </xdr:twoCellAnchor>
  <xdr:twoCellAnchor>
    <xdr:from>
      <xdr:col>2</xdr:col>
      <xdr:colOff>266700</xdr:colOff>
      <xdr:row>32</xdr:row>
      <xdr:rowOff>28576</xdr:rowOff>
    </xdr:from>
    <xdr:to>
      <xdr:col>10</xdr:col>
      <xdr:colOff>619125</xdr:colOff>
      <xdr:row>38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2667000" y="4791076"/>
          <a:ext cx="5724525" cy="12763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32</xdr:row>
      <xdr:rowOff>28575</xdr:rowOff>
    </xdr:from>
    <xdr:to>
      <xdr:col>10</xdr:col>
      <xdr:colOff>333375</xdr:colOff>
      <xdr:row>38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2047875" y="4791075"/>
          <a:ext cx="6057900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36</xdr:row>
      <xdr:rowOff>180975</xdr:rowOff>
    </xdr:from>
    <xdr:to>
      <xdr:col>10</xdr:col>
      <xdr:colOff>628650</xdr:colOff>
      <xdr:row>42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667001" y="5705475"/>
          <a:ext cx="5734049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37</xdr:row>
      <xdr:rowOff>0</xdr:rowOff>
    </xdr:from>
    <xdr:to>
      <xdr:col>10</xdr:col>
      <xdr:colOff>333375</xdr:colOff>
      <xdr:row>42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2038350" y="5715000"/>
          <a:ext cx="6067425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27</xdr:row>
      <xdr:rowOff>57150</xdr:rowOff>
    </xdr:from>
    <xdr:to>
      <xdr:col>6</xdr:col>
      <xdr:colOff>628650</xdr:colOff>
      <xdr:row>45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6734175" y="4248150"/>
          <a:ext cx="9525" cy="34194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171450</xdr:rowOff>
    </xdr:from>
    <xdr:to>
      <xdr:col>6</xdr:col>
      <xdr:colOff>609600</xdr:colOff>
      <xdr:row>28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381250" y="4552950"/>
          <a:ext cx="43434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</xdr:colOff>
      <xdr:row>27</xdr:row>
      <xdr:rowOff>152400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324350" y="300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180975</xdr:colOff>
      <xdr:row>29</xdr:row>
      <xdr:rowOff>104775</xdr:rowOff>
    </xdr:from>
    <xdr:to>
      <xdr:col>1</xdr:col>
      <xdr:colOff>190500</xdr:colOff>
      <xdr:row>47</xdr:row>
      <xdr:rowOff>95250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>
          <a:off x="1628775" y="3343275"/>
          <a:ext cx="9525" cy="34194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29</xdr:row>
      <xdr:rowOff>85725</xdr:rowOff>
    </xdr:from>
    <xdr:to>
      <xdr:col>2</xdr:col>
      <xdr:colOff>790575</xdr:colOff>
      <xdr:row>47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3181350" y="3324225"/>
          <a:ext cx="9525" cy="34194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46</xdr:row>
      <xdr:rowOff>85725</xdr:rowOff>
    </xdr:from>
    <xdr:to>
      <xdr:col>2</xdr:col>
      <xdr:colOff>781050</xdr:colOff>
      <xdr:row>46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619250" y="6562725"/>
          <a:ext cx="1562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904875</xdr:colOff>
      <xdr:row>28</xdr:row>
      <xdr:rowOff>28575</xdr:rowOff>
    </xdr:from>
    <xdr:to>
      <xdr:col>8</xdr:col>
      <xdr:colOff>914400</xdr:colOff>
      <xdr:row>46</xdr:row>
      <xdr:rowOff>19050</xdr:rowOff>
    </xdr:to>
    <xdr:cxnSp macro="">
      <xdr:nvCxnSpPr>
        <xdr:cNvPr id="23" name="Straight Connector 25">
          <a:extLst>
            <a:ext uri="{FF2B5EF4-FFF2-40B4-BE49-F238E27FC236}">
              <a16:creationId xmlns:a16="http://schemas.microsoft.com/office/drawing/2014/main" id="{7FBCF649-29DA-46EE-89B2-1111E036BB5A}"/>
            </a:ext>
          </a:extLst>
        </xdr:cNvPr>
        <xdr:cNvCxnSpPr/>
      </xdr:nvCxnSpPr>
      <xdr:spPr>
        <a:xfrm flipH="1">
          <a:off x="7953375" y="4410075"/>
          <a:ext cx="9525" cy="34194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29</xdr:row>
      <xdr:rowOff>1</xdr:rowOff>
    </xdr:from>
    <xdr:to>
      <xdr:col>8</xdr:col>
      <xdr:colOff>923925</xdr:colOff>
      <xdr:row>29</xdr:row>
      <xdr:rowOff>9525</xdr:rowOff>
    </xdr:to>
    <xdr:cxnSp macro="">
      <xdr:nvCxnSpPr>
        <xdr:cNvPr id="24" name="Straight Arrow Connector 26">
          <a:extLst>
            <a:ext uri="{FF2B5EF4-FFF2-40B4-BE49-F238E27FC236}">
              <a16:creationId xmlns:a16="http://schemas.microsoft.com/office/drawing/2014/main" id="{1E95DB73-6525-44D3-B282-0A79AD8B50F5}"/>
            </a:ext>
          </a:extLst>
        </xdr:cNvPr>
        <xdr:cNvCxnSpPr/>
      </xdr:nvCxnSpPr>
      <xdr:spPr>
        <a:xfrm flipV="1">
          <a:off x="6743700" y="4572001"/>
          <a:ext cx="1228725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B10" sqref="B10"/>
    </sheetView>
  </sheetViews>
  <sheetFormatPr defaultColWidth="9.125" defaultRowHeight="14.25" outlineLevelRow="1"/>
  <cols>
    <col min="1" max="1" width="21.625" bestFit="1" customWidth="1"/>
    <col min="2" max="9" width="14" customWidth="1"/>
    <col min="11" max="11" width="19.5" style="17" bestFit="1" customWidth="1"/>
    <col min="12" max="12" width="0.625" customWidth="1"/>
    <col min="13" max="13" width="0.875" customWidth="1"/>
    <col min="15" max="15" width="11.625" bestFit="1" customWidth="1"/>
    <col min="16" max="16" width="14.375" bestFit="1" customWidth="1"/>
    <col min="17" max="17" width="13.125" bestFit="1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5"/>
    </row>
    <row r="2" spans="1:20">
      <c r="A2" t="s">
        <v>0</v>
      </c>
      <c r="B2" s="20">
        <v>1.3</v>
      </c>
      <c r="C2" t="s">
        <v>1</v>
      </c>
      <c r="D2" s="15"/>
      <c r="E2" s="15"/>
      <c r="F2" s="15"/>
      <c r="G2" s="15"/>
      <c r="H2" s="15"/>
      <c r="I2" s="15"/>
      <c r="J2" s="15"/>
      <c r="K2" s="15"/>
      <c r="N2" s="1"/>
      <c r="P2" s="1"/>
      <c r="Q2" s="1"/>
      <c r="R2" s="1"/>
      <c r="S2" s="1"/>
      <c r="T2" s="1"/>
    </row>
    <row r="3" spans="1:20" hidden="1" outlineLevel="1">
      <c r="A3" t="s">
        <v>2</v>
      </c>
      <c r="B3" s="18">
        <f>INDEX(Data!B6:D6,MATCH(B2,Data!B5:D5,0))</f>
        <v>0.5</v>
      </c>
      <c r="C3" t="s">
        <v>3</v>
      </c>
      <c r="D3" s="18"/>
      <c r="E3" s="18"/>
      <c r="F3" s="18"/>
      <c r="G3" s="18"/>
      <c r="H3" s="18"/>
      <c r="I3" s="18"/>
      <c r="K3" s="15"/>
      <c r="N3" s="1"/>
      <c r="P3" s="1"/>
      <c r="Q3" s="1"/>
      <c r="R3" s="1"/>
      <c r="S3" s="1"/>
      <c r="T3" s="1"/>
    </row>
    <row r="4" spans="1:20" ht="15" hidden="1" outlineLevel="1">
      <c r="A4" t="s">
        <v>4</v>
      </c>
      <c r="B4">
        <f>INDEX(Data!B7:D7,MATCH(B2,Data!B5:D5,0))</f>
        <v>4.8</v>
      </c>
      <c r="C4" t="s">
        <v>5</v>
      </c>
      <c r="D4">
        <f>B4/1000</f>
        <v>4.7999999999999996E-3</v>
      </c>
      <c r="E4" t="s">
        <v>6</v>
      </c>
      <c r="K4" s="15"/>
      <c r="N4" s="1"/>
      <c r="P4" s="8"/>
      <c r="Q4" s="9"/>
      <c r="R4" s="9"/>
      <c r="S4" s="9"/>
      <c r="T4" s="1"/>
    </row>
    <row r="5" spans="1:20" ht="15" hidden="1" outlineLevel="1">
      <c r="K5" s="15"/>
      <c r="N5" s="1"/>
      <c r="P5" s="8"/>
      <c r="Q5" s="1"/>
      <c r="R5" s="1"/>
      <c r="S5" s="1"/>
      <c r="T5" s="1"/>
    </row>
    <row r="6" spans="1:20" ht="15" hidden="1" outlineLevel="1">
      <c r="A6" t="s">
        <v>7</v>
      </c>
      <c r="B6">
        <f>INDEX(Data!B9:D9,MATCH(B2,Data!B5:D5,0))</f>
        <v>1280</v>
      </c>
      <c r="C6" t="s">
        <v>8</v>
      </c>
      <c r="K6" s="15"/>
      <c r="N6" s="1"/>
      <c r="P6" s="8"/>
      <c r="Q6" s="1"/>
      <c r="R6" s="1"/>
      <c r="S6" s="1"/>
      <c r="T6" s="1"/>
    </row>
    <row r="7" spans="1:20" ht="15" hidden="1" outlineLevel="1">
      <c r="A7" t="s">
        <v>9</v>
      </c>
      <c r="B7">
        <f>INDEX(Data!B10:D10,MATCH(B2,Data!B5:D5,0))</f>
        <v>1024</v>
      </c>
      <c r="C7" t="s">
        <v>8</v>
      </c>
      <c r="K7" s="15"/>
      <c r="P7" s="8"/>
      <c r="Q7" s="10"/>
      <c r="R7" s="10"/>
      <c r="S7" s="10"/>
      <c r="T7" s="1"/>
    </row>
    <row r="8" spans="1:20" hidden="1" outlineLevel="1">
      <c r="A8" t="s">
        <v>10</v>
      </c>
      <c r="B8">
        <f>B9*LOOKUP(C9,Data!B25:B27,Data!C25:C27) + Data!B22</f>
        <v>65</v>
      </c>
      <c r="C8" s="18" t="s">
        <v>6</v>
      </c>
      <c r="D8" t="s">
        <v>11</v>
      </c>
      <c r="K8" s="14"/>
    </row>
    <row r="9" spans="1:20" collapsed="1">
      <c r="A9" t="s">
        <v>10</v>
      </c>
      <c r="B9" s="20">
        <v>50</v>
      </c>
      <c r="C9" s="18" t="s">
        <v>6</v>
      </c>
      <c r="D9" t="s">
        <v>12</v>
      </c>
      <c r="K9" s="14"/>
    </row>
    <row r="10" spans="1:20">
      <c r="A10" t="s">
        <v>13</v>
      </c>
      <c r="B10" s="20" t="s">
        <v>14</v>
      </c>
      <c r="K10" s="15"/>
    </row>
    <row r="11" spans="1:20" ht="15">
      <c r="A11" s="8"/>
      <c r="B11" s="1"/>
      <c r="K11" s="15"/>
      <c r="N11" s="2"/>
      <c r="P11" s="8"/>
      <c r="Q11" s="10"/>
      <c r="R11" s="10"/>
      <c r="S11" s="10"/>
      <c r="T11" s="1"/>
    </row>
    <row r="12" spans="1:20">
      <c r="A12" s="22" t="s">
        <v>15</v>
      </c>
      <c r="B12" s="22">
        <f>Data!B14</f>
        <v>4.5999999999999996</v>
      </c>
      <c r="C12" s="22">
        <f>Data!C14</f>
        <v>6</v>
      </c>
      <c r="D12" s="22">
        <f>Data!D14</f>
        <v>8</v>
      </c>
      <c r="E12" s="22">
        <f>Data!E14</f>
        <v>12</v>
      </c>
      <c r="F12" s="22">
        <f>Data!F14</f>
        <v>16</v>
      </c>
      <c r="G12" s="22">
        <f>Data!G14</f>
        <v>25</v>
      </c>
      <c r="H12" s="22">
        <v>36</v>
      </c>
      <c r="I12" s="21" t="str">
        <f>E12&amp;" macro"</f>
        <v>12 macro</v>
      </c>
      <c r="J12" t="str">
        <f>Data!J14</f>
        <v>mm</v>
      </c>
      <c r="K12"/>
    </row>
    <row r="13" spans="1:20" outlineLevel="1">
      <c r="A13" s="12" t="s">
        <v>16</v>
      </c>
      <c r="B13" s="19">
        <f>INDEX(Data!B15:G15,MATCH(B12,Data!B14:G14,0))</f>
        <v>3.5</v>
      </c>
      <c r="C13" s="19">
        <f>INDEX(Data!C15:J15,MATCH(C12,Data!C14:J14,0))</f>
        <v>3.5</v>
      </c>
      <c r="D13" s="19">
        <f>INDEX(Data!D15:J15,MATCH(D12,Data!D14:J14,0))</f>
        <v>3.5</v>
      </c>
      <c r="E13" s="19">
        <f>INDEX(Data!E15:K15,MATCH(E12,Data!E14:K14,0))</f>
        <v>4</v>
      </c>
      <c r="F13" s="19">
        <f>INDEX(Data!F15:L15,MATCH(F12,Data!F14:L14,0))</f>
        <v>4</v>
      </c>
      <c r="G13" s="19">
        <f>INDEX(Data!G15:M15,MATCH(G12,Data!G14:M14,0))</f>
        <v>4</v>
      </c>
      <c r="H13" s="19">
        <v>4</v>
      </c>
      <c r="I13" s="19">
        <f t="shared" ref="I13:I25" si="0">E13</f>
        <v>4</v>
      </c>
      <c r="J13" t="s">
        <v>17</v>
      </c>
      <c r="K13" s="15"/>
    </row>
    <row r="14" spans="1:20" ht="15">
      <c r="A14" s="8"/>
      <c r="B14" s="1"/>
      <c r="C14" s="1"/>
      <c r="D14" s="1"/>
      <c r="E14" s="1"/>
      <c r="F14" s="1"/>
      <c r="G14" s="1"/>
      <c r="H14" s="1"/>
      <c r="I14" s="1"/>
      <c r="J14" s="1"/>
      <c r="K14" s="16"/>
    </row>
    <row r="15" spans="1:20" outlineLevel="1">
      <c r="A15" s="23" t="s">
        <v>18</v>
      </c>
      <c r="B15" s="23">
        <f>((B12*B12)/(B13*$D$16)+B12)</f>
        <v>895.21782678019906</v>
      </c>
      <c r="C15" s="23">
        <f>((C12*C12)/(C13*$D$16)+C12)</f>
        <v>1521.2288168283162</v>
      </c>
      <c r="D15" s="23">
        <f t="shared" ref="D15:G15" si="1">((D12*D12)/(D13*$D$16)+D12)</f>
        <v>2701.7401188058957</v>
      </c>
      <c r="E15" s="23">
        <f t="shared" si="1"/>
        <v>5315.300858899107</v>
      </c>
      <c r="F15" s="23">
        <f t="shared" si="1"/>
        <v>9444.090415820634</v>
      </c>
      <c r="G15" s="23">
        <f t="shared" si="1"/>
        <v>23042.798866749596</v>
      </c>
      <c r="H15" s="23"/>
      <c r="I15" s="23">
        <f t="shared" si="0"/>
        <v>5315.300858899107</v>
      </c>
      <c r="J15" s="13" t="s">
        <v>6</v>
      </c>
      <c r="K15" s="15" t="s">
        <v>19</v>
      </c>
    </row>
    <row r="16" spans="1:20" ht="15.75" customHeight="1" outlineLevel="1">
      <c r="A16" s="23" t="s">
        <v>20</v>
      </c>
      <c r="B16" s="23">
        <f>$B$4*SQRT(2)</f>
        <v>6.7882250993908562</v>
      </c>
      <c r="C16" s="3" t="s">
        <v>5</v>
      </c>
      <c r="D16" s="23">
        <f>B16/1000</f>
        <v>6.788225099390856E-3</v>
      </c>
      <c r="E16" s="3" t="s">
        <v>6</v>
      </c>
      <c r="F16" s="3"/>
      <c r="G16" s="3"/>
      <c r="H16" s="3"/>
      <c r="I16" s="3"/>
      <c r="K16" s="16" t="s">
        <v>21</v>
      </c>
    </row>
    <row r="17" spans="1:11" ht="17.25" customHeight="1" outlineLevel="1">
      <c r="A17" s="23" t="s">
        <v>22</v>
      </c>
      <c r="B17" s="23">
        <f>IF($B$8&lt;B15,$B$8*(B15-B12)/((B15-B12)+(B12-$B$8)),"Infinite")-Data!$B$22</f>
        <v>54.728879425808103</v>
      </c>
      <c r="C17" s="23">
        <f>IF($B$8&lt;C15,$B$8*(C15-C12)/((C15-C12)+(C12-$B$8)),"Infinite")-Data!$B$22</f>
        <v>52.633514702965897</v>
      </c>
      <c r="D17" s="23">
        <f>IF($B$8&lt;D15,$B$8*(D15-D12)/((D15-D12)+(D12-$B$8)),"Infinite")-Data!$B$22</f>
        <v>51.405144167821092</v>
      </c>
      <c r="E17" s="23">
        <f>IF($B$8&lt;E15,$B$8*(E15-E12)/((E15-E12)+(E12-$B$8)),"Infinite")-Data!$B$22</f>
        <v>50.656152874394024</v>
      </c>
      <c r="F17" s="23">
        <f>IF($B$8&lt;F15,$B$8*(F15-F12)/((F15-F12)+(F12-$B$8)),"Infinite")-Data!$B$22</f>
        <v>50.339585168581749</v>
      </c>
      <c r="G17" s="23">
        <f>IF($B$8&lt;G15,$B$8*(G15-G12)/((G15-G12)+(G12-$B$8)),"Infinite")-Data!$B$22</f>
        <v>50.113152700790778</v>
      </c>
      <c r="H17" s="23"/>
      <c r="I17" s="23">
        <f t="shared" si="0"/>
        <v>50.656152874394024</v>
      </c>
      <c r="J17" s="13" t="s">
        <v>6</v>
      </c>
      <c r="K17" s="15"/>
    </row>
    <row r="18" spans="1:11" ht="16.5" customHeight="1" outlineLevel="1">
      <c r="A18" s="23" t="s">
        <v>23</v>
      </c>
      <c r="B18" s="23">
        <f>$B$8*(B15-B12)/((B15-B12)+($B$8-B12))-Data!$B$22</f>
        <v>45.871791369787459</v>
      </c>
      <c r="C18" s="23">
        <f>$B$8*(C15-C12)/((C15-C12)+($B$8-C12))-Data!$B$22</f>
        <v>47.563886546222307</v>
      </c>
      <c r="D18" s="23">
        <f>$B$8*(D15-D12)/((D15-D12)+($B$8-D12))-Data!$B$22</f>
        <v>48.653089772214344</v>
      </c>
      <c r="E18" s="23">
        <f>$B$8*(E15-E12)/((E15-E12)+($B$8-E12))-Data!$B$22</f>
        <v>49.356832244724202</v>
      </c>
      <c r="F18" s="23">
        <f>$B$8*(F15-F12)/((F15-F12)+($B$8-F12))-Data!$B$22</f>
        <v>49.663926388769795</v>
      </c>
      <c r="G18" s="23">
        <f>$B$8*(G15-G12)/((G15-G12)+($B$8-G12))-Data!$B$22</f>
        <v>49.887239887249194</v>
      </c>
      <c r="H18" s="23"/>
      <c r="I18" s="23">
        <f t="shared" si="0"/>
        <v>49.356832244724202</v>
      </c>
      <c r="J18" s="13" t="s">
        <v>6</v>
      </c>
      <c r="K18" s="15"/>
    </row>
    <row r="19" spans="1:11" ht="15">
      <c r="A19" s="4" t="s">
        <v>24</v>
      </c>
      <c r="B19" s="24" t="str">
        <f>IF(AND(($B$8-Data!$B$22)&gt;=Data!B16,($B$8-Data!$B$22)&lt;=Data!B17), "YES", "NO")</f>
        <v>YES</v>
      </c>
      <c r="C19" s="24" t="str">
        <f>IF(AND(($B$8-Data!$B$22)&gt;=Data!C16,($B$8-Data!$B$22)&lt;=Data!C17), "YES", "NO")</f>
        <v>YES</v>
      </c>
      <c r="D19" s="24" t="str">
        <f>IF(AND(($B$8-Data!$B$22)&gt;=Data!D16,($B$8-Data!$B$22)&lt;=Data!D17), "YES", "NO")</f>
        <v>YES</v>
      </c>
      <c r="E19" s="24" t="str">
        <f>IF(AND(($B$8-Data!$B$22)&gt;=Data!E16,($B$8-Data!$B$22)&lt;=Data!E17), "YES", "NO")</f>
        <v>NO</v>
      </c>
      <c r="F19" s="24" t="str">
        <f>IF(AND(($B$8-Data!$B$22)&gt;=Data!F16,($B$8-Data!$B$22)&lt;=Data!F17), "YES", "NO")</f>
        <v>NO</v>
      </c>
      <c r="G19" s="24" t="str">
        <f>IF(AND(($B$8-Data!$B$22)&gt;=Data!G16,($B$8-Data!$B$22)&lt;=Data!G17), "YES", "NO")</f>
        <v>NO</v>
      </c>
      <c r="H19" s="24"/>
      <c r="I19" s="24" t="str">
        <f>IF(AND(($B$8-Data!$B$22)&gt;=Data!I16,($B$8-Data!$B$22)&lt;=Data!I17), "YES", "NO")</f>
        <v>YES</v>
      </c>
      <c r="J19" s="1"/>
      <c r="K19" s="15"/>
    </row>
    <row r="20" spans="1:11">
      <c r="A20" s="22" t="s">
        <v>25</v>
      </c>
      <c r="B20" s="22">
        <f>IF(B8&lt;B15,(B17-B18)/LOOKUP(C9,Data!B25:B27,Data!C25:C27),"Infinite")</f>
        <v>8.8570880560206433</v>
      </c>
      <c r="C20" s="22">
        <f>IF(B8/1000&lt;C15,(C17-C18)/LOOKUP(C9,Data!B25:B27,Data!C25:C27),"Infinite")</f>
        <v>5.0696281567435904</v>
      </c>
      <c r="D20" s="22">
        <f>IF(B8/1000&lt;D15,(D17-D18)/LOOKUP(C9,Data!B25:B27,Data!C25:C27),"Infinite")</f>
        <v>2.7520543956067485</v>
      </c>
      <c r="E20" s="22">
        <f>IF(B8/1000&lt;E15,(E17-E18)/LOOKUP(C9,Data!B25:B27,Data!C25:C27),"Infinite")</f>
        <v>1.2993206296698219</v>
      </c>
      <c r="F20" s="22">
        <f>IF(B8/1000&lt;F15,(F17-F18)/LOOKUP(C9,Data!B25:B27,Data!C25:C27),"Infinite")</f>
        <v>0.67565877981195399</v>
      </c>
      <c r="G20" s="22">
        <f>IF(B8/1000&lt;G15,(G17-G18)/LOOKUP(C9,Data!B25:B27,Data!C25:C27),"Infinite")</f>
        <v>0.22591281354158355</v>
      </c>
      <c r="H20" s="22"/>
      <c r="I20" s="22">
        <f t="shared" si="0"/>
        <v>1.2993206296698219</v>
      </c>
      <c r="J20" s="12" t="str">
        <f>C9</f>
        <v>mm</v>
      </c>
      <c r="K20" s="15" t="s">
        <v>26</v>
      </c>
    </row>
    <row r="21" spans="1:11">
      <c r="A21" s="22" t="s">
        <v>27</v>
      </c>
      <c r="B21" s="22">
        <f>$D$4*B6*(B8/B12-1)/LOOKUP(C9,Data!B25:B27,Data!C25:C27)</f>
        <v>80.673391304347831</v>
      </c>
      <c r="C21" s="22">
        <f>$D$4*B6*(B8/C12-1)/LOOKUP(C9,Data!B25:B27,Data!C25:C27)</f>
        <v>60.415999999999997</v>
      </c>
      <c r="D21" s="22">
        <f>$D$4*B6*(B8/D12-1)/LOOKUP(C9,Data!B25:B27,Data!C25:C27)</f>
        <v>43.775999999999996</v>
      </c>
      <c r="E21" s="22">
        <f>$D$4*B6*(B8/E12-1)/LOOKUP(C9,Data!B25:B27,Data!C25:C27)</f>
        <v>27.135999999999999</v>
      </c>
      <c r="F21" s="22">
        <f>$D$4*B6*(B8/F12-1)/LOOKUP(C9,Data!B25:B27,Data!C25:C27)</f>
        <v>18.815999999999999</v>
      </c>
      <c r="G21" s="22">
        <f>$D$4*B6*(B8/G12-1)/LOOKUP(C9,Data!B25:B27,Data!C25:C27)</f>
        <v>9.8303999999999991</v>
      </c>
      <c r="H21" s="22">
        <f>$D$4*B6*(B8/H12-1)/LOOKUP(C9,Data!B25:B27,Data!C25:C27)</f>
        <v>4.9493333333333327</v>
      </c>
      <c r="I21" s="22">
        <f t="shared" si="0"/>
        <v>27.135999999999999</v>
      </c>
      <c r="J21" s="12" t="str">
        <f>C9</f>
        <v>mm</v>
      </c>
      <c r="K21" s="15" t="str">
        <f>"Field of view at distance "&amp; (B8-Data!B22)</f>
        <v>Field of view at distance 50</v>
      </c>
    </row>
    <row r="22" spans="1:11">
      <c r="A22" s="22" t="s">
        <v>28</v>
      </c>
      <c r="B22" s="22">
        <f>$D$4*B7*(B8/B12-1)/LOOKUP(C9,Data!B25:B27,Data!C25:C27)</f>
        <v>64.538713043478268</v>
      </c>
      <c r="C22" s="22">
        <f>$D$4*B7*(B8/C12-1)/LOOKUP(C9,Data!B25:B27,Data!C25:C27)</f>
        <v>48.332799999999999</v>
      </c>
      <c r="D22" s="22">
        <f>$D$4*B7*(B8/D12-1)/LOOKUP(C9,Data!B25:B27,Data!C25:C27)</f>
        <v>35.020799999999994</v>
      </c>
      <c r="E22" s="22">
        <f>$D$4*B7*(B8/E12-1)/LOOKUP(C9,Data!B25:B27,Data!C25:C27)</f>
        <v>21.7088</v>
      </c>
      <c r="F22" s="22">
        <f>$D$4*B7*(B8/F12-1)/LOOKUP(C9,Data!B25:B27,Data!C25:C27)</f>
        <v>15.0528</v>
      </c>
      <c r="G22" s="22">
        <f>$D$4*B7*(B8/G12-1)/LOOKUP(C9,Data!B25:B27,Data!C25:C27)</f>
        <v>7.8643199999999993</v>
      </c>
      <c r="H22" s="22">
        <f>$D$4*B7*(B8/H12-1)/LOOKUP(C9,Data!B25:B27,Data!C25:C27)</f>
        <v>3.9594666666666662</v>
      </c>
      <c r="I22" s="22">
        <f t="shared" si="0"/>
        <v>21.7088</v>
      </c>
      <c r="J22" s="12" t="str">
        <f>C9</f>
        <v>mm</v>
      </c>
      <c r="K22" s="15" t="str">
        <f>"Field of view at distance "&amp; (B9-Data!B23)</f>
        <v>Field of view at distance 50</v>
      </c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12"/>
      <c r="K23" s="15"/>
    </row>
    <row r="24" spans="1:11">
      <c r="A24" s="22" t="s">
        <v>29</v>
      </c>
      <c r="B24" s="25">
        <f>(INDEX(Data!B20:C20,MATCH(B10,Data!B19:C19,0))/(B6/B21))</f>
        <v>6.3026086956521746E-2</v>
      </c>
      <c r="C24" s="25">
        <f>INDEX(Data!B20:C20,MATCH(B10,Data!B19:C19,0))/(B6/C21)</f>
        <v>4.7199999999999992E-2</v>
      </c>
      <c r="D24" s="25">
        <f>INDEX(Data!B20:C20,MATCH(B10,Data!B19:C19,0))/(B6/D21)</f>
        <v>3.4199999999999994E-2</v>
      </c>
      <c r="E24" s="25">
        <f>INDEX(Data!B20:C20,MATCH(B10,Data!B19:C19,0))/(B6/E21)</f>
        <v>2.12E-2</v>
      </c>
      <c r="F24" s="25">
        <f>INDEX(Data!B20:C20,MATCH(B10,Data!B19:C19,0))/(B6/F21)</f>
        <v>1.4699999999999998E-2</v>
      </c>
      <c r="G24" s="25">
        <f>INDEX(Data!B20:C20,MATCH(B10,Data!B19:C19,0))/(B6/G21)</f>
        <v>7.6799999999999993E-3</v>
      </c>
      <c r="H24" s="25">
        <f>INDEX(Data!B20:C20,MATCH(B10,Data!B19:C19,0))/(B6/H21)</f>
        <v>3.8666666666666663E-3</v>
      </c>
      <c r="I24" s="25">
        <f t="shared" si="0"/>
        <v>2.12E-2</v>
      </c>
      <c r="J24" s="12" t="str">
        <f>C9 &amp;"/pixel"</f>
        <v>mm/pixel</v>
      </c>
      <c r="K24" s="15"/>
    </row>
    <row r="25" spans="1:11">
      <c r="A25" s="22" t="s">
        <v>30</v>
      </c>
      <c r="B25" s="25">
        <f>(INDEX(Data!B20:C20,MATCH(B10,Data!B19:C19,0))/(B7/B22))</f>
        <v>6.3026086956521746E-2</v>
      </c>
      <c r="C25" s="25">
        <f>INDEX(Data!B20:C20,MATCH(B10,Data!B19:C19,0))/(B7/C22)</f>
        <v>4.7199999999999992E-2</v>
      </c>
      <c r="D25" s="25">
        <f>INDEX(Data!B20:C20,MATCH(B10,Data!B19:C19,0))/(B7/D22)</f>
        <v>3.4199999999999994E-2</v>
      </c>
      <c r="E25" s="25">
        <f>INDEX(Data!B20:C20,MATCH(B10,Data!B19:C19,0))/(B7/E22)</f>
        <v>2.12E-2</v>
      </c>
      <c r="F25" s="25">
        <f>INDEX(Data!B20:C20,MATCH(B10,Data!B19:C19,0))/(B7/F22)</f>
        <v>1.4699999999999998E-2</v>
      </c>
      <c r="G25" s="25">
        <f>INDEX(Data!B20:C20,MATCH(B10,Data!B19:C19,0))/(B7/G22)</f>
        <v>7.6799999999999993E-3</v>
      </c>
      <c r="H25" s="25"/>
      <c r="I25" s="25">
        <f t="shared" si="0"/>
        <v>2.12E-2</v>
      </c>
      <c r="J25" s="12" t="str">
        <f>C9 &amp;"/pixel"</f>
        <v>mm/pixel</v>
      </c>
      <c r="K25" s="15"/>
    </row>
    <row r="26" spans="1:11" hidden="1">
      <c r="A26" s="26" t="s">
        <v>45</v>
      </c>
      <c r="B26" s="27">
        <f>B24*0.3</f>
        <v>1.8907826086956524E-2</v>
      </c>
      <c r="C26" s="27">
        <f t="shared" ref="C26:I26" si="2">C24*0.3</f>
        <v>1.4159999999999997E-2</v>
      </c>
      <c r="D26" s="27">
        <f t="shared" si="2"/>
        <v>1.0259999999999998E-2</v>
      </c>
      <c r="E26" s="27">
        <f t="shared" si="2"/>
        <v>6.3600000000000002E-3</v>
      </c>
      <c r="F26" s="27">
        <f t="shared" si="2"/>
        <v>4.409999999999999E-3</v>
      </c>
      <c r="G26" s="27">
        <f t="shared" si="2"/>
        <v>2.3039999999999996E-3</v>
      </c>
      <c r="H26" s="27"/>
      <c r="I26" s="27">
        <f t="shared" si="2"/>
        <v>6.3600000000000002E-3</v>
      </c>
    </row>
    <row r="27" spans="1:11" hidden="1">
      <c r="A27" s="26" t="s">
        <v>46</v>
      </c>
      <c r="B27" s="27">
        <f>0.01*B24</f>
        <v>6.3026086956521747E-4</v>
      </c>
      <c r="C27" s="27">
        <f t="shared" ref="C27:I27" si="3">0.01*C24</f>
        <v>4.7199999999999993E-4</v>
      </c>
      <c r="D27" s="27">
        <f t="shared" si="3"/>
        <v>3.4199999999999996E-4</v>
      </c>
      <c r="E27" s="27">
        <f t="shared" si="3"/>
        <v>2.12E-4</v>
      </c>
      <c r="F27" s="27">
        <f t="shared" si="3"/>
        <v>1.4699999999999997E-4</v>
      </c>
      <c r="G27" s="27">
        <f t="shared" si="3"/>
        <v>7.6799999999999997E-5</v>
      </c>
      <c r="H27" s="27"/>
      <c r="I27" s="27">
        <f t="shared" si="3"/>
        <v>2.12E-4</v>
      </c>
    </row>
    <row r="29" spans="1:11">
      <c r="E29" t="str">
        <f>CONCATENATE(B9, " ",C9)</f>
        <v>50 mm</v>
      </c>
      <c r="I29" t="str">
        <f>CONCATENATE(Data!B22, " mm")</f>
        <v>15 mm</v>
      </c>
    </row>
    <row r="32" spans="1:11">
      <c r="B32" s="30" t="str">
        <f>A22</f>
        <v>Height FoV at  Distance</v>
      </c>
      <c r="C32" s="30"/>
    </row>
    <row r="33" spans="2:3">
      <c r="B33" s="29" t="str">
        <f>"                "&amp;A21</f>
        <v xml:space="preserve">                Width FoV at  Distance</v>
      </c>
    </row>
    <row r="34" spans="2:3">
      <c r="B34" s="29"/>
    </row>
    <row r="35" spans="2:3">
      <c r="B35" s="29"/>
    </row>
    <row r="36" spans="2:3">
      <c r="B36" s="29"/>
    </row>
    <row r="37" spans="2:3">
      <c r="B37" s="29"/>
    </row>
    <row r="38" spans="2:3">
      <c r="B38" s="29"/>
    </row>
    <row r="39" spans="2:3">
      <c r="B39" s="29"/>
    </row>
    <row r="40" spans="2:3">
      <c r="B40" s="29"/>
    </row>
    <row r="41" spans="2:3">
      <c r="B41" s="29"/>
    </row>
    <row r="42" spans="2:3">
      <c r="B42" s="29"/>
    </row>
    <row r="43" spans="2:3">
      <c r="B43" s="29"/>
    </row>
    <row r="48" spans="2:3">
      <c r="B48" s="28" t="str">
        <f>A20</f>
        <v>Depth of Field</v>
      </c>
      <c r="C48" s="28"/>
    </row>
  </sheetData>
  <sheetProtection formatCells="0" formatColumns="0" formatRows="0" insertColumns="0" insertRows="0" insertHyperlinks="0" deleteColumns="0" deleteRows="0" sort="0" autoFilter="0" pivotTables="0"/>
  <protectedRanges>
    <protectedRange sqref="B2 B10 B9:C9" name="Range1"/>
  </protectedRanges>
  <mergeCells count="3">
    <mergeCell ref="B48:C48"/>
    <mergeCell ref="B33:B43"/>
    <mergeCell ref="B32:C32"/>
  </mergeCells>
  <phoneticPr fontId="6" type="noConversion"/>
  <conditionalFormatting sqref="B19:I19">
    <cfRule type="containsText" dxfId="1" priority="1" operator="containsText" text="NO">
      <formula>NOT(ISERROR(SEARCH("NO",B19)))</formula>
    </cfRule>
    <cfRule type="containsText" dxfId="0" priority="2" operator="containsText" text="YES">
      <formula>NOT(ISERROR(SEARCH("YES",B19)))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Data!$B$5:$D$5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Data!$B$19:$C$19</xm:f>
          </x14:formula1>
          <xm:sqref>B10</xm:sqref>
        </x14:dataValidation>
        <x14:dataValidation type="list" allowBlank="1" showInputMessage="1" showErrorMessage="1" xr:uid="{00000000-0002-0000-0000-000002000000}">
          <x14:formula1>
            <xm:f>Data!$B$25:$B$27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27"/>
  <sheetViews>
    <sheetView topLeftCell="A2" workbookViewId="0">
      <selection activeCell="H15" sqref="H15"/>
    </sheetView>
  </sheetViews>
  <sheetFormatPr defaultColWidth="9.125" defaultRowHeight="14.25"/>
  <cols>
    <col min="1" max="1" width="16" bestFit="1" customWidth="1"/>
    <col min="3" max="3" width="13.125" customWidth="1"/>
    <col min="4" max="4" width="12.875" customWidth="1"/>
  </cols>
  <sheetData>
    <row r="4" spans="1:10">
      <c r="A4" s="3"/>
      <c r="B4" s="3" t="s">
        <v>31</v>
      </c>
      <c r="C4" s="3" t="s">
        <v>32</v>
      </c>
      <c r="D4" s="3" t="s">
        <v>33</v>
      </c>
      <c r="E4" s="3"/>
    </row>
    <row r="5" spans="1:10">
      <c r="A5" s="3"/>
      <c r="B5" s="3">
        <v>1.3</v>
      </c>
      <c r="C5" s="3">
        <v>3.1</v>
      </c>
      <c r="D5" s="3">
        <v>5</v>
      </c>
      <c r="E5" s="3" t="s">
        <v>1</v>
      </c>
    </row>
    <row r="6" spans="1:10" ht="15">
      <c r="A6" s="4" t="s">
        <v>2</v>
      </c>
      <c r="B6" s="5">
        <v>0.5</v>
      </c>
      <c r="C6" s="5">
        <f>1/1.8</f>
        <v>0.55555555555555558</v>
      </c>
      <c r="D6" s="5">
        <f>2/3</f>
        <v>0.66666666666666663</v>
      </c>
      <c r="E6" s="3" t="s">
        <v>3</v>
      </c>
    </row>
    <row r="7" spans="1:10" ht="15">
      <c r="A7" s="4" t="s">
        <v>4</v>
      </c>
      <c r="B7" s="3">
        <v>4.8</v>
      </c>
      <c r="C7" s="3">
        <v>3.45</v>
      </c>
      <c r="D7" s="3">
        <v>3.45</v>
      </c>
      <c r="E7" s="3" t="s">
        <v>5</v>
      </c>
    </row>
    <row r="8" spans="1:10" ht="15">
      <c r="A8" s="4"/>
      <c r="B8" s="3"/>
      <c r="C8" s="3"/>
      <c r="D8" s="3"/>
      <c r="E8" s="3"/>
    </row>
    <row r="9" spans="1:10" ht="15">
      <c r="A9" s="4" t="s">
        <v>7</v>
      </c>
      <c r="B9" s="6">
        <v>1280</v>
      </c>
      <c r="C9" s="6">
        <v>2048</v>
      </c>
      <c r="D9" s="6">
        <v>2448</v>
      </c>
      <c r="E9" s="3" t="s">
        <v>8</v>
      </c>
    </row>
    <row r="10" spans="1:10" ht="15">
      <c r="A10" s="4" t="s">
        <v>9</v>
      </c>
      <c r="B10" s="6">
        <v>1024</v>
      </c>
      <c r="C10" s="6">
        <v>1536</v>
      </c>
      <c r="D10" s="6">
        <v>2048</v>
      </c>
      <c r="E10" s="3" t="s">
        <v>8</v>
      </c>
    </row>
    <row r="11" spans="1:10">
      <c r="A11" s="3"/>
      <c r="B11" s="7">
        <f>B10*B9/1000000</f>
        <v>1.3107200000000001</v>
      </c>
      <c r="C11" s="7">
        <f>C10*C9/1000000</f>
        <v>3.1457280000000001</v>
      </c>
      <c r="D11" s="7">
        <f>D10*D9/1000000</f>
        <v>5.0135040000000002</v>
      </c>
      <c r="E11" s="3"/>
    </row>
    <row r="13" spans="1:10">
      <c r="B13" s="3" t="s">
        <v>34</v>
      </c>
      <c r="C13" s="3"/>
      <c r="D13" s="3"/>
      <c r="E13" s="3"/>
      <c r="F13" s="3"/>
      <c r="G13" s="3"/>
      <c r="H13" s="3"/>
      <c r="I13" s="3"/>
    </row>
    <row r="14" spans="1:10">
      <c r="B14" s="3">
        <v>4.5999999999999996</v>
      </c>
      <c r="C14" s="3">
        <v>6</v>
      </c>
      <c r="D14" s="3">
        <v>8</v>
      </c>
      <c r="E14" s="3">
        <v>12</v>
      </c>
      <c r="F14" s="3">
        <v>16</v>
      </c>
      <c r="G14" s="3">
        <v>25</v>
      </c>
      <c r="H14" s="3">
        <v>36</v>
      </c>
      <c r="I14" s="3" t="str">
        <f>E14&amp;"macro"</f>
        <v>12macro</v>
      </c>
      <c r="J14" t="s">
        <v>6</v>
      </c>
    </row>
    <row r="15" spans="1:10">
      <c r="B15" s="3">
        <v>3.5</v>
      </c>
      <c r="C15" s="3">
        <v>3.5</v>
      </c>
      <c r="D15" s="3">
        <v>3.5</v>
      </c>
      <c r="E15" s="3">
        <v>4</v>
      </c>
      <c r="F15" s="3">
        <v>4</v>
      </c>
      <c r="G15" s="3">
        <v>4</v>
      </c>
      <c r="H15" s="3"/>
      <c r="I15" s="6">
        <v>4</v>
      </c>
      <c r="J15" t="s">
        <v>35</v>
      </c>
    </row>
    <row r="16" spans="1:10">
      <c r="B16" s="3">
        <v>25</v>
      </c>
      <c r="C16" s="3">
        <v>50</v>
      </c>
      <c r="D16" s="3">
        <v>50</v>
      </c>
      <c r="E16" s="3">
        <v>75</v>
      </c>
      <c r="F16" s="3">
        <v>100</v>
      </c>
      <c r="G16" s="3">
        <v>250</v>
      </c>
      <c r="H16" s="3"/>
      <c r="I16" s="3">
        <v>35</v>
      </c>
      <c r="J16" t="s">
        <v>36</v>
      </c>
    </row>
    <row r="17" spans="2:10">
      <c r="B17" s="3">
        <v>65500</v>
      </c>
      <c r="C17" s="3">
        <v>65500</v>
      </c>
      <c r="D17" s="3">
        <v>65500</v>
      </c>
      <c r="E17" s="3">
        <v>5000</v>
      </c>
      <c r="F17" s="3">
        <v>1500</v>
      </c>
      <c r="G17" s="3">
        <v>1500</v>
      </c>
      <c r="H17" s="3"/>
      <c r="I17" s="3">
        <v>65</v>
      </c>
      <c r="J17" t="s">
        <v>37</v>
      </c>
    </row>
    <row r="19" spans="2:10">
      <c r="B19" s="11" t="s">
        <v>38</v>
      </c>
      <c r="C19" s="11" t="s">
        <v>14</v>
      </c>
    </row>
    <row r="20" spans="2:10">
      <c r="B20" s="11">
        <v>2</v>
      </c>
      <c r="C20" s="11">
        <v>1</v>
      </c>
      <c r="D20" t="s">
        <v>39</v>
      </c>
    </row>
    <row r="22" spans="2:10">
      <c r="B22">
        <v>15</v>
      </c>
      <c r="C22" t="s">
        <v>6</v>
      </c>
      <c r="D22" t="s">
        <v>40</v>
      </c>
    </row>
    <row r="24" spans="2:10">
      <c r="B24" t="s">
        <v>41</v>
      </c>
      <c r="C24" t="s">
        <v>42</v>
      </c>
    </row>
    <row r="25" spans="2:10">
      <c r="B25" t="s">
        <v>43</v>
      </c>
      <c r="C25">
        <v>10</v>
      </c>
    </row>
    <row r="26" spans="2:10">
      <c r="B26" t="s">
        <v>44</v>
      </c>
      <c r="C26">
        <v>25.4</v>
      </c>
    </row>
    <row r="27" spans="2:10">
      <c r="B27" t="s">
        <v>6</v>
      </c>
      <c r="C27">
        <v>1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71CE78241F648B28105A52E3B6351" ma:contentTypeVersion="11" ma:contentTypeDescription="Create a new document." ma:contentTypeScope="" ma:versionID="de16f14410bf3403601b3adc0275fe94">
  <xsd:schema xmlns:xsd="http://www.w3.org/2001/XMLSchema" xmlns:xs="http://www.w3.org/2001/XMLSchema" xmlns:p="http://schemas.microsoft.com/office/2006/metadata/properties" xmlns:ns2="a2ea2a63-79f5-4343-8fcf-7f39b6727b2b" xmlns:ns3="e537ceb9-bcf0-4dd7-af44-17e1b1ac2931" targetNamespace="http://schemas.microsoft.com/office/2006/metadata/properties" ma:root="true" ma:fieldsID="7247987879910bda47318d6fc51377cf" ns2:_="" ns3:_="">
    <xsd:import namespace="a2ea2a63-79f5-4343-8fcf-7f39b6727b2b"/>
    <xsd:import namespace="e537ceb9-bcf0-4dd7-af44-17e1b1ac2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a2a63-79f5-4343-8fcf-7f39b6727b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7ceb9-bcf0-4dd7-af44-17e1b1ac29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83FDF-632B-4664-90AF-1E7F79F17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a2a63-79f5-4343-8fcf-7f39b6727b2b"/>
    <ds:schemaRef ds:uri="e537ceb9-bcf0-4dd7-af44-17e1b1ac2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B17C0C-B890-4844-B48C-A8A5951599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CCFC18-EB80-4347-A5FE-DC08EEE6C2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Sizing</vt:lpstr>
      <vt:lpstr>Data</vt:lpstr>
    </vt:vector>
  </TitlesOfParts>
  <Manager/>
  <Company>Bernecker + Rainer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Darji Varad</dc:creator>
  <cp:keywords/>
  <dc:description/>
  <cp:lastModifiedBy>Zhaoyu Qiu</cp:lastModifiedBy>
  <cp:revision/>
  <dcterms:created xsi:type="dcterms:W3CDTF">2020-01-14T17:39:00Z</dcterms:created>
  <dcterms:modified xsi:type="dcterms:W3CDTF">2024-01-22T03:32:43Z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0x01010028771CE78241F648B28105A52E3B6351</vt:lpwstr>
  </property>
</Properties>
</file>