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wei\Desktop\his\HEC\air_port\"/>
    </mc:Choice>
  </mc:AlternateContent>
  <bookViews>
    <workbookView xWindow="0" yWindow="0" windowWidth="20490" windowHeight="7755"/>
  </bookViews>
  <sheets>
    <sheet name="stat_research" sheetId="2" r:id="rId1"/>
    <sheet name="cal_t_test" sheetId="3" state="hidden" r:id="rId2"/>
  </sheets>
  <definedNames>
    <definedName name="Segment_ArrDép_ArrDep">#N/A</definedName>
    <definedName name="Segment_Hour_class">#N/A</definedName>
    <definedName name="Segment_week_day">#N/A</definedName>
  </definedNames>
  <calcPr calcId="152511" concurrentCalc="0"/>
  <pivotCaches>
    <pivotCache cacheId="0" r:id="rId3"/>
    <pivotCache cacheId="1" r:id="rId4"/>
  </pivotCaches>
  <extLst>
    <ext xmlns:x14="http://schemas.microsoft.com/office/spreadsheetml/2009/9/main" uri="{876F7934-8845-4945-9796-88D515C7AA90}">
      <x14:pivotCaches>
        <pivotCache cacheId="2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27af6d4b-df2e-4cbd-836b-442764ec8145" name="data" connection="Excel data_ana"/>
        </x15:modelTables>
      </x15:dataModel>
    </ext>
  </extLst>
</workbook>
</file>

<file path=xl/calcChain.xml><?xml version="1.0" encoding="utf-8"?>
<calcChain xmlns="http://schemas.openxmlformats.org/spreadsheetml/2006/main">
  <c r="F13" i="3" l="1"/>
  <c r="E10" i="2"/>
  <c r="N57" i="2"/>
  <c r="L62" i="2"/>
  <c r="E11" i="2"/>
  <c r="N58" i="2"/>
  <c r="B59" i="2"/>
  <c r="N59" i="2"/>
  <c r="N60" i="2"/>
  <c r="L63" i="2"/>
  <c r="L64" i="2"/>
  <c r="D61" i="2"/>
  <c r="L61" i="2"/>
  <c r="E61" i="2"/>
  <c r="F62" i="2"/>
  <c r="B68" i="2"/>
  <c r="G62" i="2"/>
  <c r="E68" i="2"/>
  <c r="J62" i="2"/>
  <c r="F63" i="2"/>
  <c r="G63" i="2"/>
  <c r="H63" i="2"/>
  <c r="E69" i="2"/>
  <c r="J63" i="2"/>
  <c r="F64" i="2"/>
  <c r="G64" i="2"/>
  <c r="H64" i="2"/>
  <c r="E70" i="2"/>
  <c r="J64" i="2"/>
  <c r="F65" i="2"/>
  <c r="G65" i="2"/>
  <c r="H65" i="2"/>
  <c r="E71" i="2"/>
  <c r="J65" i="2"/>
  <c r="F61" i="2"/>
  <c r="G61" i="2"/>
  <c r="H61" i="2"/>
  <c r="E67" i="2"/>
  <c r="J61" i="2"/>
  <c r="H62" i="2"/>
  <c r="G26" i="2"/>
  <c r="G30" i="2"/>
  <c r="G32" i="2"/>
  <c r="G40" i="2"/>
  <c r="G41" i="2"/>
  <c r="G43" i="2"/>
  <c r="K69" i="2"/>
  <c r="K71" i="2"/>
  <c r="K67" i="2"/>
  <c r="K70" i="2"/>
  <c r="K68" i="2"/>
  <c r="K66" i="2"/>
  <c r="D16" i="3"/>
  <c r="L59" i="2"/>
  <c r="F12" i="3"/>
  <c r="D12" i="3"/>
  <c r="D10" i="3"/>
  <c r="B10" i="3"/>
  <c r="B12" i="3"/>
  <c r="L30" i="2"/>
  <c r="B30" i="2"/>
  <c r="L58" i="2"/>
  <c r="D9" i="3"/>
  <c r="L57" i="2"/>
  <c r="F14" i="3"/>
  <c r="B31" i="3"/>
  <c r="B30" i="3"/>
  <c r="B29" i="3"/>
  <c r="E12" i="2"/>
  <c r="N36" i="2"/>
  <c r="M36" i="2"/>
  <c r="N35" i="2"/>
  <c r="M35" i="2"/>
  <c r="N34" i="2"/>
  <c r="M34" i="2"/>
  <c r="I36" i="2"/>
  <c r="H36" i="2"/>
  <c r="I35" i="2"/>
  <c r="H35" i="2"/>
  <c r="I34" i="2"/>
  <c r="H34" i="2"/>
  <c r="D36" i="2"/>
  <c r="C36" i="2"/>
  <c r="I8" i="3"/>
  <c r="I7" i="3"/>
  <c r="D35" i="2"/>
  <c r="C35" i="2"/>
  <c r="D34" i="2"/>
  <c r="C34" i="2"/>
  <c r="I4" i="3"/>
  <c r="I5" i="3"/>
  <c r="I6" i="3"/>
  <c r="I3" i="3"/>
  <c r="D13" i="3"/>
  <c r="D14" i="3"/>
  <c r="B14" i="3"/>
  <c r="B23" i="3"/>
  <c r="B13" i="3"/>
  <c r="B11" i="3"/>
  <c r="D11" i="3"/>
  <c r="L27" i="2"/>
  <c r="G27" i="2"/>
  <c r="F9" i="3"/>
  <c r="B9" i="3"/>
  <c r="L60" i="2"/>
  <c r="B41" i="2"/>
  <c r="E19" i="2"/>
  <c r="E5" i="2"/>
  <c r="B25" i="3"/>
  <c r="B21" i="3"/>
  <c r="L51" i="2"/>
  <c r="L52" i="2"/>
  <c r="G51" i="2"/>
  <c r="G52" i="2"/>
  <c r="B51" i="2"/>
  <c r="B52" i="2"/>
  <c r="L41" i="2"/>
  <c r="L28" i="2"/>
  <c r="F8" i="3"/>
  <c r="G28" i="2"/>
  <c r="D8" i="3"/>
  <c r="B28" i="2"/>
  <c r="B8" i="3"/>
  <c r="E3" i="2"/>
  <c r="E17" i="2"/>
  <c r="B27" i="3"/>
  <c r="B26" i="3"/>
  <c r="C29" i="3"/>
  <c r="B22" i="3"/>
  <c r="F10" i="3"/>
  <c r="F11" i="3"/>
  <c r="E4" i="2"/>
  <c r="E18" i="2"/>
  <c r="B29" i="2"/>
  <c r="L29" i="2"/>
  <c r="L32" i="2"/>
  <c r="G29" i="2"/>
  <c r="B32" i="2"/>
  <c r="B27" i="2"/>
  <c r="L26" i="2"/>
  <c r="K1" i="3"/>
  <c r="J1" i="3"/>
  <c r="G42" i="2"/>
  <c r="L42" i="2"/>
  <c r="C25" i="3"/>
  <c r="L40" i="2"/>
  <c r="L43" i="2"/>
  <c r="L31" i="2"/>
  <c r="L45" i="2"/>
  <c r="C30" i="3"/>
  <c r="B26" i="2"/>
  <c r="B31" i="2"/>
  <c r="L44" i="2"/>
  <c r="C31" i="3"/>
  <c r="B71" i="2"/>
  <c r="G44" i="2"/>
  <c r="C27" i="3"/>
  <c r="G31" i="2"/>
  <c r="B42" i="2"/>
  <c r="C21" i="3"/>
  <c r="B40" i="2"/>
  <c r="B43" i="2"/>
  <c r="G45" i="2"/>
  <c r="C26" i="3"/>
  <c r="G34" i="2"/>
  <c r="L36" i="2"/>
  <c r="G36" i="2"/>
  <c r="G35" i="2"/>
  <c r="B45" i="2"/>
  <c r="B44" i="2"/>
  <c r="C23" i="3"/>
  <c r="L35" i="2"/>
  <c r="L34" i="2"/>
  <c r="C22" i="3"/>
  <c r="B70" i="2"/>
  <c r="B36" i="2"/>
  <c r="B35" i="2"/>
  <c r="B34" i="2"/>
  <c r="B69" i="2"/>
  <c r="B72" i="2"/>
  <c r="B74" i="2"/>
  <c r="B73" i="2"/>
</calcChain>
</file>

<file path=xl/connections.xml><?xml version="1.0" encoding="utf-8"?>
<connections xmlns="http://schemas.openxmlformats.org/spreadsheetml/2006/main">
  <connection id="1" name="Excel data_ana" type="100" refreshedVersion="0">
    <extLst>
      <ext xmlns:x15="http://schemas.microsoft.com/office/spreadsheetml/2010/11/main" uri="{DE250136-89BD-433C-8126-D09CA5730AF9}">
        <x15:connection id="3a525fb3-22bb-416d-b040-d4e4bc7d7f69"/>
      </ext>
    </extLst>
  </connection>
  <connection id="2" keepAlive="1" name="ThisWorkbookDataModel" description="Modèle de donnée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<sst xmlns="http://schemas.openxmlformats.org/spreadsheetml/2006/main" count="211" uniqueCount="112">
  <si>
    <t>ANNULÉ</t>
  </si>
  <si>
    <t>ON_TIME</t>
  </si>
  <si>
    <t>RETARD</t>
  </si>
  <si>
    <t>Somme de NB</t>
  </si>
  <si>
    <t>Annulation</t>
  </si>
  <si>
    <t>Retard</t>
  </si>
  <si>
    <t>Ecartype</t>
  </si>
  <si>
    <t xml:space="preserve">Total </t>
  </si>
  <si>
    <t>Information Génerale</t>
  </si>
  <si>
    <t>Student_T_test</t>
  </si>
  <si>
    <t>Niveau de confiance</t>
  </si>
  <si>
    <t>nb_échantillon</t>
  </si>
  <si>
    <t>Étiquettes de lignes</t>
  </si>
  <si>
    <t>Total général</t>
  </si>
  <si>
    <t>P_ANNULATION</t>
  </si>
  <si>
    <t>P_RETARD</t>
  </si>
  <si>
    <t>Statistque_t</t>
  </si>
  <si>
    <t>erreur-type</t>
  </si>
  <si>
    <t>H0</t>
  </si>
  <si>
    <t>H1</t>
  </si>
  <si>
    <t>Test bilatéral</t>
  </si>
  <si>
    <t>Tests unilatéraux</t>
  </si>
  <si>
    <t>seuil expérimental</t>
  </si>
  <si>
    <t>P_ontime</t>
  </si>
  <si>
    <t>On_time</t>
  </si>
  <si>
    <t>Quantile</t>
  </si>
  <si>
    <t>Estimation</t>
  </si>
  <si>
    <t>Marge d'erreur</t>
  </si>
  <si>
    <t>Borne inférieure de l'intervalle</t>
  </si>
  <si>
    <t>Borne supérieure de l'intervalle</t>
  </si>
  <si>
    <t>degrés loberté</t>
  </si>
  <si>
    <t xml:space="preserve">Erreur type </t>
  </si>
  <si>
    <t>Détermination de la taille d'échantillon</t>
  </si>
  <si>
    <t>niveau de confiance souhaité</t>
  </si>
  <si>
    <t>écart-type</t>
  </si>
  <si>
    <t>erreur maximale</t>
  </si>
  <si>
    <t>quantile</t>
  </si>
  <si>
    <t>n</t>
  </si>
  <si>
    <t>hypothèse nulle</t>
  </si>
  <si>
    <t>Hypothèse alternative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</si>
  <si>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</si>
  <si>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</si>
  <si>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t>Flight_status_Counter_numbers</t>
  </si>
  <si>
    <t>Taille</t>
  </si>
  <si>
    <t>Moyenne</t>
  </si>
  <si>
    <r>
      <t>t</t>
    </r>
    <r>
      <rPr>
        <vertAlign val="subscript"/>
        <sz val="11"/>
        <color theme="1"/>
        <rFont val="Calibri"/>
        <family val="2"/>
        <scheme val="minor"/>
      </rPr>
      <t>n-1,</t>
    </r>
    <r>
      <rPr>
        <vertAlign val="subscript"/>
        <sz val="11"/>
        <color theme="1"/>
        <rFont val="Calibri"/>
        <family val="2"/>
      </rPr>
      <t>α</t>
    </r>
    <r>
      <rPr>
        <vertAlign val="subscript"/>
        <sz val="9.9"/>
        <color theme="1"/>
        <rFont val="Calibri"/>
        <family val="2"/>
      </rPr>
      <t>/2</t>
    </r>
  </si>
  <si>
    <t>T</t>
  </si>
  <si>
    <t>E_A</t>
  </si>
  <si>
    <t>P_annulation</t>
  </si>
  <si>
    <t>SUP</t>
  </si>
  <si>
    <t>INF</t>
  </si>
  <si>
    <t>annulation_G</t>
  </si>
  <si>
    <t>annulation_I</t>
  </si>
  <si>
    <t>P_retard</t>
  </si>
  <si>
    <t>Retard_G</t>
  </si>
  <si>
    <t>Retard_I</t>
  </si>
  <si>
    <t>Err_T</t>
  </si>
  <si>
    <t>Mage_err</t>
  </si>
  <si>
    <t>Rejet_H0</t>
  </si>
  <si>
    <t>Tests d'hypothèses</t>
  </si>
  <si>
    <t>W</t>
  </si>
  <si>
    <t>df</t>
  </si>
  <si>
    <t>Estimateur</t>
  </si>
  <si>
    <t>erreur type</t>
  </si>
  <si>
    <t>t</t>
  </si>
  <si>
    <t>dégré libré</t>
  </si>
  <si>
    <t>Value_T</t>
  </si>
  <si>
    <t>Erreur type</t>
  </si>
  <si>
    <r>
      <t>α</t>
    </r>
    <r>
      <rPr>
        <sz val="9.9"/>
        <color theme="1"/>
        <rFont val="Calibri"/>
        <family val="2"/>
      </rPr>
      <t xml:space="preserve"> </t>
    </r>
  </si>
  <si>
    <t>Ontime_G</t>
  </si>
  <si>
    <t>Ontime_I</t>
  </si>
  <si>
    <t>H0 est vrais</t>
  </si>
  <si>
    <t>H0 est fausse</t>
  </si>
  <si>
    <t>Error_type_i</t>
  </si>
  <si>
    <t>Bon_décision</t>
  </si>
  <si>
    <t>Error_type_ii</t>
  </si>
  <si>
    <t>Ne_Pas_Rejet_H0</t>
  </si>
  <si>
    <t>P=</t>
  </si>
  <si>
    <r>
      <t>P</t>
    </r>
    <r>
      <rPr>
        <sz val="11"/>
        <color theme="1"/>
        <rFont val="Calibri"/>
        <family val="2"/>
      </rPr>
      <t>≠</t>
    </r>
  </si>
  <si>
    <r>
      <t>P</t>
    </r>
    <r>
      <rPr>
        <sz val="11"/>
        <color theme="1"/>
        <rFont val="Calibri"/>
        <family val="2"/>
      </rPr>
      <t>≥</t>
    </r>
  </si>
  <si>
    <t>P&lt;</t>
  </si>
  <si>
    <t>P_G</t>
  </si>
  <si>
    <t>P_I</t>
  </si>
  <si>
    <r>
      <t>P</t>
    </r>
    <r>
      <rPr>
        <sz val="11"/>
        <color theme="1"/>
        <rFont val="Calibri"/>
        <family val="2"/>
      </rPr>
      <t>≤</t>
    </r>
  </si>
  <si>
    <t>P&gt;</t>
  </si>
  <si>
    <t>Ecartyp_G</t>
  </si>
  <si>
    <r>
      <t>/</t>
    </r>
    <r>
      <rPr>
        <sz val="9"/>
        <color theme="1"/>
        <rFont val="Calibri"/>
        <family val="2"/>
      </rPr>
      <t>√</t>
    </r>
    <r>
      <rPr>
        <sz val="8.1"/>
        <color theme="1"/>
        <rFont val="Calibri"/>
        <family val="2"/>
      </rPr>
      <t>P(1-P)</t>
    </r>
  </si>
  <si>
    <t>Judge_rejet</t>
  </si>
  <si>
    <t>H0_Vrais_fausse</t>
  </si>
  <si>
    <t>Judgement</t>
  </si>
  <si>
    <t>Test d'hypothèse_Retard</t>
  </si>
  <si>
    <t>∆Ecartype</t>
  </si>
  <si>
    <t>P1_SUP</t>
  </si>
  <si>
    <t>P2_SUP</t>
  </si>
  <si>
    <t>P1_INF</t>
  </si>
  <si>
    <t>P2_INF</t>
  </si>
  <si>
    <t>P1SUP-P2SUP</t>
  </si>
  <si>
    <t>P1INF-P2INF</t>
  </si>
  <si>
    <t>Ecartyp_I</t>
  </si>
  <si>
    <t>*</t>
  </si>
  <si>
    <t>RejetVrais</t>
  </si>
  <si>
    <t>RejetFausse</t>
  </si>
  <si>
    <t>No_RejetVrais</t>
  </si>
  <si>
    <t>No_RejetFausse</t>
  </si>
  <si>
    <t>Bonne_décision</t>
  </si>
  <si>
    <t>Erreur_type_II</t>
  </si>
  <si>
    <t>Erreur_type_I</t>
  </si>
  <si>
    <t>Invervalle de confiance_P_I</t>
  </si>
  <si>
    <t>G-I=0</t>
  </si>
  <si>
    <t>G-I≠0</t>
  </si>
  <si>
    <t>G-I&gt;0</t>
  </si>
  <si>
    <t>G-I&lt;0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</si>
</sst>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0.000"/>
    <numFmt numFmtId="167" formatCode="0.0000000"/>
    <numFmt numFmtId="168" formatCode="0.0"/>
    <numFmt numFmtId="169" formatCode="0.000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bscript"/>
      <sz val="9.9"/>
      <color theme="1"/>
      <name val="Calibri"/>
      <family val="2"/>
    </font>
    <font>
      <sz val="8.1"/>
      <color theme="1"/>
      <name val="Calibri"/>
      <family val="2"/>
    </font>
    <font>
      <sz val="11"/>
      <color theme="1"/>
      <name val="Calibri"/>
      <family val="2"/>
    </font>
    <font>
      <sz val="9.9"/>
      <color theme="1"/>
      <name val="Calibri"/>
      <family val="2"/>
    </font>
    <font>
      <sz val="9"/>
      <name val="Calibri"/>
      <family val="2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</font>
    <font>
      <sz val="9"/>
      <color theme="1" tint="0.499984740745262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9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4" xfId="0" applyFont="1" applyBorder="1" applyAlignment="1">
      <alignment vertical="center"/>
    </xf>
    <xf numFmtId="0" fontId="4" fillId="2" borderId="13" xfId="0" applyFont="1" applyFill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7" fillId="2" borderId="1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4" xfId="0" applyFont="1" applyBorder="1"/>
    <xf numFmtId="0" fontId="5" fillId="0" borderId="13" xfId="0" applyFont="1" applyBorder="1"/>
    <xf numFmtId="0" fontId="8" fillId="2" borderId="5" xfId="0" applyFont="1" applyFill="1" applyBorder="1"/>
    <xf numFmtId="9" fontId="8" fillId="3" borderId="3" xfId="0" applyNumberFormat="1" applyFont="1" applyFill="1" applyBorder="1"/>
    <xf numFmtId="0" fontId="7" fillId="2" borderId="4" xfId="0" applyFont="1" applyFill="1" applyBorder="1"/>
    <xf numFmtId="0" fontId="9" fillId="2" borderId="4" xfId="0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8" fillId="2" borderId="4" xfId="0" applyFont="1" applyFill="1" applyBorder="1"/>
    <xf numFmtId="165" fontId="8" fillId="2" borderId="5" xfId="0" applyNumberFormat="1" applyFont="1" applyFill="1" applyBorder="1"/>
    <xf numFmtId="0" fontId="13" fillId="0" borderId="6" xfId="0" applyFont="1" applyBorder="1"/>
    <xf numFmtId="0" fontId="8" fillId="2" borderId="7" xfId="0" applyFont="1" applyFill="1" applyBorder="1"/>
    <xf numFmtId="0" fontId="8" fillId="2" borderId="10" xfId="0" applyFont="1" applyFill="1" applyBorder="1"/>
    <xf numFmtId="0" fontId="4" fillId="0" borderId="4" xfId="0" applyFont="1" applyBorder="1"/>
    <xf numFmtId="9" fontId="5" fillId="3" borderId="5" xfId="1" applyFont="1" applyFill="1" applyBorder="1" applyProtection="1">
      <protection locked="0"/>
    </xf>
    <xf numFmtId="0" fontId="5" fillId="0" borderId="5" xfId="1" applyNumberFormat="1" applyFont="1" applyFill="1" applyBorder="1" applyProtection="1"/>
    <xf numFmtId="0" fontId="4" fillId="0" borderId="6" xfId="0" applyFont="1" applyBorder="1"/>
    <xf numFmtId="0" fontId="8" fillId="2" borderId="14" xfId="0" applyFont="1" applyFill="1" applyBorder="1"/>
    <xf numFmtId="0" fontId="8" fillId="2" borderId="0" xfId="0" applyFont="1" applyFill="1" applyBorder="1"/>
    <xf numFmtId="0" fontId="10" fillId="2" borderId="0" xfId="0" applyFont="1" applyFill="1" applyBorder="1"/>
    <xf numFmtId="0" fontId="8" fillId="2" borderId="1" xfId="0" applyFont="1" applyFill="1" applyBorder="1"/>
    <xf numFmtId="0" fontId="8" fillId="2" borderId="8" xfId="0" applyFont="1" applyFill="1" applyBorder="1"/>
    <xf numFmtId="0" fontId="8" fillId="2" borderId="10" xfId="0" applyFont="1" applyFill="1" applyBorder="1" applyAlignment="1">
      <alignment horizontal="left"/>
    </xf>
    <xf numFmtId="0" fontId="8" fillId="2" borderId="11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7" fillId="2" borderId="0" xfId="0" applyFont="1" applyFill="1" applyBorder="1"/>
    <xf numFmtId="0" fontId="8" fillId="2" borderId="2" xfId="0" applyFont="1" applyFill="1" applyBorder="1"/>
    <xf numFmtId="0" fontId="7" fillId="2" borderId="1" xfId="0" applyFont="1" applyFill="1" applyBorder="1"/>
    <xf numFmtId="0" fontId="2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/>
    </xf>
    <xf numFmtId="3" fontId="8" fillId="2" borderId="10" xfId="0" applyNumberFormat="1" applyFont="1" applyFill="1" applyBorder="1"/>
    <xf numFmtId="3" fontId="8" fillId="2" borderId="11" xfId="0" applyNumberFormat="1" applyFont="1" applyFill="1" applyBorder="1"/>
    <xf numFmtId="3" fontId="8" fillId="5" borderId="1" xfId="0" applyNumberFormat="1" applyFont="1" applyFill="1" applyBorder="1"/>
    <xf numFmtId="0" fontId="7" fillId="2" borderId="11" xfId="0" applyFont="1" applyFill="1" applyBorder="1"/>
    <xf numFmtId="0" fontId="7" fillId="2" borderId="12" xfId="0" applyFont="1" applyFill="1" applyBorder="1"/>
    <xf numFmtId="165" fontId="8" fillId="2" borderId="3" xfId="1" applyNumberFormat="1" applyFont="1" applyFill="1" applyBorder="1"/>
    <xf numFmtId="165" fontId="8" fillId="2" borderId="5" xfId="1" applyNumberFormat="1" applyFont="1" applyFill="1" applyBorder="1"/>
    <xf numFmtId="165" fontId="8" fillId="4" borderId="5" xfId="0" applyNumberFormat="1" applyFont="1" applyFill="1" applyBorder="1"/>
    <xf numFmtId="165" fontId="11" fillId="2" borderId="5" xfId="1" applyNumberFormat="1" applyFont="1" applyFill="1" applyBorder="1"/>
    <xf numFmtId="165" fontId="11" fillId="2" borderId="5" xfId="0" applyNumberFormat="1" applyFont="1" applyFill="1" applyBorder="1"/>
    <xf numFmtId="165" fontId="5" fillId="2" borderId="5" xfId="1" applyNumberFormat="1" applyFont="1" applyFill="1" applyBorder="1" applyProtection="1"/>
    <xf numFmtId="165" fontId="5" fillId="2" borderId="5" xfId="1" applyNumberFormat="1" applyFont="1" applyFill="1" applyBorder="1"/>
    <xf numFmtId="165" fontId="5" fillId="2" borderId="5" xfId="0" applyNumberFormat="1" applyFont="1" applyFill="1" applyBorder="1"/>
    <xf numFmtId="165" fontId="5" fillId="2" borderId="7" xfId="0" applyNumberFormat="1" applyFont="1" applyFill="1" applyBorder="1"/>
    <xf numFmtId="165" fontId="8" fillId="4" borderId="0" xfId="0" applyNumberFormat="1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2" borderId="0" xfId="0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16" xfId="0" applyFont="1" applyBorder="1"/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6" xfId="0" applyFont="1" applyBorder="1"/>
    <xf numFmtId="0" fontId="13" fillId="0" borderId="4" xfId="0" applyFont="1" applyBorder="1" applyProtection="1">
      <protection locked="0"/>
    </xf>
    <xf numFmtId="165" fontId="5" fillId="2" borderId="0" xfId="0" applyNumberFormat="1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vertical="center"/>
    </xf>
    <xf numFmtId="0" fontId="21" fillId="6" borderId="4" xfId="0" applyFont="1" applyFill="1" applyBorder="1"/>
    <xf numFmtId="11" fontId="21" fillId="6" borderId="5" xfId="0" applyNumberFormat="1" applyFont="1" applyFill="1" applyBorder="1"/>
    <xf numFmtId="165" fontId="21" fillId="6" borderId="5" xfId="0" applyNumberFormat="1" applyFont="1" applyFill="1" applyBorder="1"/>
    <xf numFmtId="0" fontId="21" fillId="6" borderId="6" xfId="0" applyFont="1" applyFill="1" applyBorder="1"/>
    <xf numFmtId="165" fontId="21" fillId="6" borderId="7" xfId="0" applyNumberFormat="1" applyFont="1" applyFill="1" applyBorder="1"/>
    <xf numFmtId="0" fontId="4" fillId="0" borderId="18" xfId="0" applyFont="1" applyBorder="1"/>
    <xf numFmtId="0" fontId="4" fillId="0" borderId="17" xfId="0" applyFont="1" applyBorder="1" applyAlignment="1">
      <alignment horizontal="center"/>
    </xf>
    <xf numFmtId="0" fontId="7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/>
    </xf>
    <xf numFmtId="0" fontId="8" fillId="5" borderId="2" xfId="0" applyFont="1" applyFill="1" applyBorder="1"/>
    <xf numFmtId="0" fontId="7" fillId="5" borderId="8" xfId="0" applyFont="1" applyFill="1" applyBorder="1"/>
    <xf numFmtId="0" fontId="7" fillId="5" borderId="10" xfId="0" applyFont="1" applyFill="1" applyBorder="1"/>
    <xf numFmtId="165" fontId="8" fillId="2" borderId="0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4" fillId="2" borderId="22" xfId="0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 vertical="center"/>
    </xf>
    <xf numFmtId="166" fontId="8" fillId="2" borderId="24" xfId="0" applyNumberFormat="1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7" fillId="2" borderId="3" xfId="0" applyFont="1" applyFill="1" applyBorder="1"/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168" fontId="0" fillId="0" borderId="0" xfId="0" applyNumberFormat="1"/>
    <xf numFmtId="0" fontId="8" fillId="2" borderId="8" xfId="0" applyFont="1" applyFill="1" applyBorder="1" applyAlignment="1"/>
    <xf numFmtId="0" fontId="0" fillId="2" borderId="4" xfId="0" applyFont="1" applyFill="1" applyBorder="1"/>
    <xf numFmtId="0" fontId="2" fillId="2" borderId="2" xfId="0" applyFont="1" applyFill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0" fillId="2" borderId="8" xfId="0" applyFill="1" applyBorder="1"/>
    <xf numFmtId="9" fontId="5" fillId="3" borderId="8" xfId="1" applyFont="1" applyFill="1" applyBorder="1" applyProtection="1">
      <protection locked="0"/>
    </xf>
    <xf numFmtId="0" fontId="5" fillId="0" borderId="8" xfId="1" applyNumberFormat="1" applyFont="1" applyFill="1" applyBorder="1" applyProtection="1"/>
    <xf numFmtId="0" fontId="5" fillId="0" borderId="9" xfId="1" applyNumberFormat="1" applyFont="1" applyFill="1" applyBorder="1" applyProtection="1"/>
    <xf numFmtId="167" fontId="5" fillId="2" borderId="0" xfId="1" applyNumberFormat="1" applyFont="1" applyFill="1" applyBorder="1" applyProtection="1"/>
    <xf numFmtId="0" fontId="5" fillId="2" borderId="0" xfId="0" applyFont="1" applyFill="1" applyBorder="1"/>
    <xf numFmtId="167" fontId="5" fillId="2" borderId="0" xfId="0" applyNumberFormat="1" applyFont="1" applyFill="1" applyBorder="1"/>
    <xf numFmtId="0" fontId="7" fillId="5" borderId="11" xfId="0" applyFont="1" applyFill="1" applyBorder="1"/>
    <xf numFmtId="9" fontId="8" fillId="7" borderId="0" xfId="0" applyNumberFormat="1" applyFont="1" applyFill="1" applyBorder="1" applyAlignment="1">
      <alignment horizontal="center"/>
    </xf>
    <xf numFmtId="3" fontId="8" fillId="2" borderId="5" xfId="0" applyNumberFormat="1" applyFont="1" applyFill="1" applyBorder="1"/>
    <xf numFmtId="169" fontId="0" fillId="0" borderId="0" xfId="0" applyNumberFormat="1"/>
    <xf numFmtId="3" fontId="8" fillId="4" borderId="9" xfId="0" applyNumberFormat="1" applyFont="1" applyFill="1" applyBorder="1" applyAlignment="1">
      <alignment horizontal="center"/>
    </xf>
    <xf numFmtId="3" fontId="8" fillId="2" borderId="9" xfId="0" applyNumberFormat="1" applyFont="1" applyFill="1" applyBorder="1" applyAlignment="1">
      <alignment horizontal="center"/>
    </xf>
    <xf numFmtId="0" fontId="0" fillId="2" borderId="8" xfId="0" applyFont="1" applyFill="1" applyBorder="1"/>
    <xf numFmtId="0" fontId="0" fillId="2" borderId="0" xfId="0" applyFont="1" applyFill="1" applyBorder="1"/>
    <xf numFmtId="0" fontId="8" fillId="2" borderId="0" xfId="0" applyFont="1" applyFill="1" applyBorder="1" applyAlignment="1"/>
    <xf numFmtId="0" fontId="8" fillId="2" borderId="30" xfId="0" applyFont="1" applyFill="1" applyBorder="1"/>
    <xf numFmtId="0" fontId="24" fillId="6" borderId="0" xfId="0" applyFont="1" applyFill="1" applyBorder="1" applyAlignment="1">
      <alignment horizontal="left"/>
    </xf>
    <xf numFmtId="0" fontId="24" fillId="6" borderId="0" xfId="0" applyFont="1" applyFill="1" applyBorder="1"/>
    <xf numFmtId="0" fontId="25" fillId="6" borderId="2" xfId="0" applyFont="1" applyFill="1" applyBorder="1"/>
    <xf numFmtId="0" fontId="25" fillId="6" borderId="8" xfId="0" applyFont="1" applyFill="1" applyBorder="1"/>
    <xf numFmtId="0" fontId="25" fillId="6" borderId="4" xfId="0" applyFont="1" applyFill="1" applyBorder="1"/>
    <xf numFmtId="0" fontId="25" fillId="6" borderId="0" xfId="0" applyFont="1" applyFill="1" applyBorder="1"/>
    <xf numFmtId="167" fontId="25" fillId="6" borderId="0" xfId="0" applyNumberFormat="1" applyFont="1" applyFill="1" applyBorder="1"/>
    <xf numFmtId="0" fontId="26" fillId="6" borderId="4" xfId="0" applyFont="1" applyFill="1" applyBorder="1"/>
    <xf numFmtId="0" fontId="25" fillId="6" borderId="6" xfId="0" applyFont="1" applyFill="1" applyBorder="1"/>
    <xf numFmtId="0" fontId="25" fillId="6" borderId="9" xfId="0" applyFont="1" applyFill="1" applyBorder="1"/>
    <xf numFmtId="0" fontId="23" fillId="6" borderId="2" xfId="0" applyFont="1" applyFill="1" applyBorder="1"/>
    <xf numFmtId="0" fontId="24" fillId="6" borderId="8" xfId="0" applyFont="1" applyFill="1" applyBorder="1" applyAlignment="1">
      <alignment horizontal="left"/>
    </xf>
    <xf numFmtId="0" fontId="23" fillId="6" borderId="3" xfId="0" applyFont="1" applyFill="1" applyBorder="1" applyAlignment="1">
      <alignment horizontal="left" vertical="center"/>
    </xf>
    <xf numFmtId="0" fontId="23" fillId="6" borderId="4" xfId="0" applyFont="1" applyFill="1" applyBorder="1"/>
    <xf numFmtId="0" fontId="23" fillId="6" borderId="5" xfId="0" applyFont="1" applyFill="1" applyBorder="1" applyAlignment="1">
      <alignment horizontal="left" vertical="center"/>
    </xf>
    <xf numFmtId="0" fontId="23" fillId="6" borderId="6" xfId="0" applyFont="1" applyFill="1" applyBorder="1"/>
    <xf numFmtId="0" fontId="24" fillId="6" borderId="9" xfId="0" applyFont="1" applyFill="1" applyBorder="1"/>
    <xf numFmtId="0" fontId="23" fillId="6" borderId="7" xfId="0" applyFont="1" applyFill="1" applyBorder="1" applyAlignment="1">
      <alignment horizontal="left" vertical="center"/>
    </xf>
    <xf numFmtId="0" fontId="8" fillId="2" borderId="31" xfId="0" applyFont="1" applyFill="1" applyBorder="1"/>
    <xf numFmtId="165" fontId="8" fillId="2" borderId="3" xfId="0" applyNumberFormat="1" applyFont="1" applyFill="1" applyBorder="1"/>
    <xf numFmtId="165" fontId="8" fillId="2" borderId="7" xfId="0" applyNumberFormat="1" applyFont="1" applyFill="1" applyBorder="1"/>
    <xf numFmtId="0" fontId="7" fillId="2" borderId="10" xfId="0" applyFont="1" applyFill="1" applyBorder="1"/>
    <xf numFmtId="3" fontId="8" fillId="2" borderId="11" xfId="0" applyNumberFormat="1" applyFont="1" applyFill="1" applyBorder="1" applyAlignment="1">
      <alignment vertical="center"/>
    </xf>
    <xf numFmtId="0" fontId="20" fillId="0" borderId="19" xfId="0" applyFont="1" applyBorder="1" applyAlignment="1">
      <alignment horizontal="center"/>
    </xf>
    <xf numFmtId="2" fontId="0" fillId="0" borderId="0" xfId="0" applyNumberFormat="1"/>
    <xf numFmtId="0" fontId="8" fillId="2" borderId="19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66" fontId="8" fillId="2" borderId="19" xfId="0" applyNumberFormat="1" applyFont="1" applyFill="1" applyBorder="1" applyAlignment="1">
      <alignment horizontal="center" vertical="center"/>
    </xf>
    <xf numFmtId="166" fontId="8" fillId="2" borderId="21" xfId="0" applyNumberFormat="1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47">
    <dxf>
      <alignment vertical="center" readingOrder="0"/>
    </dxf>
    <dxf>
      <numFmt numFmtId="3" formatCode="#,##0"/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top style="medium">
          <color auto="1"/>
        </top>
      </border>
    </dxf>
    <dxf>
      <border>
        <top style="medium">
          <color auto="1"/>
        </top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annulation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cal_t_test!$A$21</c:f>
              <c:strCache>
                <c:ptCount val="1"/>
                <c:pt idx="0">
                  <c:v>P_annulation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accent1">
                  <a:lumMod val="5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28600">
                  <a:schemeClr val="accent1">
                    <a:lumMod val="50000"/>
                  </a:schemeClr>
                </a:glow>
              </a:effectLst>
            </c:spPr>
          </c:marker>
          <c:xVal>
            <c:strRef>
              <c:f>cal_t_test!$B$20:$C$20</c:f>
              <c:strCache>
                <c:ptCount val="2"/>
                <c:pt idx="0">
                  <c:v>annulation_G</c:v>
                </c:pt>
                <c:pt idx="1">
                  <c:v>annulation_I</c:v>
                </c:pt>
              </c:strCache>
            </c:strRef>
          </c:xVal>
          <c:yVal>
            <c:numRef>
              <c:f>cal_t_test!$B$21:$C$21</c:f>
              <c:numCache>
                <c:formatCode>0.0</c:formatCode>
                <c:ptCount val="2"/>
                <c:pt idx="0">
                  <c:v>6.7389351033303386</c:v>
                </c:pt>
                <c:pt idx="1">
                  <c:v>7.2181906144170291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cal_t_test!$A$22</c:f>
              <c:strCache>
                <c:ptCount val="1"/>
                <c:pt idx="0">
                  <c:v>SUP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cal_t_test!$B$20:$C$20</c:f>
              <c:strCache>
                <c:ptCount val="2"/>
                <c:pt idx="0">
                  <c:v>annulation_G</c:v>
                </c:pt>
                <c:pt idx="1">
                  <c:v>annulation_I</c:v>
                </c:pt>
              </c:strCache>
            </c:strRef>
          </c:xVal>
          <c:yVal>
            <c:numRef>
              <c:f>cal_t_test!$B$22:$C$22</c:f>
              <c:numCache>
                <c:formatCode>0.0</c:formatCode>
                <c:ptCount val="2"/>
                <c:pt idx="0">
                  <c:v>7.00670725833068</c:v>
                </c:pt>
                <c:pt idx="1">
                  <c:v>7.7171777073003902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cal_t_test!$A$23</c:f>
              <c:strCache>
                <c:ptCount val="1"/>
                <c:pt idx="0">
                  <c:v>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cal_t_test!$B$20:$C$20</c:f>
              <c:strCache>
                <c:ptCount val="2"/>
                <c:pt idx="0">
                  <c:v>annulation_G</c:v>
                </c:pt>
                <c:pt idx="1">
                  <c:v>annulation_I</c:v>
                </c:pt>
              </c:strCache>
            </c:strRef>
          </c:xVal>
          <c:yVal>
            <c:numRef>
              <c:f>cal_t_test!$B$23:$C$23</c:f>
              <c:numCache>
                <c:formatCode>0.0</c:formatCode>
                <c:ptCount val="2"/>
                <c:pt idx="0">
                  <c:v>6.4711629483299973</c:v>
                </c:pt>
                <c:pt idx="1">
                  <c:v>6.7192035215336681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1760"/>
        <c:axId val="380101368"/>
      </c:scatterChart>
      <c:valAx>
        <c:axId val="380101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0101368"/>
        <c:crosses val="autoZero"/>
        <c:crossBetween val="midCat"/>
      </c:valAx>
      <c:valAx>
        <c:axId val="380101368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1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508781608965651E-2"/>
          <c:y val="0.9465243496681367"/>
          <c:w val="0.96960462966379357"/>
          <c:h val="4.5403902022958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retard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cal_t_test!$A$25</c:f>
              <c:strCache>
                <c:ptCount val="1"/>
                <c:pt idx="0">
                  <c:v>P_retard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accent1">
                  <a:lumMod val="50000"/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28600">
                  <a:schemeClr val="accent1">
                    <a:lumMod val="50000"/>
                    <a:alpha val="40000"/>
                  </a:schemeClr>
                </a:glow>
              </a:effectLst>
            </c:spPr>
          </c:marker>
          <c:xVal>
            <c:strRef>
              <c:f>cal_t_test!$B$24:$C$24</c:f>
              <c:strCache>
                <c:ptCount val="2"/>
                <c:pt idx="0">
                  <c:v>Retard_G</c:v>
                </c:pt>
                <c:pt idx="1">
                  <c:v>Retard_I</c:v>
                </c:pt>
              </c:strCache>
            </c:strRef>
          </c:xVal>
          <c:yVal>
            <c:numRef>
              <c:f>cal_t_test!$B$25:$C$25</c:f>
              <c:numCache>
                <c:formatCode>0.00</c:formatCode>
                <c:ptCount val="2"/>
                <c:pt idx="0">
                  <c:v>61.493038289408254</c:v>
                </c:pt>
                <c:pt idx="1">
                  <c:v>56.231098133277712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cal_t_test!$A$26</c:f>
              <c:strCache>
                <c:ptCount val="1"/>
                <c:pt idx="0">
                  <c:v>SUP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cal_t_test!$B$24:$C$24</c:f>
              <c:strCache>
                <c:ptCount val="2"/>
                <c:pt idx="0">
                  <c:v>Retard_G</c:v>
                </c:pt>
                <c:pt idx="1">
                  <c:v>Retard_I</c:v>
                </c:pt>
              </c:strCache>
            </c:strRef>
          </c:xVal>
          <c:yVal>
            <c:numRef>
              <c:f>cal_t_test!$B$26:$C$26</c:f>
              <c:numCache>
                <c:formatCode>0.00</c:formatCode>
                <c:ptCount val="2"/>
                <c:pt idx="0">
                  <c:v>62.012797499769775</c:v>
                </c:pt>
                <c:pt idx="1">
                  <c:v>57.224185293851804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cal_t_test!$A$27</c:f>
              <c:strCache>
                <c:ptCount val="1"/>
                <c:pt idx="0">
                  <c:v>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cal_t_test!$B$24:$C$24</c:f>
              <c:strCache>
                <c:ptCount val="2"/>
                <c:pt idx="0">
                  <c:v>Retard_G</c:v>
                </c:pt>
                <c:pt idx="1">
                  <c:v>Retard_I</c:v>
                </c:pt>
              </c:strCache>
            </c:strRef>
          </c:xVal>
          <c:yVal>
            <c:numRef>
              <c:f>cal_t_test!$B$27:$C$27</c:f>
              <c:numCache>
                <c:formatCode>0.00</c:formatCode>
                <c:ptCount val="2"/>
                <c:pt idx="0">
                  <c:v>60.973279079046726</c:v>
                </c:pt>
                <c:pt idx="1">
                  <c:v>55.23801097270362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00584"/>
        <c:axId val="380100192"/>
      </c:scatterChart>
      <c:valAx>
        <c:axId val="380100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0100192"/>
        <c:crosses val="autoZero"/>
        <c:crossBetween val="midCat"/>
      </c:valAx>
      <c:valAx>
        <c:axId val="3801001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10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65122256665372E-2"/>
          <c:y val="0.949214921678602"/>
          <c:w val="0.95121958199075618"/>
          <c:h val="4.5403911642090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on_time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cal_t_test!$A$29</c:f>
              <c:strCache>
                <c:ptCount val="1"/>
                <c:pt idx="0">
                  <c:v>P_ontime</c:v>
                </c:pt>
              </c:strCache>
            </c:strRef>
          </c:tx>
          <c:spPr>
            <a:ln w="25400" cap="rnd">
              <a:noFill/>
              <a:round/>
            </a:ln>
            <a:effectLst>
              <a:glow rad="228600">
                <a:schemeClr val="accent5">
                  <a:satMod val="175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228600">
                  <a:schemeClr val="accent5">
                    <a:satMod val="175000"/>
                  </a:schemeClr>
                </a:glow>
              </a:effectLst>
            </c:spPr>
          </c:marker>
          <c:xVal>
            <c:strRef>
              <c:f>cal_t_test!$B$28:$C$28</c:f>
              <c:strCache>
                <c:ptCount val="2"/>
                <c:pt idx="0">
                  <c:v>Ontime_G</c:v>
                </c:pt>
                <c:pt idx="1">
                  <c:v>Ontime_I</c:v>
                </c:pt>
              </c:strCache>
            </c:strRef>
          </c:xVal>
          <c:yVal>
            <c:numRef>
              <c:f>cal_t_test!$B$29:$C$29</c:f>
              <c:numCache>
                <c:formatCode>0.00</c:formatCode>
                <c:ptCount val="2"/>
                <c:pt idx="0">
                  <c:v>38.506961710591746</c:v>
                </c:pt>
                <c:pt idx="1">
                  <c:v>43.768901866722288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cal_t_test!$A$30</c:f>
              <c:strCache>
                <c:ptCount val="1"/>
                <c:pt idx="0">
                  <c:v>SUP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cal_t_test!$B$28:$C$28</c:f>
              <c:strCache>
                <c:ptCount val="2"/>
                <c:pt idx="0">
                  <c:v>Ontime_G</c:v>
                </c:pt>
                <c:pt idx="1">
                  <c:v>Ontime_I</c:v>
                </c:pt>
              </c:strCache>
            </c:strRef>
          </c:xVal>
          <c:yVal>
            <c:numRef>
              <c:f>cal_t_test!$B$30:$C$30</c:f>
              <c:numCache>
                <c:formatCode>0.00</c:formatCode>
                <c:ptCount val="2"/>
                <c:pt idx="0">
                  <c:v>39.185032095817355</c:v>
                </c:pt>
                <c:pt idx="1">
                  <c:v>44.761937235647551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cal_t_test!$A$31</c:f>
              <c:strCache>
                <c:ptCount val="1"/>
                <c:pt idx="0">
                  <c:v>INF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cal_t_test!$B$28:$C$28</c:f>
              <c:strCache>
                <c:ptCount val="2"/>
                <c:pt idx="0">
                  <c:v>Ontime_G</c:v>
                </c:pt>
                <c:pt idx="1">
                  <c:v>Ontime_I</c:v>
                </c:pt>
              </c:strCache>
            </c:strRef>
          </c:xVal>
          <c:yVal>
            <c:numRef>
              <c:f>cal_t_test!$B$31:$C$31</c:f>
              <c:numCache>
                <c:formatCode>0.00</c:formatCode>
                <c:ptCount val="2"/>
                <c:pt idx="0">
                  <c:v>37.828891325366136</c:v>
                </c:pt>
                <c:pt idx="1">
                  <c:v>42.775866497797026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07856"/>
        <c:axId val="561639160"/>
      </c:scatterChart>
      <c:valAx>
        <c:axId val="378607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1639160"/>
        <c:crosses val="autoZero"/>
        <c:crossBetween val="midCat"/>
      </c:valAx>
      <c:valAx>
        <c:axId val="5616391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6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3423958333333335E-2"/>
          <c:y val="0.94280789558839395"/>
          <c:w val="0.93551284722222228"/>
          <c:h val="4.623320030201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116417</xdr:rowOff>
    </xdr:from>
    <xdr:to>
      <xdr:col>1</xdr:col>
      <xdr:colOff>735541</xdr:colOff>
      <xdr:row>21</xdr:row>
      <xdr:rowOff>153460</xdr:rowOff>
    </xdr:to>
    <xdr:grpSp>
      <xdr:nvGrpSpPr>
        <xdr:cNvPr id="5" name="Groupe 4"/>
        <xdr:cNvGrpSpPr/>
      </xdr:nvGrpSpPr>
      <xdr:grpSpPr>
        <a:xfrm>
          <a:off x="1" y="1703917"/>
          <a:ext cx="2555873" cy="2979210"/>
          <a:chOff x="1" y="1629834"/>
          <a:chExt cx="2555873" cy="2612617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week_day"/>
              <xdr:cNvGraphicFramePr/>
            </xdr:nvGraphicFramePr>
            <xdr:xfrm>
              <a:off x="1531407" y="1640416"/>
              <a:ext cx="1024467" cy="2012686"/>
            </xdr:xfrm>
            <a:graphic>
              <a:graphicData uri="http://schemas.microsoft.com/office/drawing/2010/slicer">
                <sle:slicer xmlns:sle="http://schemas.microsoft.com/office/drawing/2010/slicer" name="week_day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531407" y="1715984"/>
                <a:ext cx="1024467" cy="229509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CA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Hour_class"/>
              <xdr:cNvGraphicFramePr/>
            </xdr:nvGraphicFramePr>
            <xdr:xfrm>
              <a:off x="21167" y="2750201"/>
              <a:ext cx="1259416" cy="1492250"/>
            </xdr:xfrm>
            <a:graphic>
              <a:graphicData uri="http://schemas.microsoft.com/office/drawing/2010/slicer">
                <sle:slicer xmlns:sle="http://schemas.microsoft.com/office/drawing/2010/slicer" name="Hour_clas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1167" y="2981490"/>
                <a:ext cx="1259416" cy="170163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CA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ArrDép_ArrDep"/>
              <xdr:cNvGraphicFramePr/>
            </xdr:nvGraphicFramePr>
            <xdr:xfrm>
              <a:off x="1" y="1629834"/>
              <a:ext cx="1439333" cy="1026583"/>
            </xdr:xfrm>
            <a:graphic>
              <a:graphicData uri="http://schemas.microsoft.com/office/drawing/2010/slicer">
                <sle:slicer xmlns:sle="http://schemas.microsoft.com/office/drawing/2010/slicer" name="ArrDép_ArrDep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" y="1703917"/>
                <a:ext cx="1439333" cy="11706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fr-CA" sz="1100"/>
  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  </a:r>
              </a:p>
            </xdr:txBody>
          </xdr:sp>
        </mc:Fallback>
      </mc:AlternateContent>
    </xdr:grpSp>
    <xdr:clientData/>
  </xdr:twoCellAnchor>
  <xdr:twoCellAnchor>
    <xdr:from>
      <xdr:col>5</xdr:col>
      <xdr:colOff>74082</xdr:colOff>
      <xdr:row>0</xdr:row>
      <xdr:rowOff>0</xdr:rowOff>
    </xdr:from>
    <xdr:to>
      <xdr:col>8</xdr:col>
      <xdr:colOff>64915</xdr:colOff>
      <xdr:row>21</xdr:row>
      <xdr:rowOff>127000</xdr:rowOff>
    </xdr:to>
    <xdr:grpSp>
      <xdr:nvGrpSpPr>
        <xdr:cNvPr id="18" name="Groupe 17"/>
        <xdr:cNvGrpSpPr/>
      </xdr:nvGrpSpPr>
      <xdr:grpSpPr>
        <a:xfrm>
          <a:off x="4540249" y="0"/>
          <a:ext cx="3176416" cy="4656667"/>
          <a:chOff x="5001092" y="-42910"/>
          <a:chExt cx="4402667" cy="4720167"/>
        </a:xfrm>
      </xdr:grpSpPr>
      <xdr:graphicFrame macro="">
        <xdr:nvGraphicFramePr>
          <xdr:cNvPr id="14" name="Graphique 13"/>
          <xdr:cNvGraphicFramePr>
            <a:graphicFrameLocks/>
          </xdr:cNvGraphicFramePr>
        </xdr:nvGraphicFramePr>
        <xdr:xfrm>
          <a:off x="5001092" y="-42910"/>
          <a:ext cx="4402667" cy="47201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6" name="ZoneTexte 15"/>
          <xdr:cNvSpPr txBox="1"/>
        </xdr:nvSpPr>
        <xdr:spPr>
          <a:xfrm>
            <a:off x="6529915" y="4138083"/>
            <a:ext cx="95189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A" sz="1100"/>
              <a:t>General</a:t>
            </a:r>
          </a:p>
        </xdr:txBody>
      </xdr:sp>
      <xdr:sp macro="" textlink="">
        <xdr:nvSpPr>
          <xdr:cNvPr id="17" name="ZoneTexte 16"/>
          <xdr:cNvSpPr txBox="1"/>
        </xdr:nvSpPr>
        <xdr:spPr>
          <a:xfrm>
            <a:off x="7797257" y="4163483"/>
            <a:ext cx="1261808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A" sz="1100"/>
              <a:t>indicateur</a:t>
            </a:r>
          </a:p>
        </xdr:txBody>
      </xdr:sp>
    </xdr:grpSp>
    <xdr:clientData/>
  </xdr:twoCellAnchor>
  <xdr:twoCellAnchor>
    <xdr:from>
      <xdr:col>8</xdr:col>
      <xdr:colOff>116416</xdr:colOff>
      <xdr:row>0</xdr:row>
      <xdr:rowOff>0</xdr:rowOff>
    </xdr:from>
    <xdr:to>
      <xdr:col>11</xdr:col>
      <xdr:colOff>392999</xdr:colOff>
      <xdr:row>21</xdr:row>
      <xdr:rowOff>105833</xdr:rowOff>
    </xdr:to>
    <xdr:grpSp>
      <xdr:nvGrpSpPr>
        <xdr:cNvPr id="21" name="Groupe 20"/>
        <xdr:cNvGrpSpPr/>
      </xdr:nvGrpSpPr>
      <xdr:grpSpPr>
        <a:xfrm>
          <a:off x="7768166" y="0"/>
          <a:ext cx="3314000" cy="4635500"/>
          <a:chOff x="9366249" y="0"/>
          <a:chExt cx="4169834" cy="4720166"/>
        </a:xfrm>
      </xdr:grpSpPr>
      <xdr:graphicFrame macro="">
        <xdr:nvGraphicFramePr>
          <xdr:cNvPr id="15" name="Graphique 14"/>
          <xdr:cNvGraphicFramePr>
            <a:graphicFrameLocks/>
          </xdr:cNvGraphicFramePr>
        </xdr:nvGraphicFramePr>
        <xdr:xfrm>
          <a:off x="9366249" y="0"/>
          <a:ext cx="4169834" cy="47201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9" name="ZoneTexte 18"/>
          <xdr:cNvSpPr txBox="1"/>
        </xdr:nvSpPr>
        <xdr:spPr>
          <a:xfrm>
            <a:off x="10430657" y="4148666"/>
            <a:ext cx="1084008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A" sz="1100"/>
              <a:t>General</a:t>
            </a:r>
          </a:p>
        </xdr:txBody>
      </xdr:sp>
      <xdr:sp macro="" textlink="">
        <xdr:nvSpPr>
          <xdr:cNvPr id="20" name="ZoneTexte 19"/>
          <xdr:cNvSpPr txBox="1"/>
        </xdr:nvSpPr>
        <xdr:spPr>
          <a:xfrm>
            <a:off x="11873919" y="4159250"/>
            <a:ext cx="1353057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CA" sz="1100"/>
              <a:t>indicateur</a:t>
            </a:r>
          </a:p>
        </xdr:txBody>
      </xdr:sp>
    </xdr:grpSp>
    <xdr:clientData/>
  </xdr:twoCellAnchor>
  <xdr:twoCellAnchor>
    <xdr:from>
      <xdr:col>11</xdr:col>
      <xdr:colOff>476250</xdr:colOff>
      <xdr:row>0</xdr:row>
      <xdr:rowOff>10583</xdr:rowOff>
    </xdr:from>
    <xdr:to>
      <xdr:col>14</xdr:col>
      <xdr:colOff>656166</xdr:colOff>
      <xdr:row>21</xdr:row>
      <xdr:rowOff>116416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338666</xdr:colOff>
      <xdr:row>18</xdr:row>
      <xdr:rowOff>137584</xdr:rowOff>
    </xdr:from>
    <xdr:to>
      <xdr:col>14</xdr:col>
      <xdr:colOff>264582</xdr:colOff>
      <xdr:row>19</xdr:row>
      <xdr:rowOff>185374</xdr:rowOff>
    </xdr:to>
    <xdr:sp macro="" textlink="">
      <xdr:nvSpPr>
        <xdr:cNvPr id="23" name="ZoneTexte 22"/>
        <xdr:cNvSpPr txBox="1"/>
      </xdr:nvSpPr>
      <xdr:spPr>
        <a:xfrm>
          <a:off x="12456583" y="4053417"/>
          <a:ext cx="793749" cy="280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indicateur</a:t>
          </a:r>
        </a:p>
      </xdr:txBody>
    </xdr:sp>
    <xdr:clientData/>
  </xdr:twoCellAnchor>
  <xdr:twoCellAnchor>
    <xdr:from>
      <xdr:col>2</xdr:col>
      <xdr:colOff>31750</xdr:colOff>
      <xdr:row>24</xdr:row>
      <xdr:rowOff>190500</xdr:rowOff>
    </xdr:from>
    <xdr:to>
      <xdr:col>4</xdr:col>
      <xdr:colOff>285750</xdr:colOff>
      <xdr:row>30</xdr:row>
      <xdr:rowOff>158750</xdr:rowOff>
    </xdr:to>
    <xdr:sp macro="" textlink="">
      <xdr:nvSpPr>
        <xdr:cNvPr id="6" name="ZoneTexte 5"/>
        <xdr:cNvSpPr txBox="1"/>
      </xdr:nvSpPr>
      <xdr:spPr>
        <a:xfrm>
          <a:off x="2603500" y="5365750"/>
          <a:ext cx="1534583" cy="112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P_annulation:</a:t>
          </a:r>
        </a:p>
        <a:p>
          <a:r>
            <a:rPr lang="fr-CA" sz="1100"/>
            <a:t>nb(annulation)/total nb</a:t>
          </a: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9</xdr:col>
      <xdr:colOff>867833</xdr:colOff>
      <xdr:row>30</xdr:row>
      <xdr:rowOff>169333</xdr:rowOff>
    </xdr:to>
    <xdr:sp macro="" textlink="">
      <xdr:nvSpPr>
        <xdr:cNvPr id="24" name="ZoneTexte 23"/>
        <xdr:cNvSpPr txBox="1"/>
      </xdr:nvSpPr>
      <xdr:spPr>
        <a:xfrm>
          <a:off x="7122583" y="5376333"/>
          <a:ext cx="1545167" cy="112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P_Retard:</a:t>
          </a:r>
        </a:p>
        <a:p>
          <a:r>
            <a:rPr lang="fr-CA" sz="1100"/>
            <a:t>nb(Retard)/(total nb-annulation</a:t>
          </a:r>
          <a:r>
            <a:rPr lang="fr-CA" sz="1100" baseline="0"/>
            <a:t> nb)</a:t>
          </a:r>
        </a:p>
        <a:p>
          <a:endParaRPr lang="fr-CA" sz="1100" baseline="0"/>
        </a:p>
        <a:p>
          <a:r>
            <a:rPr lang="fr-CA" sz="1100" baseline="0"/>
            <a:t>if arrive_time &gt; scheduled_time; retard</a:t>
          </a:r>
          <a:endParaRPr lang="fr-CA" sz="1100"/>
        </a:p>
      </xdr:txBody>
    </xdr:sp>
    <xdr:clientData/>
  </xdr:twoCellAnchor>
  <xdr:twoCellAnchor>
    <xdr:from>
      <xdr:col>12</xdr:col>
      <xdr:colOff>0</xdr:colOff>
      <xdr:row>25</xdr:row>
      <xdr:rowOff>0</xdr:rowOff>
    </xdr:from>
    <xdr:to>
      <xdr:col>14</xdr:col>
      <xdr:colOff>148166</xdr:colOff>
      <xdr:row>30</xdr:row>
      <xdr:rowOff>169333</xdr:rowOff>
    </xdr:to>
    <xdr:sp macro="" textlink="">
      <xdr:nvSpPr>
        <xdr:cNvPr id="25" name="ZoneTexte 24"/>
        <xdr:cNvSpPr txBox="1"/>
      </xdr:nvSpPr>
      <xdr:spPr>
        <a:xfrm>
          <a:off x="11567583" y="5376333"/>
          <a:ext cx="1809750" cy="1121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P_ontime:</a:t>
          </a:r>
        </a:p>
        <a:p>
          <a:r>
            <a:rPr lang="fr-CA" sz="1100"/>
            <a:t>nb(on</a:t>
          </a:r>
          <a:r>
            <a:rPr lang="fr-CA" sz="1100" baseline="0"/>
            <a:t> time</a:t>
          </a:r>
          <a:r>
            <a:rPr lang="fr-CA" sz="1100"/>
            <a:t>)/(total nb-annulation</a:t>
          </a:r>
          <a:r>
            <a:rPr lang="fr-CA" sz="1100" baseline="0"/>
            <a:t> nb)</a:t>
          </a:r>
        </a:p>
        <a:p>
          <a:endParaRPr lang="fr-CA" sz="1100" baseline="0"/>
        </a:p>
        <a:p>
          <a:r>
            <a:rPr lang="fr-CA" sz="1100" baseline="0"/>
            <a:t>if arrive_time &lt;=scheduled_time; on time</a:t>
          </a:r>
          <a:endParaRPr lang="fr-CA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0.28503</cdr:x>
      <cdr:y>0.87397</cdr:y>
    </cdr:from>
    <cdr:to>
      <cdr:x>0.5361</cdr:x>
      <cdr:y>0.93451</cdr:y>
    </cdr:to>
    <cdr:sp macro="" textlink="">
      <cdr:nvSpPr>
        <cdr:cNvPr id="2" name="ZoneTexte 18"/>
        <cdr:cNvSpPr txBox="1"/>
      </cdr:nvSpPr>
      <cdr:spPr>
        <a:xfrm xmlns:a="http://schemas.openxmlformats.org/drawingml/2006/main">
          <a:off x="793750" y="4051288"/>
          <a:ext cx="699154" cy="28063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CA" sz="1100"/>
            <a:t>General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Yunyi Wei" refreshedDate="43148.33754108796" createdVersion="5" refreshedVersion="5" minRefreshableVersion="3" recordCount="0" supportSubquery="1" supportAdvancedDrill="1">
  <cacheSource type="external" connectionId="2"/>
  <cacheFields count="2">
    <cacheField name="[Measures].[Somme de NB]" caption="Somme de NB" numFmtId="0" hierarchy="19" level="32767"/>
    <cacheField name="[data].[retard_judge].[retard_judge]" caption="retard_judge" numFmtId="0" hierarchy="13" level="1">
      <sharedItems count="3">
        <s v="ANNULÉ"/>
        <s v="ON_TIME"/>
        <s v="RETARD"/>
      </sharedItems>
    </cacheField>
  </cacheFields>
  <cacheHierarchies count="22">
    <cacheHierarchy uniqueName="[data].[Date plan#   _Sched Date]" caption="Date plan#   _Sched Date" attribute="1" time="1" defaultMemberUniqueName="[data].[Date plan#   _Sched Date].[All]" allUniqueName="[data].[Date plan#   _Sched Date].[All]" dimensionUniqueName="[data]" displayFolder="" count="0" memberValueDatatype="7" unbalanced="0"/>
    <cacheHierarchy uniqueName="[data].[Date réelle_Act Date]" caption="Date réelle_Act Date" attribute="1" time="1" defaultMemberUniqueName="[data].[Date réelle_Act Date].[All]" allUniqueName="[data].[Date réelle_Act Date].[All]" dimensionUniqueName="[data]" displayFolder="" count="0" memberValueDatatype="7" unbalanced="0"/>
    <cacheHierarchy uniqueName="[data].[Heure réelle_Act Time]" caption="Heure réelle_Act Time" attribute="1" time="1" defaultMemberUniqueName="[data].[Heure réelle_Act Time].[All]" allUniqueName="[data].[Heure réelle_Act Time].[All]" dimensionUniqueName="[data]" displayFolder="" count="0" memberValueDatatype="7" unbalanced="0"/>
    <cacheHierarchy uniqueName="[data].[Bar_Gate]" caption="Bar_Gate" attribute="1" defaultMemberUniqueName="[data].[Bar_Gate].[All]" allUniqueName="[data].[Bar_Gate].[All]" dimensionUniqueName="[data]" displayFolder="" count="0" memberValueDatatype="130" unbalanced="0"/>
    <cacheHierarchy uniqueName="[data].[Statut_Status]" caption="Statut_Status" attribute="1" defaultMemberUniqueName="[data].[Statut_Status].[All]" allUniqueName="[data].[Statut_Status].[All]" dimensionUniqueName="[data]" displayFolder="" count="0" memberValueDatatype="130" unbalanced="0"/>
    <cacheHierarchy uniqueName="[data].[ArrDép_ArrDep]" caption="ArrDép_ArrDep" attribute="1" defaultMemberUniqueName="[data].[ArrDép_ArrDep].[All]" allUniqueName="[data].[ArrDép_ArrDep].[All]" dimensionUniqueName="[data]" displayFolder="" count="0" memberValueDatatype="130" unbalanced="0"/>
    <cacheHierarchy uniqueName="[data].[Orig  _Dest]" caption="Orig  _Dest" attribute="1" defaultMemberUniqueName="[data].[Orig  _Dest].[All]" allUniqueName="[data].[Orig  _Dest].[All]" dimensionUniqueName="[data]" displayFolder="" count="0" memberValueDatatype="130" unbalanced="0"/>
    <cacheHierarchy uniqueName="[data].[Jour_retard]" caption="Jour_retard" attribute="1" defaultMemberUniqueName="[data].[Jour_retard].[All]" allUniqueName="[data].[Jour_retard].[All]" dimensionUniqueName="[data]" displayFolder="" count="0" memberValueDatatype="5" unbalanced="0"/>
    <cacheHierarchy uniqueName="[data].[Min_retard]" caption="Min_retard" attribute="1" defaultMemberUniqueName="[data].[Min_retard].[All]" allUniqueName="[data].[Min_retard].[All]" dimensionUniqueName="[data]" displayFolder="" count="0" memberValueDatatype="5" unbalanced="0"/>
    <cacheHierarchy uniqueName="[data].[heure_sche]" caption="heure_sche" attribute="1" defaultMemberUniqueName="[data].[heure_sche].[All]" allUniqueName="[data].[heure_sche].[All]" dimensionUniqueName="[data]" displayFolder="" count="0" memberValueDatatype="5" unbalanced="0"/>
    <cacheHierarchy uniqueName="[data].[heure_real]" caption="heure_real" attribute="1" defaultMemberUniqueName="[data].[heure_real].[All]" allUniqueName="[data].[heure_real].[All]" dimensionUniqueName="[data]" displayFolder="" count="0" memberValueDatatype="5" unbalanced="0"/>
    <cacheHierarchy uniqueName="[data].[Hour_class]" caption="Hour_class" attribute="1" defaultMemberUniqueName="[data].[Hour_class].[All]" allUniqueName="[data].[Hour_class].[All]" dimensionUniqueName="[data]" displayFolder="" count="0" memberValueDatatype="130" unbalanced="0"/>
    <cacheHierarchy uniqueName="[data].[week_day]" caption="week_day" attribute="1" defaultMemberUniqueName="[data].[week_day].[All]" allUniqueName="[data].[week_day].[All]" dimensionUniqueName="[data]" displayFolder="" count="0" memberValueDatatype="130" unbalanced="0"/>
    <cacheHierarchy uniqueName="[data].[retard_judge]" caption="retard_judge" attribute="1" defaultMemberUniqueName="[data].[retard_judge].[All]" allUniqueName="[data].[retard_judge].[All]" dimensionUniqueName="[data]" displayFolder="" count="2" memberValueDatatype="130" unbalanced="0">
      <fieldsUsage count="2">
        <fieldUsage x="-1"/>
        <fieldUsage x="1"/>
      </fieldsUsage>
    </cacheHierarchy>
    <cacheHierarchy uniqueName="[data].[NB]" caption="NB" attribute="1" defaultMemberUniqueName="[data].[NB].[All]" allUniqueName="[data].[NB].[All]" dimensionUniqueName="[data]" displayFolder="" count="0" memberValueDatatype="5" unbalanced="0"/>
    <cacheHierarchy uniqueName="[Measures].[nb_observation]" caption="nb_observation" measure="1" displayFolder="" measureGroup="data" count="0"/>
    <cacheHierarchy uniqueName="[Measures].[nb_annule]" caption="nb_annule" measure="1" displayFolder="" measureGroup="data" count="0"/>
    <cacheHierarchy uniqueName="[Measures].[nb_retard]" caption="nb_retard" measure="1" displayFolder="" measureGroup="data" count="0"/>
    <cacheHierarchy uniqueName="[Measures].[nb_ontime]" caption="nb_ontime" measure="1" displayFolder="" measureGroup="data" count="0"/>
    <cacheHierarchy uniqueName="[Measures].[Somme de NB]" caption="Somme de NB" measure="1" displayFolder="" measureGroup="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Comptage data]" caption="_Comptage data" measure="1" displayFolder="" measureGroup="data" count="0" hidden="1"/>
    <cacheHierarchy uniqueName="[Measures].[__XL_Count of Models]" caption="__XL_Count of Model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unyi Wei" refreshedDate="43166.518606712962" createdVersion="5" refreshedVersion="5" minRefreshableVersion="3" recordCount="0" supportSubquery="1" supportAdvancedDrill="1">
  <cacheSource type="external" connectionId="2"/>
  <cacheFields count="3">
    <cacheField name="[data].[retard_judge].[retard_judge]" caption="retard_judge" numFmtId="0" hierarchy="13" level="1">
      <sharedItems count="3">
        <s v="ANNULÉ"/>
        <s v="ON_TIME"/>
        <s v="RETARD"/>
      </sharedItems>
    </cacheField>
    <cacheField name="[Measures].[Somme de NB]" caption="Somme de NB" numFmtId="0" hierarchy="19" level="32767"/>
    <cacheField name="[data].[Hour_class].[Hour_class]" caption="Hour_class" numFmtId="0" hierarchy="11" level="1">
      <sharedItems containsSemiMixedTypes="0" containsNonDate="0" containsString="0"/>
    </cacheField>
  </cacheFields>
  <cacheHierarchies count="22">
    <cacheHierarchy uniqueName="[data].[Date plan#   _Sched Date]" caption="Date plan#   _Sched Date" attribute="1" time="1" defaultMemberUniqueName="[data].[Date plan#   _Sched Date].[All]" allUniqueName="[data].[Date plan#   _Sched Date].[All]" dimensionUniqueName="[data]" displayFolder="" count="2" memberValueDatatype="7" unbalanced="0"/>
    <cacheHierarchy uniqueName="[data].[Date réelle_Act Date]" caption="Date réelle_Act Date" attribute="1" time="1" defaultMemberUniqueName="[data].[Date réelle_Act Date].[All]" allUniqueName="[data].[Date réelle_Act Date].[All]" dimensionUniqueName="[data]" displayFolder="" count="2" memberValueDatatype="7" unbalanced="0"/>
    <cacheHierarchy uniqueName="[data].[Heure réelle_Act Time]" caption="Heure réelle_Act Time" attribute="1" time="1" defaultMemberUniqueName="[data].[Heure réelle_Act Time].[All]" allUniqueName="[data].[Heure réelle_Act Time].[All]" dimensionUniqueName="[data]" displayFolder="" count="2" memberValueDatatype="7" unbalanced="0"/>
    <cacheHierarchy uniqueName="[data].[Bar_Gate]" caption="Bar_Gate" attribute="1" defaultMemberUniqueName="[data].[Bar_Gate].[All]" allUniqueName="[data].[Bar_Gate].[All]" dimensionUniqueName="[data]" displayFolder="" count="2" memberValueDatatype="130" unbalanced="0"/>
    <cacheHierarchy uniqueName="[data].[Statut_Status]" caption="Statut_Status" attribute="1" defaultMemberUniqueName="[data].[Statut_Status].[All]" allUniqueName="[data].[Statut_Status].[All]" dimensionUniqueName="[data]" displayFolder="" count="2" memberValueDatatype="130" unbalanced="0"/>
    <cacheHierarchy uniqueName="[data].[ArrDép_ArrDep]" caption="ArrDép_ArrDep" attribute="1" defaultMemberUniqueName="[data].[ArrDép_ArrDep].[All]" allUniqueName="[data].[ArrDép_ArrDep].[All]" dimensionUniqueName="[data]" displayFolder="" count="2" memberValueDatatype="130" unbalanced="0"/>
    <cacheHierarchy uniqueName="[data].[Orig  _Dest]" caption="Orig  _Dest" attribute="1" defaultMemberUniqueName="[data].[Orig  _Dest].[All]" allUniqueName="[data].[Orig  _Dest].[All]" dimensionUniqueName="[data]" displayFolder="" count="2" memberValueDatatype="130" unbalanced="0"/>
    <cacheHierarchy uniqueName="[data].[Jour_retard]" caption="Jour_retard" attribute="1" defaultMemberUniqueName="[data].[Jour_retard].[All]" allUniqueName="[data].[Jour_retard].[All]" dimensionUniqueName="[data]" displayFolder="" count="2" memberValueDatatype="5" unbalanced="0"/>
    <cacheHierarchy uniqueName="[data].[Min_retard]" caption="Min_retard" attribute="1" defaultMemberUniqueName="[data].[Min_retard].[All]" allUniqueName="[data].[Min_retard].[All]" dimensionUniqueName="[data]" displayFolder="" count="2" memberValueDatatype="5" unbalanced="0"/>
    <cacheHierarchy uniqueName="[data].[heure_sche]" caption="heure_sche" attribute="1" defaultMemberUniqueName="[data].[heure_sche].[All]" allUniqueName="[data].[heure_sche].[All]" dimensionUniqueName="[data]" displayFolder="" count="2" memberValueDatatype="5" unbalanced="0"/>
    <cacheHierarchy uniqueName="[data].[heure_real]" caption="heure_real" attribute="1" defaultMemberUniqueName="[data].[heure_real].[All]" allUniqueName="[data].[heure_real].[All]" dimensionUniqueName="[data]" displayFolder="" count="2" memberValueDatatype="5" unbalanced="0"/>
    <cacheHierarchy uniqueName="[data].[Hour_class]" caption="Hour_class" attribute="1" defaultMemberUniqueName="[data].[Hour_class].[All]" allUniqueName="[data].[Hour_class].[All]" dimensionUniqueName="[data]" displayFolder="" count="2" memberValueDatatype="130" unbalanced="0">
      <fieldsUsage count="2">
        <fieldUsage x="-1"/>
        <fieldUsage x="2"/>
      </fieldsUsage>
    </cacheHierarchy>
    <cacheHierarchy uniqueName="[data].[week_day]" caption="week_day" attribute="1" defaultMemberUniqueName="[data].[week_day].[All]" allUniqueName="[data].[week_day].[All]" dimensionUniqueName="[data]" displayFolder="" count="2" memberValueDatatype="130" unbalanced="0"/>
    <cacheHierarchy uniqueName="[data].[retard_judge]" caption="retard_judge" attribute="1" defaultMemberUniqueName="[data].[retard_judge].[All]" allUniqueName="[data].[retard_judge].[All]" dimensionUniqueName="[data]" displayFolder="" count="2" memberValueDatatype="130" unbalanced="0">
      <fieldsUsage count="2">
        <fieldUsage x="-1"/>
        <fieldUsage x="0"/>
      </fieldsUsage>
    </cacheHierarchy>
    <cacheHierarchy uniqueName="[data].[NB]" caption="NB" attribute="1" defaultMemberUniqueName="[data].[NB].[All]" allUniqueName="[data].[NB].[All]" dimensionUniqueName="[data]" displayFolder="" count="2" memberValueDatatype="5" unbalanced="0"/>
    <cacheHierarchy uniqueName="[Measures].[nb_observation]" caption="nb_observation" measure="1" displayFolder="" measureGroup="data" count="0"/>
    <cacheHierarchy uniqueName="[Measures].[nb_annule]" caption="nb_annule" measure="1" displayFolder="" measureGroup="data" count="0"/>
    <cacheHierarchy uniqueName="[Measures].[nb_retard]" caption="nb_retard" measure="1" displayFolder="" measureGroup="data" count="0"/>
    <cacheHierarchy uniqueName="[Measures].[nb_ontime]" caption="nb_ontime" measure="1" displayFolder="" measureGroup="data" count="0"/>
    <cacheHierarchy uniqueName="[Measures].[Somme de NB]" caption="Somme de NB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Comptage data]" caption="_Comptage data" measure="1" displayFolder="" measureGroup="data" count="0" hidden="1"/>
    <cacheHierarchy uniqueName="[Measures].[__XL_Count of Models]" caption="__XL_Count of Models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Yunyi Wei" refreshedDate="43145.846578240744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data].[Date plan#   _Sched Date]" caption="Date plan#   _Sched Date" attribute="1" time="1" defaultMemberUniqueName="[data].[Date plan#   _Sched Date].[All]" allUniqueName="[data].[Date plan#   _Sched Date].[All]" dimensionUniqueName="[data]" displayFolder="" count="0" memberValueDatatype="7" unbalanced="0"/>
    <cacheHierarchy uniqueName="[data].[Date réelle_Act Date]" caption="Date réelle_Act Date" attribute="1" time="1" defaultMemberUniqueName="[data].[Date réelle_Act Date].[All]" allUniqueName="[data].[Date réelle_Act Date].[All]" dimensionUniqueName="[data]" displayFolder="" count="0" memberValueDatatype="7" unbalanced="0"/>
    <cacheHierarchy uniqueName="[data].[Heure réelle_Act Time]" caption="Heure réelle_Act Time" attribute="1" time="1" defaultMemberUniqueName="[data].[Heure réelle_Act Time].[All]" allUniqueName="[data].[Heure réelle_Act Time].[All]" dimensionUniqueName="[data]" displayFolder="" count="0" memberValueDatatype="7" unbalanced="0"/>
    <cacheHierarchy uniqueName="[data].[Bar_Gate]" caption="Bar_Gate" attribute="1" defaultMemberUniqueName="[data].[Bar_Gate].[All]" allUniqueName="[data].[Bar_Gate].[All]" dimensionUniqueName="[data]" displayFolder="" count="0" memberValueDatatype="130" unbalanced="0"/>
    <cacheHierarchy uniqueName="[data].[Statut_Status]" caption="Statut_Status" attribute="1" defaultMemberUniqueName="[data].[Statut_Status].[All]" allUniqueName="[data].[Statut_Status].[All]" dimensionUniqueName="[data]" displayFolder="" count="0" memberValueDatatype="130" unbalanced="0"/>
    <cacheHierarchy uniqueName="[data].[ArrDép_ArrDep]" caption="ArrDép_ArrDep" attribute="1" defaultMemberUniqueName="[data].[ArrDép_ArrDep].[All]" allUniqueName="[data].[ArrDép_ArrDep].[All]" dimensionUniqueName="[data]" displayFolder="" count="2" memberValueDatatype="130" unbalanced="0"/>
    <cacheHierarchy uniqueName="[data].[Orig  _Dest]" caption="Orig  _Dest" attribute="1" defaultMemberUniqueName="[data].[Orig  _Dest].[All]" allUniqueName="[data].[Orig  _Dest].[All]" dimensionUniqueName="[data]" displayFolder="" count="0" memberValueDatatype="130" unbalanced="0"/>
    <cacheHierarchy uniqueName="[data].[Jour_retard]" caption="Jour_retard" attribute="1" defaultMemberUniqueName="[data].[Jour_retard].[All]" allUniqueName="[data].[Jour_retard].[All]" dimensionUniqueName="[data]" displayFolder="" count="0" memberValueDatatype="5" unbalanced="0"/>
    <cacheHierarchy uniqueName="[data].[Min_retard]" caption="Min_retard" attribute="1" defaultMemberUniqueName="[data].[Min_retard].[All]" allUniqueName="[data].[Min_retard].[All]" dimensionUniqueName="[data]" displayFolder="" count="0" memberValueDatatype="5" unbalanced="0"/>
    <cacheHierarchy uniqueName="[data].[heure_sche]" caption="heure_sche" attribute="1" defaultMemberUniqueName="[data].[heure_sche].[All]" allUniqueName="[data].[heure_sche].[All]" dimensionUniqueName="[data]" displayFolder="" count="0" memberValueDatatype="5" unbalanced="0"/>
    <cacheHierarchy uniqueName="[data].[heure_real]" caption="heure_real" attribute="1" defaultMemberUniqueName="[data].[heure_real].[All]" allUniqueName="[data].[heure_real].[All]" dimensionUniqueName="[data]" displayFolder="" count="0" memberValueDatatype="5" unbalanced="0"/>
    <cacheHierarchy uniqueName="[data].[Hour_class]" caption="Hour_class" attribute="1" defaultMemberUniqueName="[data].[Hour_class].[All]" allUniqueName="[data].[Hour_class].[All]" dimensionUniqueName="[data]" displayFolder="" count="2" memberValueDatatype="130" unbalanced="0"/>
    <cacheHierarchy uniqueName="[data].[week_day]" caption="week_day" attribute="1" defaultMemberUniqueName="[data].[week_day].[All]" allUniqueName="[data].[week_day].[All]" dimensionUniqueName="[data]" displayFolder="" count="2" memberValueDatatype="130" unbalanced="0"/>
    <cacheHierarchy uniqueName="[data].[retard_judge]" caption="retard_judge" attribute="1" defaultMemberUniqueName="[data].[retard_judge].[All]" allUniqueName="[data].[retard_judge].[All]" dimensionUniqueName="[data]" displayFolder="" count="0" memberValueDatatype="130" unbalanced="0"/>
    <cacheHierarchy uniqueName="[data].[NB]" caption="NB" attribute="1" defaultMemberUniqueName="[data].[NB].[All]" allUniqueName="[data].[NB].[All]" dimensionUniqueName="[data]" displayFolder="" count="0" memberValueDatatype="5" unbalanced="0"/>
    <cacheHierarchy uniqueName="[Measures].[nb_observation]" caption="nb_observation" measure="1" displayFolder="" measureGroup="data" count="0"/>
    <cacheHierarchy uniqueName="[Measures].[nb_annule]" caption="nb_annule" measure="1" displayFolder="" measureGroup="data" count="0"/>
    <cacheHierarchy uniqueName="[Measures].[nb_retard]" caption="nb_retard" measure="1" displayFolder="" measureGroup="data" count="0"/>
    <cacheHierarchy uniqueName="[Measures].[nb_ontime]" caption="nb_ontime" measure="1" displayFolder="" measureGroup="data" count="0"/>
    <cacheHierarchy uniqueName="[Measures].[Somme de NB]" caption="Somme de NB" measure="1" displayFolder="" measureGroup="data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_Comptage data]" caption="_Comptage data" measure="1" displayFolder="" measureGroup="dat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grandTotalCaption="Total " tag="f263cb0d-3af0-45a6-adcc-478398976063" updatedVersion="5" minRefreshableVersion="3" useAutoFormatting="1" subtotalHiddenItems="1" itemPrintTitles="1" createdVersion="5" indent="0" outline="1" outlineData="1" multipleFieldFilters="0" rowHeaderCaption="Flight_status_Counter_numbers">
  <location ref="A2:B6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B" fld="1" baseField="0" baseItem="0" numFmtId="3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collapsedLevelsAreSubtotals="1" fieldPosition="0">
        <references count="1">
          <reference field="0" count="1">
            <x v="2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].[Hour_class].&amp;[AM]"/>
      </members>
    </pivotHierarchy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tag="822c3cfd-3853-44e0-a732-bbe18f0ca774" updatedVersion="5" minRefreshableVersion="3" useAutoFormatting="1" itemPrintTitles="1" createdVersion="5" indent="0" outline="1" outlineData="1" multipleFieldFilters="0">
  <location ref="A1:B5" firstHeaderRow="1" firstDataRow="1" firstDataCol="1"/>
  <pivotFields count="2"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B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week_day" sourceName="[data].[week_day]">
  <pivotTables>
    <pivotTable tabId="2" name="Tableau croisé dynamique1"/>
  </pivotTables>
  <data>
    <olap pivotCacheId="1">
      <levels count="2">
        <level uniqueName="[data].[week_day].[(All)]" sourceCaption="(All)" count="0"/>
        <level uniqueName="[data].[week_day].[week_day]" sourceCaption="week_day" count="7">
          <ranges>
            <range startItem="0">
              <i n="[data].[week_day].&amp;[dimanche]" c="dimanche"/>
              <i n="[data].[week_day].&amp;[jeudi]" c="jeudi"/>
              <i n="[data].[week_day].&amp;[lundi]" c="lundi"/>
              <i n="[data].[week_day].&amp;[mardi]" c="mardi"/>
              <i n="[data].[week_day].&amp;[mercredi]" c="mercredi"/>
              <i n="[data].[week_day].&amp;[samedi]" c="samedi"/>
              <i n="[data].[week_day].&amp;[vendredi]" c="vendredi"/>
            </range>
          </ranges>
        </level>
      </levels>
      <selections count="1">
        <selection n="[data].[week_da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Hour_class" sourceName="[data].[Hour_class]">
  <pivotTables>
    <pivotTable tabId="2" name="Tableau croisé dynamique1"/>
  </pivotTables>
  <data>
    <olap pivotCacheId="1">
      <levels count="2">
        <level uniqueName="[data].[Hour_class].[(All)]" sourceCaption="(All)" count="0"/>
        <level uniqueName="[data].[Hour_class].[Hour_class]" sourceCaption="Hour_class" count="4">
          <ranges>
            <range startItem="0">
              <i n="[data].[Hour_class].&amp;[AM]" c="AM"/>
              <i n="[data].[Hour_class].&amp;[Nuit]" c="Nuit"/>
              <i n="[data].[Hour_class].&amp;[PM]" c="PM"/>
              <i n="[data].[Hour_class].&amp;[Soir]" c="Soir"/>
            </range>
          </ranges>
        </level>
      </levels>
      <selections count="1">
        <selection n="[data].[Hour_class].&amp;[AM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rrDép_ArrDep" sourceName="[data].[ArrDép_ArrDep]">
  <pivotTables>
    <pivotTable tabId="2" name="Tableau croisé dynamique1"/>
  </pivotTables>
  <data>
    <olap pivotCacheId="1">
      <levels count="2">
        <level uniqueName="[data].[ArrDép_ArrDep].[(All)]" sourceCaption="(All)" count="0"/>
        <level uniqueName="[data].[ArrDép_ArrDep].[ArrDép_ArrDep]" sourceCaption="ArrDép_ArrDep" count="2">
          <ranges>
            <range startItem="0">
              <i n="[data].[ArrDép_ArrDep].&amp;[Arrive]" c="Arrive"/>
              <i n="[data].[ArrDép_ArrDep].&amp;[Depart]" c="Depart"/>
            </range>
          </ranges>
        </level>
      </levels>
      <selections count="1">
        <selection n="[data].[ArrDép_ArrDep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eek_day" cache="Segment_week_day" caption="week_day" level="1" rowHeight="241300"/>
  <slicer name="Hour_class" cache="Segment_Hour_class" caption="Hour_class" level="1" rowHeight="241300"/>
  <slicer name="ArrDép_ArrDep" cache="Segment_ArrDép_ArrDep" caption="ArrDép_ArrDep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16" zoomScale="90" zoomScaleNormal="90" workbookViewId="0">
      <selection activeCell="J61" sqref="J61"/>
    </sheetView>
  </sheetViews>
  <sheetFormatPr baseColWidth="10" defaultRowHeight="15" x14ac:dyDescent="0.25"/>
  <cols>
    <col min="1" max="1" width="27.28515625" style="1" bestFit="1" customWidth="1"/>
    <col min="2" max="2" width="11.28515625" style="1" customWidth="1"/>
    <col min="3" max="3" width="7.140625" style="1" bestFit="1" customWidth="1"/>
    <col min="4" max="4" width="12" style="1" bestFit="1" customWidth="1"/>
    <col min="5" max="5" width="9.140625" style="1" bestFit="1" customWidth="1"/>
    <col min="6" max="6" width="24.85546875" style="1" bestFit="1" customWidth="1"/>
    <col min="7" max="7" width="14.85546875" style="1" bestFit="1" customWidth="1"/>
    <col min="8" max="8" width="8" style="1" customWidth="1"/>
    <col min="9" max="9" width="5" style="1" bestFit="1" customWidth="1"/>
    <col min="10" max="10" width="15.5703125" style="1" customWidth="1"/>
    <col min="11" max="11" width="24.85546875" style="1" bestFit="1" customWidth="1"/>
    <col min="12" max="12" width="16" style="1" bestFit="1" customWidth="1"/>
    <col min="13" max="13" width="11.5703125" style="1" bestFit="1" customWidth="1"/>
    <col min="14" max="15" width="13.28515625" style="1" bestFit="1" customWidth="1"/>
    <col min="16" max="16" width="24.85546875" style="1" bestFit="1" customWidth="1"/>
    <col min="17" max="17" width="14.140625" style="1" bestFit="1" customWidth="1"/>
    <col min="18" max="19" width="11.42578125" style="1"/>
    <col min="20" max="20" width="5.28515625" style="1" customWidth="1"/>
    <col min="21" max="21" width="24.85546875" style="1" bestFit="1" customWidth="1"/>
    <col min="22" max="22" width="14.140625" style="1" bestFit="1" customWidth="1"/>
    <col min="23" max="16384" width="11.42578125" style="1"/>
  </cols>
  <sheetData>
    <row r="1" spans="1:9" ht="44.25" customHeight="1" thickBot="1" x14ac:dyDescent="0.3">
      <c r="A1" s="160" t="s">
        <v>8</v>
      </c>
      <c r="B1" s="161"/>
      <c r="C1" s="161"/>
      <c r="D1" s="161"/>
      <c r="E1" s="162"/>
      <c r="F1" s="48"/>
      <c r="G1" s="48"/>
      <c r="H1" s="48"/>
      <c r="I1" s="48"/>
    </row>
    <row r="2" spans="1:9" ht="15.75" thickBot="1" x14ac:dyDescent="0.3">
      <c r="A2" s="40" t="s">
        <v>42</v>
      </c>
      <c r="B2" s="40" t="s">
        <v>3</v>
      </c>
      <c r="C2" s="41"/>
      <c r="D2" s="24" t="s">
        <v>4</v>
      </c>
      <c r="E2" s="22"/>
      <c r="F2" s="38"/>
      <c r="G2" s="4"/>
      <c r="H2" s="4"/>
      <c r="I2" s="4"/>
    </row>
    <row r="3" spans="1:9" x14ac:dyDescent="0.25">
      <c r="A3" s="42" t="s">
        <v>0</v>
      </c>
      <c r="B3" s="50">
        <v>746</v>
      </c>
      <c r="C3" s="38"/>
      <c r="D3" s="46" t="s">
        <v>82</v>
      </c>
      <c r="E3" s="55">
        <f>GETPIVOTDATA("[Measures].[Somme de NB]",$A$2,"[data].[retard_judge]","[data].[retard_judge].&amp;[ANNULÉ]")/GETPIVOTDATA("[Measures].[Somme de NB]",$A$2)</f>
        <v>7.2181906144170291E-2</v>
      </c>
      <c r="F3" s="38"/>
      <c r="G3" s="4"/>
      <c r="H3" s="4"/>
      <c r="I3" s="4"/>
    </row>
    <row r="4" spans="1:9" x14ac:dyDescent="0.25">
      <c r="A4" s="43" t="s">
        <v>1</v>
      </c>
      <c r="B4" s="51">
        <v>4197</v>
      </c>
      <c r="C4" s="38"/>
      <c r="D4" s="28" t="s">
        <v>86</v>
      </c>
      <c r="E4" s="56">
        <f>SQRT(E3*(1-E3))</f>
        <v>0.25878886871263318</v>
      </c>
      <c r="F4" s="38"/>
      <c r="G4" s="4"/>
      <c r="H4" s="4"/>
      <c r="I4" s="4"/>
    </row>
    <row r="5" spans="1:9" ht="18.75" thickBot="1" x14ac:dyDescent="0.4">
      <c r="A5" s="44" t="s">
        <v>2</v>
      </c>
      <c r="B5" s="143">
        <v>5392</v>
      </c>
      <c r="C5" s="38"/>
      <c r="D5" s="2" t="s">
        <v>45</v>
      </c>
      <c r="E5" s="29">
        <f>TINV(1-B39,99)</f>
        <v>1.9842169515864165</v>
      </c>
      <c r="F5" s="38"/>
      <c r="G5" s="4"/>
      <c r="H5" s="4"/>
      <c r="I5" s="4"/>
    </row>
    <row r="6" spans="1:9" ht="15.75" thickBot="1" x14ac:dyDescent="0.3">
      <c r="A6" s="49" t="s">
        <v>7</v>
      </c>
      <c r="B6" s="52">
        <v>10335</v>
      </c>
      <c r="C6" s="38"/>
      <c r="D6" s="78"/>
      <c r="E6" s="79"/>
      <c r="F6" s="38"/>
      <c r="G6" s="4"/>
      <c r="H6" s="4"/>
      <c r="I6" s="4"/>
    </row>
    <row r="7" spans="1:9" x14ac:dyDescent="0.25">
      <c r="A7" s="28"/>
      <c r="B7" s="38"/>
      <c r="C7" s="38"/>
      <c r="D7" s="78"/>
      <c r="E7" s="80"/>
      <c r="F7" s="38"/>
      <c r="G7" s="4"/>
      <c r="H7" s="4"/>
      <c r="I7" s="4"/>
    </row>
    <row r="8" spans="1:9" ht="15.75" thickBot="1" x14ac:dyDescent="0.3">
      <c r="A8" s="28"/>
      <c r="B8" s="38"/>
      <c r="C8" s="38"/>
      <c r="D8" s="81"/>
      <c r="E8" s="82"/>
      <c r="F8" s="38"/>
      <c r="G8" s="4"/>
      <c r="H8" s="4"/>
      <c r="I8" s="4"/>
    </row>
    <row r="9" spans="1:9" ht="15.75" thickBot="1" x14ac:dyDescent="0.3">
      <c r="A9" s="28"/>
      <c r="B9" s="38"/>
      <c r="C9" s="38"/>
      <c r="D9" s="45" t="s">
        <v>5</v>
      </c>
      <c r="E9" s="22"/>
      <c r="F9" s="38"/>
      <c r="G9" s="4"/>
      <c r="H9" s="4"/>
      <c r="I9" s="4"/>
    </row>
    <row r="10" spans="1:9" x14ac:dyDescent="0.25">
      <c r="A10" s="28"/>
      <c r="B10" s="38"/>
      <c r="C10" s="38"/>
      <c r="D10" s="46" t="s">
        <v>82</v>
      </c>
      <c r="E10" s="55">
        <f>GETPIVOTDATA("[Measures].[Somme de NB]",$A$2,"[data].[retard_judge]","[data].[retard_judge].&amp;[RETARD]")/(GETPIVOTDATA("[Measures].[Somme de NB]",$A$2)-GETPIVOTDATA("[Measures].[Somme de NB]",$A$2,"[data].[retard_judge]","[data].[retard_judge].&amp;[ANNULÉ]"))</f>
        <v>0.56231098133277713</v>
      </c>
      <c r="F10" s="38"/>
      <c r="G10" s="4"/>
      <c r="H10" s="4"/>
      <c r="I10" s="4"/>
    </row>
    <row r="11" spans="1:9" x14ac:dyDescent="0.25">
      <c r="A11" s="28"/>
      <c r="B11" s="38"/>
      <c r="C11" s="38"/>
      <c r="D11" s="28" t="s">
        <v>86</v>
      </c>
      <c r="E11" s="56">
        <f>SQRT(E10*(1-E10))</f>
        <v>0.49610214835792266</v>
      </c>
      <c r="F11" s="38"/>
      <c r="G11" s="4"/>
      <c r="H11" s="4"/>
      <c r="I11" s="4"/>
    </row>
    <row r="12" spans="1:9" ht="15" customHeight="1" x14ac:dyDescent="0.35">
      <c r="A12" s="28"/>
      <c r="B12" s="38"/>
      <c r="C12" s="38"/>
      <c r="D12" s="2" t="s">
        <v>45</v>
      </c>
      <c r="E12" s="29">
        <f>TINV(1-B39,99)</f>
        <v>1.9842169515864165</v>
      </c>
      <c r="F12" s="38"/>
      <c r="G12" s="4"/>
      <c r="H12" s="4"/>
      <c r="I12" s="4"/>
    </row>
    <row r="13" spans="1:9" ht="15" customHeight="1" x14ac:dyDescent="0.25">
      <c r="A13" s="28"/>
      <c r="B13" s="38"/>
      <c r="C13" s="38"/>
      <c r="D13" s="78"/>
      <c r="E13" s="79"/>
      <c r="F13" s="38"/>
      <c r="G13" s="4"/>
      <c r="H13" s="4"/>
      <c r="I13" s="4"/>
    </row>
    <row r="14" spans="1:9" ht="15" customHeight="1" x14ac:dyDescent="0.25">
      <c r="A14" s="28"/>
      <c r="B14" s="38"/>
      <c r="C14" s="38"/>
      <c r="D14" s="78"/>
      <c r="E14" s="80"/>
      <c r="F14" s="38"/>
      <c r="G14" s="4"/>
      <c r="H14" s="4"/>
      <c r="I14" s="4"/>
    </row>
    <row r="15" spans="1:9" ht="15.75" customHeight="1" thickBot="1" x14ac:dyDescent="0.3">
      <c r="A15" s="28"/>
      <c r="B15" s="38"/>
      <c r="C15" s="38"/>
      <c r="D15" s="81"/>
      <c r="E15" s="82"/>
      <c r="F15" s="38"/>
      <c r="G15" s="4"/>
      <c r="H15" s="4"/>
      <c r="I15" s="4"/>
    </row>
    <row r="16" spans="1:9" ht="15" customHeight="1" thickBot="1" x14ac:dyDescent="0.3">
      <c r="A16" s="28"/>
      <c r="B16" s="38"/>
      <c r="C16" s="38"/>
      <c r="D16" s="45" t="s">
        <v>1</v>
      </c>
      <c r="E16" s="22"/>
      <c r="F16" s="38"/>
      <c r="G16" s="4"/>
      <c r="H16" s="4"/>
      <c r="I16" s="4"/>
    </row>
    <row r="17" spans="1:15" ht="15.75" customHeight="1" x14ac:dyDescent="0.25">
      <c r="A17" s="2"/>
      <c r="B17" s="4"/>
      <c r="C17" s="38"/>
      <c r="D17" s="46" t="s">
        <v>82</v>
      </c>
      <c r="E17" s="55">
        <f>GETPIVOTDATA("[Measures].[Somme de NB]",$A$2,"[data].[retard_judge]","[data].[retard_judge].&amp;[ON_TIME]")/(GETPIVOTDATA("[Measures].[Somme de NB]",$A$2)-GETPIVOTDATA("[Measures].[Somme de NB]",$A$2,"[data].[retard_judge]","[data].[retard_judge].&amp;[ANNULÉ]"))</f>
        <v>0.43768901866722287</v>
      </c>
      <c r="F17" s="38"/>
      <c r="G17" s="4"/>
      <c r="H17" s="4"/>
      <c r="I17" s="4"/>
    </row>
    <row r="18" spans="1:15" x14ac:dyDescent="0.25">
      <c r="A18" s="2"/>
      <c r="B18" s="4"/>
      <c r="C18" s="38"/>
      <c r="D18" s="28" t="s">
        <v>86</v>
      </c>
      <c r="E18" s="56">
        <f>SQRT(E17*(1-E17))</f>
        <v>0.49610214835792266</v>
      </c>
      <c r="F18" s="38"/>
      <c r="G18" s="4"/>
      <c r="H18" s="4"/>
      <c r="I18" s="4"/>
    </row>
    <row r="19" spans="1:15" ht="18" x14ac:dyDescent="0.35">
      <c r="A19" s="2"/>
      <c r="B19" s="4"/>
      <c r="C19" s="38"/>
      <c r="D19" s="2" t="s">
        <v>45</v>
      </c>
      <c r="E19" s="56">
        <f>TINV(1-B39,99)</f>
        <v>1.9842169515864165</v>
      </c>
      <c r="F19" s="38"/>
      <c r="G19" s="4"/>
      <c r="H19" s="4"/>
      <c r="I19" s="4"/>
    </row>
    <row r="20" spans="1:15" x14ac:dyDescent="0.25">
      <c r="A20" s="28"/>
      <c r="B20" s="38"/>
      <c r="C20" s="38"/>
      <c r="D20" s="78"/>
      <c r="E20" s="79"/>
      <c r="F20" s="38"/>
      <c r="G20" s="38"/>
      <c r="H20" s="38"/>
      <c r="I20" s="4"/>
    </row>
    <row r="21" spans="1:15" x14ac:dyDescent="0.25">
      <c r="A21" s="28"/>
      <c r="B21" s="38"/>
      <c r="C21" s="38"/>
      <c r="D21" s="78"/>
      <c r="E21" s="80"/>
      <c r="F21" s="38"/>
      <c r="G21" s="38"/>
      <c r="H21" s="38"/>
      <c r="I21" s="4"/>
    </row>
    <row r="22" spans="1:15" ht="15.75" thickBot="1" x14ac:dyDescent="0.3">
      <c r="A22" s="3"/>
      <c r="B22" s="6"/>
      <c r="C22" s="6"/>
      <c r="D22" s="81"/>
      <c r="E22" s="82"/>
    </row>
    <row r="23" spans="1:15" ht="19.5" customHeight="1" x14ac:dyDescent="0.25">
      <c r="A23" s="163" t="s">
        <v>9</v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5"/>
    </row>
    <row r="24" spans="1:15" ht="15.75" customHeight="1" thickBot="1" x14ac:dyDescent="0.3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8"/>
    </row>
    <row r="25" spans="1:15" ht="15.75" thickBot="1" x14ac:dyDescent="0.3">
      <c r="A25" s="173" t="s">
        <v>4</v>
      </c>
      <c r="B25" s="174"/>
      <c r="C25" s="38"/>
      <c r="D25" s="38"/>
      <c r="E25" s="4"/>
      <c r="F25" s="173" t="s">
        <v>5</v>
      </c>
      <c r="G25" s="174"/>
      <c r="H25" s="38"/>
      <c r="I25" s="38"/>
      <c r="J25" s="4"/>
      <c r="K25" s="173" t="s">
        <v>24</v>
      </c>
      <c r="L25" s="174"/>
      <c r="M25" s="38"/>
      <c r="N25" s="38"/>
      <c r="O25" s="5"/>
    </row>
    <row r="26" spans="1:15" x14ac:dyDescent="0.25">
      <c r="A26" s="24" t="s">
        <v>82</v>
      </c>
      <c r="B26" s="57">
        <f>E3</f>
        <v>7.2181906144170291E-2</v>
      </c>
      <c r="C26" s="38"/>
      <c r="D26" s="38"/>
      <c r="E26" s="4"/>
      <c r="F26" s="24" t="s">
        <v>82</v>
      </c>
      <c r="G26" s="57">
        <f>E10</f>
        <v>0.56231098133277713</v>
      </c>
      <c r="H26" s="38"/>
      <c r="I26" s="38"/>
      <c r="J26" s="4"/>
      <c r="K26" s="24" t="s">
        <v>82</v>
      </c>
      <c r="L26" s="57">
        <f>E17</f>
        <v>0.43768901866722287</v>
      </c>
      <c r="M26" s="38"/>
      <c r="N26" s="38"/>
      <c r="O26" s="5"/>
    </row>
    <row r="27" spans="1:15" x14ac:dyDescent="0.25">
      <c r="A27" s="25" t="s">
        <v>98</v>
      </c>
      <c r="B27" s="57">
        <f>E4</f>
        <v>0.25878886871263318</v>
      </c>
      <c r="C27" s="39"/>
      <c r="D27" s="39"/>
      <c r="E27" s="4"/>
      <c r="F27" s="25" t="s">
        <v>98</v>
      </c>
      <c r="G27" s="57">
        <f>cal_t_test!D9</f>
        <v>0.48661176217578178</v>
      </c>
      <c r="H27" s="38"/>
      <c r="I27" s="38"/>
      <c r="J27" s="4"/>
      <c r="K27" s="25" t="s">
        <v>98</v>
      </c>
      <c r="L27" s="57">
        <f>cal_t_test!F9</f>
        <v>0.62053977882639999</v>
      </c>
      <c r="M27" s="38"/>
      <c r="N27" s="38"/>
      <c r="O27" s="5"/>
    </row>
    <row r="28" spans="1:15" x14ac:dyDescent="0.25">
      <c r="A28" s="26" t="s">
        <v>81</v>
      </c>
      <c r="B28" s="58">
        <f>cal_t_test!B8</f>
        <v>6.7389351033303388E-2</v>
      </c>
      <c r="C28" s="38"/>
      <c r="D28" s="38"/>
      <c r="E28" s="4"/>
      <c r="F28" s="26" t="s">
        <v>81</v>
      </c>
      <c r="G28" s="58">
        <f>cal_t_test!D8</f>
        <v>0.61493038289408253</v>
      </c>
      <c r="H28" s="38"/>
      <c r="I28" s="38"/>
      <c r="J28" s="4"/>
      <c r="K28" s="26" t="s">
        <v>81</v>
      </c>
      <c r="L28" s="58">
        <f>cal_t_test!F8</f>
        <v>0.38506961710591747</v>
      </c>
      <c r="M28" s="38"/>
      <c r="N28" s="38"/>
      <c r="O28" s="5"/>
    </row>
    <row r="29" spans="1:15" x14ac:dyDescent="0.25">
      <c r="A29" s="27" t="s">
        <v>85</v>
      </c>
      <c r="B29" s="68">
        <f>cal_t_test!B9</f>
        <v>0.25069508651071243</v>
      </c>
      <c r="C29" s="39"/>
      <c r="D29" s="38"/>
      <c r="E29" s="4"/>
      <c r="F29" s="27" t="s">
        <v>85</v>
      </c>
      <c r="G29" s="59">
        <f>E11</f>
        <v>0.49610214835792266</v>
      </c>
      <c r="H29" s="38"/>
      <c r="I29" s="38"/>
      <c r="J29" s="4"/>
      <c r="K29" s="27" t="s">
        <v>85</v>
      </c>
      <c r="L29" s="59">
        <f>E18</f>
        <v>0.49610214835792266</v>
      </c>
      <c r="M29" s="38"/>
      <c r="N29" s="38"/>
      <c r="O29" s="5"/>
    </row>
    <row r="30" spans="1:15" x14ac:dyDescent="0.25">
      <c r="A30" s="28" t="s">
        <v>30</v>
      </c>
      <c r="B30" s="113">
        <f>B6-1</f>
        <v>10334</v>
      </c>
      <c r="C30" s="38"/>
      <c r="D30" s="38"/>
      <c r="E30" s="4"/>
      <c r="F30" s="28" t="s">
        <v>30</v>
      </c>
      <c r="G30" s="113">
        <f>B6-B3-1</f>
        <v>9588</v>
      </c>
      <c r="H30" s="38"/>
      <c r="I30" s="38"/>
      <c r="J30" s="4"/>
      <c r="K30" s="28" t="s">
        <v>11</v>
      </c>
      <c r="L30" s="113">
        <f>B6-B3</f>
        <v>9589</v>
      </c>
      <c r="M30" s="38"/>
      <c r="N30" s="38"/>
      <c r="O30" s="5"/>
    </row>
    <row r="31" spans="1:15" x14ac:dyDescent="0.25">
      <c r="A31" s="28" t="s">
        <v>16</v>
      </c>
      <c r="B31" s="29">
        <f>(B28-B26)/B32</f>
        <v>-1.8826811053823318</v>
      </c>
      <c r="C31" s="38"/>
      <c r="D31" s="38"/>
      <c r="E31" s="4"/>
      <c r="F31" s="28" t="s">
        <v>16</v>
      </c>
      <c r="G31" s="29">
        <f>(G28-G26)/G32</f>
        <v>10.386314192403177</v>
      </c>
      <c r="H31" s="38"/>
      <c r="I31" s="38"/>
      <c r="J31" s="4"/>
      <c r="K31" s="28" t="s">
        <v>16</v>
      </c>
      <c r="L31" s="29">
        <f>(L28-L26)/L32</f>
        <v>-10.386855752702443</v>
      </c>
      <c r="M31" s="38"/>
      <c r="N31" s="38"/>
      <c r="O31" s="5"/>
    </row>
    <row r="32" spans="1:15" ht="15.75" thickBot="1" x14ac:dyDescent="0.3">
      <c r="A32" s="30" t="s">
        <v>17</v>
      </c>
      <c r="B32" s="31">
        <f>E4/SQRT(B30+1)</f>
        <v>2.5456011095908028E-3</v>
      </c>
      <c r="C32" s="38"/>
      <c r="D32" s="38"/>
      <c r="E32" s="4"/>
      <c r="F32" s="30" t="s">
        <v>17</v>
      </c>
      <c r="G32" s="31">
        <f>E11/SQRT(G30+1)</f>
        <v>5.0662247055642332E-3</v>
      </c>
      <c r="H32" s="38"/>
      <c r="I32" s="38"/>
      <c r="J32" s="4"/>
      <c r="K32" s="30" t="s">
        <v>17</v>
      </c>
      <c r="L32" s="31">
        <f>E18/SQRT(L30+1)</f>
        <v>5.0659605576610549E-3</v>
      </c>
      <c r="M32" s="38"/>
      <c r="N32" s="38"/>
      <c r="O32" s="5"/>
    </row>
    <row r="33" spans="1:15" ht="15.75" thickBot="1" x14ac:dyDescent="0.3">
      <c r="A33" s="32"/>
      <c r="B33" s="11" t="s">
        <v>22</v>
      </c>
      <c r="C33" s="13" t="s">
        <v>18</v>
      </c>
      <c r="D33" s="14" t="s">
        <v>19</v>
      </c>
      <c r="E33" s="4"/>
      <c r="F33" s="32"/>
      <c r="G33" s="11" t="s">
        <v>22</v>
      </c>
      <c r="H33" s="13" t="s">
        <v>18</v>
      </c>
      <c r="I33" s="14" t="s">
        <v>19</v>
      </c>
      <c r="J33" s="4"/>
      <c r="K33" s="32"/>
      <c r="L33" s="11" t="s">
        <v>22</v>
      </c>
      <c r="M33" s="13" t="s">
        <v>18</v>
      </c>
      <c r="N33" s="14" t="s">
        <v>19</v>
      </c>
      <c r="O33" s="5"/>
    </row>
    <row r="34" spans="1:15" x14ac:dyDescent="0.25">
      <c r="A34" s="12" t="s">
        <v>20</v>
      </c>
      <c r="B34" s="65">
        <f>TDIST(ABS(B31),B30,2)</f>
        <v>5.9771665264959813E-2</v>
      </c>
      <c r="C34" s="90" t="str">
        <f>cal_t_test!$I$3</f>
        <v>P=P_I</v>
      </c>
      <c r="D34" s="15" t="str">
        <f>cal_t_test!$I$4</f>
        <v>P≠P_I</v>
      </c>
      <c r="E34" s="4"/>
      <c r="F34" s="12" t="s">
        <v>20</v>
      </c>
      <c r="G34" s="65">
        <f>TDIST(ABS(G31),G30,2)</f>
        <v>3.8894347809387382E-25</v>
      </c>
      <c r="H34" s="90" t="str">
        <f>cal_t_test!$I$3</f>
        <v>P=P_I</v>
      </c>
      <c r="I34" s="15" t="str">
        <f>cal_t_test!$I$4</f>
        <v>P≠P_I</v>
      </c>
      <c r="J34" s="4"/>
      <c r="K34" s="12" t="s">
        <v>20</v>
      </c>
      <c r="L34" s="65">
        <f>TDIST(ABS(L31),L30,2)</f>
        <v>3.8675416627965751E-25</v>
      </c>
      <c r="M34" s="90" t="str">
        <f>cal_t_test!$I$3</f>
        <v>P=P_I</v>
      </c>
      <c r="N34" s="15" t="str">
        <f>cal_t_test!$I$4</f>
        <v>P≠P_I</v>
      </c>
      <c r="O34" s="5"/>
    </row>
    <row r="35" spans="1:15" x14ac:dyDescent="0.25">
      <c r="A35" s="175" t="s">
        <v>21</v>
      </c>
      <c r="B35" s="65">
        <f>IF(B31&lt;=0,TDIST(-B31,B30,1),1-TDIST(B31,B30,1))</f>
        <v>2.9885832632479906E-2</v>
      </c>
      <c r="C35" s="16" t="str">
        <f>cal_t_test!$I$5</f>
        <v>P≥P_I</v>
      </c>
      <c r="D35" s="15" t="str">
        <f>cal_t_test!$I$6</f>
        <v>P&lt;P_I</v>
      </c>
      <c r="E35" s="4"/>
      <c r="F35" s="175" t="s">
        <v>21</v>
      </c>
      <c r="G35" s="65">
        <f>IF(G31&lt;=0,TDIST(-G31,G30,1),1-TDIST(G31,G30,1))</f>
        <v>1</v>
      </c>
      <c r="H35" s="16" t="str">
        <f>cal_t_test!$I$5</f>
        <v>P≥P_I</v>
      </c>
      <c r="I35" s="15" t="str">
        <f>cal_t_test!$I$6</f>
        <v>P&lt;P_I</v>
      </c>
      <c r="J35" s="4"/>
      <c r="K35" s="175" t="s">
        <v>21</v>
      </c>
      <c r="L35" s="65">
        <f>IF(L31&lt;=0,TDIST(-L31,L30,1),1-TDIST(L31,L30,1))</f>
        <v>1.9337708313982875E-25</v>
      </c>
      <c r="M35" s="16" t="str">
        <f>cal_t_test!$I$5</f>
        <v>P≥P_I</v>
      </c>
      <c r="N35" s="15" t="str">
        <f>cal_t_test!$I$6</f>
        <v>P&lt;P_I</v>
      </c>
      <c r="O35" s="5"/>
    </row>
    <row r="36" spans="1:15" ht="15.75" thickBot="1" x14ac:dyDescent="0.3">
      <c r="A36" s="176"/>
      <c r="B36" s="66">
        <f>IF(B31&gt;=0,TDIST(B31,B30,1),1-TDIST(-B31,B30,1))</f>
        <v>0.9701141673675201</v>
      </c>
      <c r="C36" s="17" t="str">
        <f>cal_t_test!$I$7</f>
        <v>P≤P_I</v>
      </c>
      <c r="D36" s="18" t="str">
        <f>cal_t_test!$I$8</f>
        <v>P&gt;P_I</v>
      </c>
      <c r="E36" s="4"/>
      <c r="F36" s="176"/>
      <c r="G36" s="66">
        <f>IF(G31&gt;=0,TDIST(G31,G30,1),1-TDIST(-G31,G30,1))</f>
        <v>1.9447173904693691E-25</v>
      </c>
      <c r="H36" s="17" t="str">
        <f>cal_t_test!$I$7</f>
        <v>P≤P_I</v>
      </c>
      <c r="I36" s="18" t="str">
        <f>cal_t_test!$I$8</f>
        <v>P&gt;P_I</v>
      </c>
      <c r="J36" s="4"/>
      <c r="K36" s="176"/>
      <c r="L36" s="66">
        <f>IF(L31&gt;=0,TDIST(L31,L30,1),1-TDIST(-L31,L30,1))</f>
        <v>1</v>
      </c>
      <c r="M36" s="17" t="str">
        <f>cal_t_test!$I$7</f>
        <v>P≤P_I</v>
      </c>
      <c r="N36" s="18" t="str">
        <f>cal_t_test!$I$8</f>
        <v>P&gt;P_I</v>
      </c>
      <c r="O36" s="5"/>
    </row>
    <row r="37" spans="1:15" ht="19.5" thickBot="1" x14ac:dyDescent="0.3">
      <c r="A37" s="10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</row>
    <row r="38" spans="1:15" x14ac:dyDescent="0.25">
      <c r="A38" s="171" t="s">
        <v>107</v>
      </c>
      <c r="B38" s="172"/>
      <c r="C38" s="4"/>
      <c r="D38" s="4"/>
      <c r="E38" s="4"/>
      <c r="F38" s="171" t="s">
        <v>107</v>
      </c>
      <c r="G38" s="172"/>
      <c r="H38" s="4"/>
      <c r="I38" s="4"/>
      <c r="J38" s="4"/>
      <c r="K38" s="171" t="s">
        <v>107</v>
      </c>
      <c r="L38" s="172"/>
      <c r="M38" s="4"/>
      <c r="N38" s="4"/>
      <c r="O38" s="5"/>
    </row>
    <row r="39" spans="1:15" x14ac:dyDescent="0.25">
      <c r="A39" s="33" t="s">
        <v>10</v>
      </c>
      <c r="B39" s="34">
        <v>0.95</v>
      </c>
      <c r="C39" s="4"/>
      <c r="D39" s="4"/>
      <c r="E39" s="4"/>
      <c r="F39" s="33" t="s">
        <v>10</v>
      </c>
      <c r="G39" s="34">
        <v>0.95</v>
      </c>
      <c r="H39" s="4"/>
      <c r="I39" s="4"/>
      <c r="J39" s="4"/>
      <c r="K39" s="33" t="s">
        <v>10</v>
      </c>
      <c r="L39" s="34">
        <v>0.95</v>
      </c>
      <c r="M39" s="4"/>
      <c r="N39" s="4"/>
      <c r="O39" s="5"/>
    </row>
    <row r="40" spans="1:15" x14ac:dyDescent="0.25">
      <c r="A40" s="33" t="s">
        <v>31</v>
      </c>
      <c r="B40" s="35">
        <f>B32</f>
        <v>2.5456011095908028E-3</v>
      </c>
      <c r="C40" s="4"/>
      <c r="D40" s="4"/>
      <c r="E40" s="4"/>
      <c r="F40" s="33" t="s">
        <v>31</v>
      </c>
      <c r="G40" s="35">
        <f>G32</f>
        <v>5.0662247055642332E-3</v>
      </c>
      <c r="H40" s="4"/>
      <c r="I40" s="4"/>
      <c r="J40" s="4"/>
      <c r="K40" s="33" t="s">
        <v>31</v>
      </c>
      <c r="L40" s="35">
        <f>L32</f>
        <v>5.0659605576610549E-3</v>
      </c>
      <c r="M40" s="4"/>
      <c r="N40" s="4"/>
      <c r="O40" s="5"/>
    </row>
    <row r="41" spans="1:15" x14ac:dyDescent="0.25">
      <c r="A41" s="33" t="s">
        <v>25</v>
      </c>
      <c r="B41" s="35">
        <f>TINV(1-B39,B30)</f>
        <v>1.9601935707970064</v>
      </c>
      <c r="C41" s="4"/>
      <c r="D41" s="4"/>
      <c r="E41" s="4"/>
      <c r="F41" s="33" t="s">
        <v>25</v>
      </c>
      <c r="G41" s="35">
        <f>TINV(1-G39,G30)</f>
        <v>1.9602114361082086</v>
      </c>
      <c r="H41" s="4"/>
      <c r="I41" s="4"/>
      <c r="J41" s="4"/>
      <c r="K41" s="33" t="s">
        <v>25</v>
      </c>
      <c r="L41" s="35">
        <f>TINV(1-L39,L30)</f>
        <v>1.9602114102991366</v>
      </c>
      <c r="M41" s="4"/>
      <c r="N41" s="4"/>
      <c r="O41" s="5"/>
    </row>
    <row r="42" spans="1:15" x14ac:dyDescent="0.25">
      <c r="A42" s="33" t="s">
        <v>26</v>
      </c>
      <c r="B42" s="60">
        <f>B26</f>
        <v>7.2181906144170291E-2</v>
      </c>
      <c r="C42" s="4"/>
      <c r="D42" s="4"/>
      <c r="E42" s="4"/>
      <c r="F42" s="33" t="s">
        <v>26</v>
      </c>
      <c r="G42" s="60">
        <f>G26</f>
        <v>0.56231098133277713</v>
      </c>
      <c r="H42" s="4"/>
      <c r="I42" s="4"/>
      <c r="J42" s="4"/>
      <c r="K42" s="33" t="s">
        <v>26</v>
      </c>
      <c r="L42" s="60">
        <f>L26</f>
        <v>0.43768901866722287</v>
      </c>
      <c r="M42" s="4"/>
      <c r="N42" s="4"/>
      <c r="O42" s="5"/>
    </row>
    <row r="43" spans="1:15" x14ac:dyDescent="0.25">
      <c r="A43" s="33" t="s">
        <v>27</v>
      </c>
      <c r="B43" s="61">
        <f>B40*B41</f>
        <v>4.9898709288336172E-3</v>
      </c>
      <c r="C43" s="4"/>
      <c r="D43" s="4"/>
      <c r="E43" s="4"/>
      <c r="F43" s="33" t="s">
        <v>27</v>
      </c>
      <c r="G43" s="61">
        <f>G40*G41</f>
        <v>9.9308716057409513E-3</v>
      </c>
      <c r="H43" s="4"/>
      <c r="I43" s="4"/>
      <c r="J43" s="4"/>
      <c r="K43" s="33" t="s">
        <v>27</v>
      </c>
      <c r="L43" s="61">
        <f>L40*L41</f>
        <v>9.9303536892525763E-3</v>
      </c>
      <c r="M43" s="4"/>
      <c r="N43" s="4"/>
      <c r="O43" s="5"/>
    </row>
    <row r="44" spans="1:15" x14ac:dyDescent="0.25">
      <c r="A44" s="33" t="s">
        <v>28</v>
      </c>
      <c r="B44" s="62">
        <f>B42-B43</f>
        <v>6.7192035215336676E-2</v>
      </c>
      <c r="C44" s="4"/>
      <c r="D44" s="4"/>
      <c r="E44" s="4"/>
      <c r="F44" s="33" t="s">
        <v>28</v>
      </c>
      <c r="G44" s="62">
        <f>G42-G43</f>
        <v>0.55238010972703622</v>
      </c>
      <c r="H44" s="4"/>
      <c r="I44" s="4"/>
      <c r="J44" s="4"/>
      <c r="K44" s="33" t="s">
        <v>28</v>
      </c>
      <c r="L44" s="62">
        <f>L42-L43</f>
        <v>0.42775866497797027</v>
      </c>
      <c r="M44" s="4"/>
      <c r="N44" s="4"/>
      <c r="O44" s="5"/>
    </row>
    <row r="45" spans="1:15" ht="15.75" thickBot="1" x14ac:dyDescent="0.3">
      <c r="A45" s="36" t="s">
        <v>29</v>
      </c>
      <c r="B45" s="63">
        <f>B42+B43</f>
        <v>7.7171777073003905E-2</v>
      </c>
      <c r="C45" s="4"/>
      <c r="D45" s="4"/>
      <c r="E45" s="4"/>
      <c r="F45" s="36" t="s">
        <v>29</v>
      </c>
      <c r="G45" s="63">
        <f>G42+G43</f>
        <v>0.57224185293851804</v>
      </c>
      <c r="H45" s="4"/>
      <c r="I45" s="4"/>
      <c r="J45" s="4"/>
      <c r="K45" s="36" t="s">
        <v>29</v>
      </c>
      <c r="L45" s="63">
        <f>L42+L43</f>
        <v>0.44761937235647548</v>
      </c>
      <c r="M45" s="4"/>
      <c r="N45" s="4"/>
      <c r="O45" s="5"/>
    </row>
    <row r="46" spans="1:15" ht="15.75" thickBot="1" x14ac:dyDescent="0.3">
      <c r="A46" s="28"/>
      <c r="B46" s="38"/>
      <c r="C46" s="4"/>
      <c r="D46" s="4"/>
      <c r="E46" s="4"/>
      <c r="F46" s="38"/>
      <c r="G46" s="38"/>
      <c r="H46" s="4"/>
      <c r="I46" s="4"/>
      <c r="J46" s="4"/>
      <c r="K46" s="38"/>
      <c r="L46" s="38"/>
      <c r="M46" s="4"/>
      <c r="N46" s="4"/>
      <c r="O46" s="5"/>
    </row>
    <row r="47" spans="1:15" ht="15.75" thickBot="1" x14ac:dyDescent="0.3">
      <c r="A47" s="169" t="s">
        <v>32</v>
      </c>
      <c r="B47" s="170"/>
      <c r="C47" s="4"/>
      <c r="D47" s="4"/>
      <c r="E47" s="4"/>
      <c r="F47" s="169" t="s">
        <v>32</v>
      </c>
      <c r="G47" s="170"/>
      <c r="H47" s="4"/>
      <c r="I47" s="4"/>
      <c r="J47" s="4"/>
      <c r="K47" s="169" t="s">
        <v>32</v>
      </c>
      <c r="L47" s="170"/>
      <c r="M47" s="4"/>
      <c r="N47" s="4"/>
      <c r="O47" s="5"/>
    </row>
    <row r="48" spans="1:15" x14ac:dyDescent="0.25">
      <c r="A48" s="19" t="s">
        <v>33</v>
      </c>
      <c r="B48" s="23">
        <v>0.95</v>
      </c>
      <c r="C48" s="4"/>
      <c r="D48" s="4"/>
      <c r="E48" s="4"/>
      <c r="F48" s="19" t="s">
        <v>33</v>
      </c>
      <c r="G48" s="23">
        <v>0.95</v>
      </c>
      <c r="H48" s="4"/>
      <c r="I48" s="4"/>
      <c r="J48" s="4"/>
      <c r="K48" s="19" t="s">
        <v>33</v>
      </c>
      <c r="L48" s="23">
        <v>0.95</v>
      </c>
      <c r="M48" s="4"/>
      <c r="N48" s="4"/>
      <c r="O48" s="5"/>
    </row>
    <row r="49" spans="1:15" x14ac:dyDescent="0.25">
      <c r="A49" s="20" t="s">
        <v>34</v>
      </c>
      <c r="B49" s="22">
        <v>0.5</v>
      </c>
      <c r="C49" s="4"/>
      <c r="D49" s="4"/>
      <c r="E49" s="4"/>
      <c r="F49" s="20" t="s">
        <v>34</v>
      </c>
      <c r="G49" s="22">
        <v>0.5</v>
      </c>
      <c r="H49" s="4"/>
      <c r="I49" s="4"/>
      <c r="J49" s="4"/>
      <c r="K49" s="20" t="s">
        <v>34</v>
      </c>
      <c r="L49" s="22">
        <v>0.5</v>
      </c>
      <c r="M49" s="4"/>
      <c r="N49" s="4"/>
      <c r="O49" s="5"/>
    </row>
    <row r="50" spans="1:15" x14ac:dyDescent="0.25">
      <c r="A50" s="20" t="s">
        <v>35</v>
      </c>
      <c r="B50" s="22">
        <v>0.1</v>
      </c>
      <c r="C50" s="4"/>
      <c r="D50" s="4"/>
      <c r="E50" s="4"/>
      <c r="F50" s="20" t="s">
        <v>35</v>
      </c>
      <c r="G50" s="22">
        <v>0.1</v>
      </c>
      <c r="H50" s="4"/>
      <c r="I50" s="4"/>
      <c r="J50" s="4"/>
      <c r="K50" s="20" t="s">
        <v>35</v>
      </c>
      <c r="L50" s="22">
        <v>0.1</v>
      </c>
      <c r="M50" s="4"/>
      <c r="N50" s="4"/>
      <c r="O50" s="5"/>
    </row>
    <row r="51" spans="1:15" ht="15.75" thickBot="1" x14ac:dyDescent="0.3">
      <c r="A51" s="20" t="s">
        <v>36</v>
      </c>
      <c r="B51" s="22">
        <f>NORMINV(1-(1-B48)/2,0,1)</f>
        <v>1.9599639845400536</v>
      </c>
      <c r="C51" s="4"/>
      <c r="D51" s="4"/>
      <c r="E51" s="4"/>
      <c r="F51" s="20" t="s">
        <v>36</v>
      </c>
      <c r="G51" s="22">
        <f>NORMINV(1-(1-G48)/2,0,1)</f>
        <v>1.9599639845400536</v>
      </c>
      <c r="H51" s="4"/>
      <c r="I51" s="4"/>
      <c r="J51" s="4"/>
      <c r="K51" s="20" t="s">
        <v>36</v>
      </c>
      <c r="L51" s="22">
        <f>NORMINV(1-(1-L48)/2,0,1)</f>
        <v>1.9599639845400536</v>
      </c>
      <c r="M51" s="4"/>
      <c r="N51" s="4"/>
      <c r="O51" s="5"/>
    </row>
    <row r="52" spans="1:15" ht="15.75" thickBot="1" x14ac:dyDescent="0.3">
      <c r="A52" s="21" t="s">
        <v>37</v>
      </c>
      <c r="B52" s="37">
        <f>ROUNDUP((B51*B49/B50)^2,0)</f>
        <v>97</v>
      </c>
      <c r="C52" s="4"/>
      <c r="D52" s="4"/>
      <c r="E52" s="4"/>
      <c r="F52" s="21" t="s">
        <v>37</v>
      </c>
      <c r="G52" s="37">
        <f>ROUNDUP((G51*G49/G50)^2,0)</f>
        <v>97</v>
      </c>
      <c r="H52" s="4"/>
      <c r="I52" s="4"/>
      <c r="J52" s="4"/>
      <c r="K52" s="21" t="s">
        <v>37</v>
      </c>
      <c r="L52" s="37">
        <f>ROUNDUP((L51*L49/L50)^2,0)</f>
        <v>97</v>
      </c>
      <c r="M52" s="4"/>
      <c r="N52" s="4"/>
      <c r="O52" s="5"/>
    </row>
    <row r="53" spans="1:15" ht="15.75" thickBot="1" x14ac:dyDescent="0.3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5"/>
    </row>
    <row r="54" spans="1:15" ht="35.25" customHeight="1" thickBot="1" x14ac:dyDescent="0.3">
      <c r="A54" s="160" t="s">
        <v>90</v>
      </c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02"/>
    </row>
    <row r="55" spans="1:15" ht="15.75" thickBot="1" x14ac:dyDescent="0.3">
      <c r="A55" s="2"/>
      <c r="B55" s="4"/>
      <c r="C55" s="4"/>
      <c r="D55" s="4"/>
      <c r="E55" s="4"/>
      <c r="F55" s="4"/>
      <c r="G55" s="4"/>
      <c r="H55" s="4"/>
      <c r="I55" s="4"/>
      <c r="J55" s="4"/>
      <c r="K55" s="38"/>
      <c r="L55" s="38"/>
      <c r="M55" s="38"/>
      <c r="N55" s="41"/>
      <c r="O55" s="2"/>
    </row>
    <row r="56" spans="1:15" ht="18.75" thickBot="1" x14ac:dyDescent="0.4">
      <c r="A56" s="2" t="s">
        <v>40</v>
      </c>
      <c r="B56" s="4" t="s">
        <v>38</v>
      </c>
      <c r="C56" s="4"/>
      <c r="D56" s="4"/>
      <c r="E56" s="4"/>
      <c r="F56" s="4"/>
      <c r="G56" s="4"/>
      <c r="H56" s="4"/>
      <c r="I56" s="4"/>
      <c r="J56" s="4"/>
      <c r="K56" s="47" t="s">
        <v>5</v>
      </c>
      <c r="L56" s="67" t="s">
        <v>81</v>
      </c>
      <c r="M56" s="13"/>
      <c r="N56" s="13" t="s">
        <v>82</v>
      </c>
      <c r="O56" s="2"/>
    </row>
    <row r="57" spans="1:15" ht="18" x14ac:dyDescent="0.35">
      <c r="A57" s="2" t="s">
        <v>41</v>
      </c>
      <c r="B57" s="4" t="s">
        <v>39</v>
      </c>
      <c r="C57" s="4"/>
      <c r="D57" s="4"/>
      <c r="E57" s="4"/>
      <c r="F57" s="4"/>
      <c r="G57" s="4"/>
      <c r="H57" s="4"/>
      <c r="I57" s="4"/>
      <c r="J57" s="4"/>
      <c r="K57" s="53" t="s">
        <v>44</v>
      </c>
      <c r="L57" s="64">
        <f>cal_t_test!D8</f>
        <v>0.61493038289408253</v>
      </c>
      <c r="M57" s="65"/>
      <c r="N57" s="65">
        <f>E10</f>
        <v>0.56231098133277713</v>
      </c>
      <c r="O57" s="2"/>
    </row>
    <row r="58" spans="1:15" x14ac:dyDescent="0.25">
      <c r="A58" s="75"/>
      <c r="B58" s="70"/>
      <c r="C58" s="148"/>
      <c r="D58" s="69"/>
      <c r="E58" s="77" t="s">
        <v>68</v>
      </c>
      <c r="F58" s="112">
        <v>0.95</v>
      </c>
      <c r="G58" s="4"/>
      <c r="H58" s="4"/>
      <c r="I58" s="4"/>
      <c r="J58" s="4"/>
      <c r="K58" s="53" t="s">
        <v>6</v>
      </c>
      <c r="L58" s="64">
        <f>cal_t_test!D9</f>
        <v>0.48661176217578178</v>
      </c>
      <c r="M58" s="65"/>
      <c r="N58" s="65">
        <f>E11</f>
        <v>0.49610214835792266</v>
      </c>
      <c r="O58" s="2"/>
    </row>
    <row r="59" spans="1:15" ht="15.75" thickBot="1" x14ac:dyDescent="0.3">
      <c r="A59" s="103" t="s">
        <v>91</v>
      </c>
      <c r="B59" s="76">
        <f>L58-N58</f>
        <v>-9.4903861821408753E-3</v>
      </c>
      <c r="C59" s="148"/>
      <c r="D59" s="69"/>
      <c r="E59" s="4"/>
      <c r="F59" s="4"/>
      <c r="G59" s="4"/>
      <c r="H59" s="4"/>
      <c r="I59" s="4"/>
      <c r="J59" s="4"/>
      <c r="K59" s="54" t="s">
        <v>43</v>
      </c>
      <c r="L59" s="115">
        <f>cal_t_test!B5-cal_t_test!B2</f>
        <v>32176</v>
      </c>
      <c r="M59" s="116"/>
      <c r="N59" s="116">
        <f>B6-B3</f>
        <v>9589</v>
      </c>
      <c r="O59" s="2"/>
    </row>
    <row r="60" spans="1:15" x14ac:dyDescent="0.25">
      <c r="A60" s="71" t="s">
        <v>59</v>
      </c>
      <c r="B60" s="84" t="s">
        <v>18</v>
      </c>
      <c r="C60" s="84" t="s">
        <v>19</v>
      </c>
      <c r="D60" s="85" t="s">
        <v>66</v>
      </c>
      <c r="E60" s="86" t="s">
        <v>65</v>
      </c>
      <c r="F60" s="92" t="s">
        <v>22</v>
      </c>
      <c r="G60" s="95" t="s">
        <v>87</v>
      </c>
      <c r="H60" s="159" t="s">
        <v>88</v>
      </c>
      <c r="I60" s="159"/>
      <c r="J60" s="96" t="s">
        <v>89</v>
      </c>
      <c r="K60" s="123" t="s">
        <v>60</v>
      </c>
      <c r="L60" s="124">
        <f>L58*L58/L59</f>
        <v>7.3592431342559553E-6</v>
      </c>
      <c r="M60" s="124"/>
      <c r="N60" s="124">
        <f t="shared" ref="N60" si="0">N58*N58/N59</f>
        <v>2.5666632767269403E-5</v>
      </c>
      <c r="O60" s="2"/>
    </row>
    <row r="61" spans="1:15" x14ac:dyDescent="0.25">
      <c r="A61" s="83" t="s">
        <v>20</v>
      </c>
      <c r="B61" s="72" t="s">
        <v>108</v>
      </c>
      <c r="C61" s="144" t="s">
        <v>109</v>
      </c>
      <c r="D61" s="153">
        <f>L64</f>
        <v>10.807689839283453</v>
      </c>
      <c r="E61" s="146">
        <f>L61</f>
        <v>15495</v>
      </c>
      <c r="F61" s="93">
        <f>TDIST(ABS(D61),E61-1,2)</f>
        <v>3.9553444354584156E-27</v>
      </c>
      <c r="G61" s="97" t="str">
        <f>IF(F61&gt;1-$B$68,"No_Rejet","Rejet")</f>
        <v>Rejet</v>
      </c>
      <c r="H61" s="155" t="str">
        <f>IF(B59=0,"Vrais","Fausse")</f>
        <v>Fausse</v>
      </c>
      <c r="I61" s="156"/>
      <c r="J61" s="120" t="str">
        <f>VLOOKUP(E67,$F$67:$G$70,2,FALSE)</f>
        <v>Bonne_décision</v>
      </c>
      <c r="K61" s="125" t="s">
        <v>61</v>
      </c>
      <c r="L61" s="126">
        <f>ROUND((L60+N60)^2/(L60^2/(L59-1)+N60^2/(N59-1)),0)</f>
        <v>15495</v>
      </c>
      <c r="M61" s="126"/>
      <c r="N61" s="126"/>
      <c r="O61" s="2"/>
    </row>
    <row r="62" spans="1:15" x14ac:dyDescent="0.25">
      <c r="A62" s="149" t="s">
        <v>21</v>
      </c>
      <c r="B62" s="72" t="s">
        <v>108</v>
      </c>
      <c r="C62" s="151" t="s">
        <v>111</v>
      </c>
      <c r="D62" s="153"/>
      <c r="E62" s="146"/>
      <c r="F62" s="93">
        <f>IF(D61&lt;=0,TDIST(-D61,E61-1,1),1-TDIST(D61,E61-1,1))</f>
        <v>1</v>
      </c>
      <c r="G62" s="97" t="str">
        <f t="shared" ref="G62:G65" si="1">IF(F62&gt;1-$B$68,"No_Rejet","Rejet")</f>
        <v>No_Rejet</v>
      </c>
      <c r="H62" s="155" t="str">
        <f t="shared" ref="H62:H65" si="2">IF(B60=0,"Vrais","Fausse")</f>
        <v>Fausse</v>
      </c>
      <c r="I62" s="156"/>
      <c r="J62" s="120" t="str">
        <f t="shared" ref="J62:J65" si="3">VLOOKUP(E68,$F$67:$G$70,2,FALSE)</f>
        <v>Erreur_type_II</v>
      </c>
      <c r="K62" s="125" t="s">
        <v>62</v>
      </c>
      <c r="L62" s="127">
        <f>L57-N57</f>
        <v>5.2619401561305401E-2</v>
      </c>
      <c r="M62" s="126"/>
      <c r="N62" s="126"/>
      <c r="O62" s="2"/>
    </row>
    <row r="63" spans="1:15" x14ac:dyDescent="0.25">
      <c r="A63" s="149"/>
      <c r="B63" s="72" t="s">
        <v>110</v>
      </c>
      <c r="C63" s="151"/>
      <c r="D63" s="153"/>
      <c r="E63" s="146"/>
      <c r="F63" s="93">
        <f>F62</f>
        <v>1</v>
      </c>
      <c r="G63" s="97" t="str">
        <f t="shared" si="1"/>
        <v>No_Rejet</v>
      </c>
      <c r="H63" s="155" t="str">
        <f t="shared" si="2"/>
        <v>Fausse</v>
      </c>
      <c r="I63" s="156"/>
      <c r="J63" s="120" t="str">
        <f t="shared" si="3"/>
        <v>Erreur_type_II</v>
      </c>
      <c r="K63" s="128" t="s">
        <v>63</v>
      </c>
      <c r="L63" s="126">
        <f>SQRT(L60+N60)</f>
        <v>5.746814413353311E-3</v>
      </c>
      <c r="M63" s="126"/>
      <c r="N63" s="126"/>
      <c r="O63" s="2"/>
    </row>
    <row r="64" spans="1:15" ht="15.75" thickBot="1" x14ac:dyDescent="0.3">
      <c r="A64" s="149"/>
      <c r="B64" s="72" t="s">
        <v>108</v>
      </c>
      <c r="C64" s="151" t="s">
        <v>110</v>
      </c>
      <c r="D64" s="153"/>
      <c r="E64" s="146"/>
      <c r="F64" s="93">
        <f>IF(D61&gt;=0,TDIST(D61,E61-1,1),1-TDIST(-D61,E61-1,1))</f>
        <v>1.9776722177292078E-27</v>
      </c>
      <c r="G64" s="97" t="str">
        <f t="shared" si="1"/>
        <v>Rejet</v>
      </c>
      <c r="H64" s="155" t="str">
        <f t="shared" si="2"/>
        <v>Fausse</v>
      </c>
      <c r="I64" s="156"/>
      <c r="J64" s="120" t="str">
        <f t="shared" si="3"/>
        <v>Bonne_décision</v>
      </c>
      <c r="K64" s="129" t="s">
        <v>64</v>
      </c>
      <c r="L64" s="130">
        <f>(L62-B59)/L63</f>
        <v>10.807689839283453</v>
      </c>
      <c r="M64" s="130"/>
      <c r="N64" s="130"/>
      <c r="O64" s="2"/>
    </row>
    <row r="65" spans="1:15" ht="15.75" thickBot="1" x14ac:dyDescent="0.3">
      <c r="A65" s="150"/>
      <c r="B65" s="73" t="s">
        <v>111</v>
      </c>
      <c r="C65" s="152"/>
      <c r="D65" s="154"/>
      <c r="E65" s="147"/>
      <c r="F65" s="94">
        <f>F64</f>
        <v>1.9776722177292078E-27</v>
      </c>
      <c r="G65" s="98" t="str">
        <f t="shared" si="1"/>
        <v>Rejet</v>
      </c>
      <c r="H65" s="157" t="str">
        <f t="shared" si="2"/>
        <v>Fausse</v>
      </c>
      <c r="I65" s="158"/>
      <c r="J65" s="139" t="str">
        <f t="shared" si="3"/>
        <v>Bonne_décision</v>
      </c>
      <c r="L65" s="87"/>
      <c r="M65" s="88" t="s">
        <v>71</v>
      </c>
      <c r="N65" s="88" t="s">
        <v>72</v>
      </c>
      <c r="O65" s="101"/>
    </row>
    <row r="66" spans="1:15" ht="15.75" thickBot="1" x14ac:dyDescent="0.3">
      <c r="A66" s="2"/>
      <c r="B66" s="4"/>
      <c r="C66" s="4"/>
      <c r="D66" s="118"/>
      <c r="E66" s="118" t="s">
        <v>99</v>
      </c>
      <c r="F66" s="118" t="s">
        <v>99</v>
      </c>
      <c r="G66" s="118" t="s">
        <v>99</v>
      </c>
      <c r="H66" s="118"/>
      <c r="I66" s="4"/>
      <c r="J66" s="142" t="s">
        <v>92</v>
      </c>
      <c r="K66" s="140">
        <f>cal_t_test!D8+cal_t_test!D14</f>
        <v>0.62012797499769778</v>
      </c>
      <c r="L66" s="89" t="s">
        <v>58</v>
      </c>
      <c r="M66" s="46" t="s">
        <v>73</v>
      </c>
      <c r="N66" s="100" t="s">
        <v>74</v>
      </c>
      <c r="O66" s="2"/>
    </row>
    <row r="67" spans="1:15" ht="15.75" thickBot="1" x14ac:dyDescent="0.3">
      <c r="A67" s="2"/>
      <c r="B67" s="4"/>
      <c r="C67" s="4"/>
      <c r="D67" s="118"/>
      <c r="E67" s="131" t="str">
        <f>CONCATENATE(G61,H61)</f>
        <v>RejetFausse</v>
      </c>
      <c r="F67" s="132" t="s">
        <v>100</v>
      </c>
      <c r="G67" s="133" t="s">
        <v>106</v>
      </c>
      <c r="H67" s="118"/>
      <c r="I67" s="4"/>
      <c r="J67" s="53" t="s">
        <v>93</v>
      </c>
      <c r="K67" s="29">
        <f>G26+G43</f>
        <v>0.57224185293851804</v>
      </c>
      <c r="L67" s="111" t="s">
        <v>76</v>
      </c>
      <c r="M67" s="28" t="s">
        <v>74</v>
      </c>
      <c r="N67" s="38" t="s">
        <v>75</v>
      </c>
      <c r="O67" s="2"/>
    </row>
    <row r="68" spans="1:15" ht="15" customHeight="1" thickBot="1" x14ac:dyDescent="0.3">
      <c r="A68" s="19" t="s">
        <v>10</v>
      </c>
      <c r="B68" s="105">
        <f>F58</f>
        <v>0.95</v>
      </c>
      <c r="C68" s="2"/>
      <c r="D68" s="118"/>
      <c r="E68" s="134" t="str">
        <f t="shared" ref="E68:E70" si="4">CONCATENATE(G62,H62)</f>
        <v>No_RejetFausse</v>
      </c>
      <c r="F68" s="121" t="s">
        <v>101</v>
      </c>
      <c r="G68" s="135" t="s">
        <v>104</v>
      </c>
      <c r="H68" s="118"/>
      <c r="I68" s="4"/>
      <c r="J68" s="53" t="s">
        <v>94</v>
      </c>
      <c r="K68" s="29">
        <f>cal_t_test!D8-cal_t_test!D14</f>
        <v>0.60973279079046727</v>
      </c>
      <c r="L68" s="117"/>
      <c r="M68" s="117"/>
      <c r="N68" s="117"/>
      <c r="O68" s="4"/>
    </row>
    <row r="69" spans="1:15" ht="15.75" customHeight="1" x14ac:dyDescent="0.25">
      <c r="A69" s="19" t="s">
        <v>67</v>
      </c>
      <c r="B69" s="106">
        <f>L63</f>
        <v>5.746814413353311E-3</v>
      </c>
      <c r="C69" s="2"/>
      <c r="D69" s="118"/>
      <c r="E69" s="134" t="str">
        <f t="shared" si="4"/>
        <v>No_RejetFausse</v>
      </c>
      <c r="F69" s="121" t="s">
        <v>102</v>
      </c>
      <c r="G69" s="135" t="s">
        <v>104</v>
      </c>
      <c r="H69" s="118"/>
      <c r="I69" s="4"/>
      <c r="J69" s="53" t="s">
        <v>95</v>
      </c>
      <c r="K69" s="29">
        <f>G26-G43</f>
        <v>0.55238010972703622</v>
      </c>
      <c r="L69" s="118"/>
      <c r="M69" s="38"/>
      <c r="N69" s="118"/>
      <c r="O69" s="4"/>
    </row>
    <row r="70" spans="1:15" ht="15.75" thickBot="1" x14ac:dyDescent="0.3">
      <c r="A70" s="74" t="s">
        <v>25</v>
      </c>
      <c r="B70" s="107">
        <f>TINV(1-F58,E61)</f>
        <v>1.9601170954397766</v>
      </c>
      <c r="C70" s="2"/>
      <c r="D70" s="118"/>
      <c r="E70" s="134" t="str">
        <f t="shared" si="4"/>
        <v>RejetFausse</v>
      </c>
      <c r="F70" s="122" t="s">
        <v>103</v>
      </c>
      <c r="G70" s="135" t="s">
        <v>105</v>
      </c>
      <c r="H70" s="118"/>
      <c r="I70" s="4"/>
      <c r="J70" s="53" t="s">
        <v>96</v>
      </c>
      <c r="K70" s="29">
        <f>K66-K67</f>
        <v>4.7886122059179748E-2</v>
      </c>
      <c r="L70" s="118"/>
      <c r="M70" s="119"/>
      <c r="N70" s="118"/>
      <c r="O70" s="4"/>
    </row>
    <row r="71" spans="1:15" ht="15.75" thickBot="1" x14ac:dyDescent="0.3">
      <c r="A71" s="20" t="s">
        <v>26</v>
      </c>
      <c r="B71" s="108">
        <f>L62</f>
        <v>5.2619401561305401E-2</v>
      </c>
      <c r="C71" s="2"/>
      <c r="D71" s="118"/>
      <c r="E71" s="136" t="str">
        <f>CONCATENATE(G65,H65)</f>
        <v>RejetFausse</v>
      </c>
      <c r="F71" s="137"/>
      <c r="G71" s="138"/>
      <c r="H71" s="118"/>
      <c r="I71" s="4"/>
      <c r="J71" s="54" t="s">
        <v>97</v>
      </c>
      <c r="K71" s="141">
        <f>K68-K69</f>
        <v>5.7352681063431055E-2</v>
      </c>
      <c r="L71" s="118"/>
      <c r="M71" s="119"/>
      <c r="N71" s="118"/>
      <c r="O71" s="4"/>
    </row>
    <row r="72" spans="1:15" ht="17.25" customHeight="1" x14ac:dyDescent="0.25">
      <c r="A72" s="20" t="s">
        <v>27</v>
      </c>
      <c r="B72" s="109">
        <f>B70*B69</f>
        <v>1.1264429175933536E-2</v>
      </c>
      <c r="C72" s="2"/>
      <c r="D72" s="118"/>
      <c r="E72" s="118"/>
      <c r="F72" s="118"/>
      <c r="G72" s="118"/>
      <c r="H72" s="118"/>
      <c r="I72" s="4"/>
      <c r="J72" s="4"/>
      <c r="K72" s="5"/>
      <c r="L72" s="118"/>
      <c r="M72" s="38"/>
      <c r="N72" s="118"/>
      <c r="O72" s="4"/>
    </row>
    <row r="73" spans="1:15" x14ac:dyDescent="0.25">
      <c r="A73" s="20" t="s">
        <v>28</v>
      </c>
      <c r="B73" s="110">
        <f>B71-B72</f>
        <v>4.1354972385371863E-2</v>
      </c>
      <c r="C73" s="2"/>
      <c r="D73" s="118"/>
      <c r="E73" s="118"/>
      <c r="F73" s="118"/>
      <c r="G73" s="118"/>
      <c r="H73" s="118"/>
      <c r="I73" s="4"/>
      <c r="J73" s="4"/>
      <c r="K73" s="5"/>
      <c r="L73" s="118"/>
      <c r="M73" s="118"/>
      <c r="N73" s="118"/>
      <c r="O73" s="4"/>
    </row>
    <row r="74" spans="1:15" ht="15.75" thickBot="1" x14ac:dyDescent="0.3">
      <c r="A74" s="20" t="s">
        <v>29</v>
      </c>
      <c r="B74" s="110">
        <f>B71+B72</f>
        <v>6.3883830737238939E-2</v>
      </c>
      <c r="C74" s="2"/>
      <c r="D74" s="118"/>
      <c r="E74" s="118"/>
      <c r="F74" s="118"/>
      <c r="G74" s="118"/>
      <c r="H74" s="118"/>
      <c r="I74" s="4"/>
      <c r="J74" s="4"/>
      <c r="K74" s="5"/>
      <c r="L74" s="118"/>
      <c r="M74" s="118"/>
      <c r="N74" s="118"/>
      <c r="O74" s="4"/>
    </row>
    <row r="75" spans="1:15" x14ac:dyDescent="0.2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18"/>
      <c r="M75" s="118"/>
      <c r="N75" s="118"/>
      <c r="O75" s="4"/>
    </row>
    <row r="76" spans="1:15" x14ac:dyDescent="0.25">
      <c r="K76" s="4"/>
      <c r="O76" s="4"/>
    </row>
    <row r="77" spans="1:15" x14ac:dyDescent="0.25">
      <c r="K77" s="4"/>
      <c r="O77" s="4"/>
    </row>
  </sheetData>
  <mergeCells count="27">
    <mergeCell ref="H60:I60"/>
    <mergeCell ref="A54:N54"/>
    <mergeCell ref="A1:E1"/>
    <mergeCell ref="A23:O24"/>
    <mergeCell ref="A47:B47"/>
    <mergeCell ref="F38:G38"/>
    <mergeCell ref="F47:G47"/>
    <mergeCell ref="K38:L38"/>
    <mergeCell ref="K47:L47"/>
    <mergeCell ref="F25:G25"/>
    <mergeCell ref="F35:F36"/>
    <mergeCell ref="K25:L25"/>
    <mergeCell ref="K35:K36"/>
    <mergeCell ref="A38:B38"/>
    <mergeCell ref="A35:A36"/>
    <mergeCell ref="A25:B25"/>
    <mergeCell ref="H61:I61"/>
    <mergeCell ref="H62:I62"/>
    <mergeCell ref="H63:I63"/>
    <mergeCell ref="H64:I64"/>
    <mergeCell ref="H65:I65"/>
    <mergeCell ref="E61:E65"/>
    <mergeCell ref="C58:C59"/>
    <mergeCell ref="A62:A65"/>
    <mergeCell ref="C62:C63"/>
    <mergeCell ref="C64:C65"/>
    <mergeCell ref="D61:D65"/>
  </mergeCells>
  <conditionalFormatting sqref="A59">
    <cfRule type="containsText" dxfId="46" priority="22" operator="containsText" text="cas">
      <formula>NOT(ISERROR(SEARCH("cas",A59)))</formula>
    </cfRule>
  </conditionalFormatting>
  <conditionalFormatting sqref="B59">
    <cfRule type="cellIs" dxfId="45" priority="14" operator="lessThan">
      <formula>0</formula>
    </cfRule>
    <cfRule type="cellIs" dxfId="44" priority="15" operator="greaterThan">
      <formula>0</formula>
    </cfRule>
  </conditionalFormatting>
  <conditionalFormatting sqref="F61:F65">
    <cfRule type="cellIs" dxfId="43" priority="10" operator="lessThan">
      <formula>0.5</formula>
    </cfRule>
    <cfRule type="cellIs" dxfId="42" priority="11" operator="greaterThan">
      <formula>0.5</formula>
    </cfRule>
  </conditionalFormatting>
  <conditionalFormatting sqref="B34:B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5">
    <cfRule type="containsText" dxfId="41" priority="5" operator="containsText" text="er">
      <formula>NOT(ISERROR(SEARCH("er",J61)))</formula>
    </cfRule>
    <cfRule type="containsText" dxfId="40" priority="6" operator="containsText" text="bon">
      <formula>NOT(ISERROR(SEARCH("bon",J61)))</formula>
    </cfRule>
  </conditionalFormatting>
  <conditionalFormatting sqref="M66:N67">
    <cfRule type="containsText" dxfId="39" priority="3" operator="containsText" text="bon">
      <formula>NOT(ISERROR(SEARCH("bon",M66)))</formula>
    </cfRule>
    <cfRule type="containsText" dxfId="38" priority="4" operator="containsText" text="err">
      <formula>NOT(ISERROR(SEARCH("err",M66)))</formula>
    </cfRule>
  </conditionalFormatting>
  <conditionalFormatting sqref="K70:K71">
    <cfRule type="cellIs" dxfId="37" priority="2" operator="greaterThan">
      <formula>0</formula>
    </cfRule>
    <cfRule type="cellIs" dxfId="36" priority="1" operator="lessThan">
      <formula>0</formula>
    </cfRule>
  </conditionalFormatting>
  <pageMargins left="0.7" right="0.7" top="0.75" bottom="0.75" header="0.3" footer="0.3"/>
  <pageSetup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5" sqref="B5"/>
    </sheetView>
  </sheetViews>
  <sheetFormatPr baseColWidth="10" defaultRowHeight="15" x14ac:dyDescent="0.25"/>
  <cols>
    <col min="1" max="1" width="21" bestFit="1" customWidth="1"/>
    <col min="2" max="2" width="13.42578125" bestFit="1" customWidth="1"/>
  </cols>
  <sheetData>
    <row r="1" spans="1:11" x14ac:dyDescent="0.25">
      <c r="A1" s="7" t="s">
        <v>12</v>
      </c>
      <c r="B1" t="s">
        <v>3</v>
      </c>
      <c r="I1" s="91" t="s">
        <v>82</v>
      </c>
      <c r="J1" s="91">
        <f>stat_research!G26</f>
        <v>0.56231098133277713</v>
      </c>
      <c r="K1" s="91">
        <f>stat_research!L26</f>
        <v>0.43768901866722287</v>
      </c>
    </row>
    <row r="2" spans="1:11" x14ac:dyDescent="0.25">
      <c r="A2" s="8" t="s">
        <v>0</v>
      </c>
      <c r="B2" s="9">
        <v>2325</v>
      </c>
    </row>
    <row r="3" spans="1:11" x14ac:dyDescent="0.25">
      <c r="A3" s="8" t="s">
        <v>1</v>
      </c>
      <c r="B3" s="9">
        <v>12390</v>
      </c>
      <c r="H3" t="s">
        <v>77</v>
      </c>
      <c r="I3" t="str">
        <f>CONCATENATE(H3,$I$1)</f>
        <v>P=P_I</v>
      </c>
    </row>
    <row r="4" spans="1:11" x14ac:dyDescent="0.25">
      <c r="A4" s="8" t="s">
        <v>2</v>
      </c>
      <c r="B4" s="9">
        <v>19786</v>
      </c>
      <c r="H4" t="s">
        <v>78</v>
      </c>
      <c r="I4" t="str">
        <f t="shared" ref="I4:I8" si="0">CONCATENATE(H4,$I$1)</f>
        <v>P≠P_I</v>
      </c>
    </row>
    <row r="5" spans="1:11" x14ac:dyDescent="0.25">
      <c r="A5" s="8" t="s">
        <v>13</v>
      </c>
      <c r="B5" s="9">
        <v>34501</v>
      </c>
      <c r="H5" t="s">
        <v>79</v>
      </c>
      <c r="I5" t="str">
        <f t="shared" si="0"/>
        <v>P≥P_I</v>
      </c>
    </row>
    <row r="6" spans="1:11" x14ac:dyDescent="0.25">
      <c r="H6" t="s">
        <v>80</v>
      </c>
      <c r="I6" t="str">
        <f t="shared" si="0"/>
        <v>P&lt;P_I</v>
      </c>
    </row>
    <row r="7" spans="1:11" x14ac:dyDescent="0.25">
      <c r="H7" t="s">
        <v>83</v>
      </c>
      <c r="I7" t="str">
        <f t="shared" si="0"/>
        <v>P≤P_I</v>
      </c>
    </row>
    <row r="8" spans="1:11" x14ac:dyDescent="0.25">
      <c r="A8" s="8" t="s">
        <v>14</v>
      </c>
      <c r="B8">
        <f>B2/B5</f>
        <v>6.7389351033303388E-2</v>
      </c>
      <c r="C8" s="8" t="s">
        <v>15</v>
      </c>
      <c r="D8" s="114">
        <f>B4/(B5-B2)</f>
        <v>0.61493038289408253</v>
      </c>
      <c r="E8" t="s">
        <v>23</v>
      </c>
      <c r="F8">
        <f>B3/(B5-B2)</f>
        <v>0.38506961710591747</v>
      </c>
      <c r="H8" t="s">
        <v>84</v>
      </c>
      <c r="I8" t="str">
        <f t="shared" si="0"/>
        <v>P&gt;P_I</v>
      </c>
    </row>
    <row r="9" spans="1:11" x14ac:dyDescent="0.25">
      <c r="A9" s="8" t="s">
        <v>6</v>
      </c>
      <c r="B9">
        <f>SQRT(B8*(1-B8))</f>
        <v>0.25069508651071243</v>
      </c>
      <c r="C9" s="8" t="s">
        <v>6</v>
      </c>
      <c r="D9" s="114">
        <f>SQRT(D8*(1-D8))</f>
        <v>0.48661176217578178</v>
      </c>
      <c r="E9" s="8" t="s">
        <v>6</v>
      </c>
      <c r="F9">
        <f>SQRT(F8*(1-T8))</f>
        <v>0.62053977882639999</v>
      </c>
    </row>
    <row r="10" spans="1:11" x14ac:dyDescent="0.25">
      <c r="A10" s="8" t="s">
        <v>46</v>
      </c>
      <c r="B10">
        <f>TINV(0.95,B5-1)</f>
        <v>6.2707234128588765E-2</v>
      </c>
      <c r="C10" t="s">
        <v>46</v>
      </c>
      <c r="D10" s="114">
        <f>TINV(0.95,B5-1-B2)</f>
        <v>6.2707267093163294E-2</v>
      </c>
      <c r="E10" t="s">
        <v>46</v>
      </c>
      <c r="F10">
        <f>D10</f>
        <v>6.2707267093163294E-2</v>
      </c>
    </row>
    <row r="11" spans="1:11" x14ac:dyDescent="0.25">
      <c r="A11" s="8" t="s">
        <v>47</v>
      </c>
      <c r="B11">
        <f>B9*B10</f>
        <v>1.5720395484714059E-2</v>
      </c>
      <c r="D11" s="114">
        <f>D9*D10</f>
        <v>3.0514093741431603E-2</v>
      </c>
      <c r="F11">
        <f>F9*F10</f>
        <v>3.891235365279954E-2</v>
      </c>
    </row>
    <row r="12" spans="1:11" x14ac:dyDescent="0.25">
      <c r="A12" s="8" t="s">
        <v>56</v>
      </c>
      <c r="B12">
        <f>B9/SQRT(B5)</f>
        <v>1.3496774147222358E-3</v>
      </c>
      <c r="C12" s="8" t="s">
        <v>56</v>
      </c>
      <c r="D12" s="114">
        <f>D9/SQRT(B5)</f>
        <v>2.6197916931203049E-3</v>
      </c>
      <c r="F12">
        <f>F9/SQRT(B5-B2-1)</f>
        <v>3.4594762129009616E-3</v>
      </c>
    </row>
    <row r="13" spans="1:11" x14ac:dyDescent="0.25">
      <c r="A13" s="8"/>
      <c r="B13">
        <f>TINV(1-0.95,100)</f>
        <v>1.98397151852355</v>
      </c>
      <c r="D13" s="114">
        <f>TINV(1-0.95,100)</f>
        <v>1.98397151852355</v>
      </c>
      <c r="F13">
        <f>TINV(1-0.95,B5-B2)</f>
        <v>1.9600377152384287</v>
      </c>
    </row>
    <row r="14" spans="1:11" x14ac:dyDescent="0.25">
      <c r="A14" s="8" t="s">
        <v>57</v>
      </c>
      <c r="B14">
        <f>B13*B12</f>
        <v>2.6777215500034136E-3</v>
      </c>
      <c r="D14" s="114">
        <f>D13*D12</f>
        <v>5.1975921036152735E-3</v>
      </c>
      <c r="F14">
        <f>F13*F12</f>
        <v>6.7807038522560929E-3</v>
      </c>
    </row>
    <row r="15" spans="1:11" x14ac:dyDescent="0.25">
      <c r="A15" s="8"/>
    </row>
    <row r="16" spans="1:11" x14ac:dyDescent="0.25">
      <c r="A16" s="8"/>
      <c r="D16" t="str">
        <f>CONCATENATE(D8,"/",D14)</f>
        <v>0,614930382894083/0,00519759210361527</v>
      </c>
    </row>
    <row r="17" spans="1:3" x14ac:dyDescent="0.25">
      <c r="A17" s="8"/>
    </row>
    <row r="18" spans="1:3" x14ac:dyDescent="0.25">
      <c r="A18" s="8"/>
    </row>
    <row r="19" spans="1:3" x14ac:dyDescent="0.25">
      <c r="A19" s="8"/>
    </row>
    <row r="20" spans="1:3" x14ac:dyDescent="0.25">
      <c r="B20" t="s">
        <v>51</v>
      </c>
      <c r="C20" t="s">
        <v>52</v>
      </c>
    </row>
    <row r="21" spans="1:3" x14ac:dyDescent="0.25">
      <c r="A21" s="8" t="s">
        <v>48</v>
      </c>
      <c r="B21" s="99">
        <f>B8*100</f>
        <v>6.7389351033303386</v>
      </c>
      <c r="C21" s="99">
        <f>stat_research!B42*100</f>
        <v>7.2181906144170291</v>
      </c>
    </row>
    <row r="22" spans="1:3" x14ac:dyDescent="0.25">
      <c r="A22" s="8" t="s">
        <v>49</v>
      </c>
      <c r="B22" s="99">
        <f>(B8+B14)*100</f>
        <v>7.00670725833068</v>
      </c>
      <c r="C22" s="99">
        <f>(stat_research!B45)*100</f>
        <v>7.7171777073003902</v>
      </c>
    </row>
    <row r="23" spans="1:3" x14ac:dyDescent="0.25">
      <c r="A23" s="8" t="s">
        <v>50</v>
      </c>
      <c r="B23" s="99">
        <f>(B8-B14)*100</f>
        <v>6.4711629483299973</v>
      </c>
      <c r="C23" s="99">
        <f>(stat_research!B44)*100</f>
        <v>6.7192035215336681</v>
      </c>
    </row>
    <row r="24" spans="1:3" x14ac:dyDescent="0.25">
      <c r="B24" t="s">
        <v>54</v>
      </c>
      <c r="C24" t="s">
        <v>55</v>
      </c>
    </row>
    <row r="25" spans="1:3" x14ac:dyDescent="0.25">
      <c r="A25" s="8" t="s">
        <v>53</v>
      </c>
      <c r="B25" s="145">
        <f>D8*100</f>
        <v>61.493038289408254</v>
      </c>
      <c r="C25" s="145">
        <f>stat_research!G26*100</f>
        <v>56.231098133277712</v>
      </c>
    </row>
    <row r="26" spans="1:3" x14ac:dyDescent="0.25">
      <c r="A26" s="8" t="s">
        <v>49</v>
      </c>
      <c r="B26" s="145">
        <f>(D8+D14)*100</f>
        <v>62.012797499769775</v>
      </c>
      <c r="C26" s="145">
        <f>stat_research!G45*100</f>
        <v>57.224185293851804</v>
      </c>
    </row>
    <row r="27" spans="1:3" x14ac:dyDescent="0.25">
      <c r="A27" s="8" t="s">
        <v>50</v>
      </c>
      <c r="B27" s="145">
        <f>(D8-D14)*100</f>
        <v>60.973279079046726</v>
      </c>
      <c r="C27" s="145">
        <f>IF(stat_research!G44&gt;0,stat_research!G44*100,0)</f>
        <v>55.23801097270362</v>
      </c>
    </row>
    <row r="28" spans="1:3" x14ac:dyDescent="0.25">
      <c r="B28" t="s">
        <v>69</v>
      </c>
      <c r="C28" t="s">
        <v>70</v>
      </c>
    </row>
    <row r="29" spans="1:3" x14ac:dyDescent="0.25">
      <c r="A29" s="8" t="s">
        <v>23</v>
      </c>
      <c r="B29" s="145">
        <f>F8*100</f>
        <v>38.506961710591746</v>
      </c>
      <c r="C29" s="145">
        <f>stat_research!E17*100</f>
        <v>43.768901866722288</v>
      </c>
    </row>
    <row r="30" spans="1:3" x14ac:dyDescent="0.25">
      <c r="A30" s="8" t="s">
        <v>49</v>
      </c>
      <c r="B30" s="145">
        <f>(F8+F14)*100</f>
        <v>39.185032095817355</v>
      </c>
      <c r="C30" s="145">
        <f>stat_research!L45*100</f>
        <v>44.761937235647551</v>
      </c>
    </row>
    <row r="31" spans="1:3" x14ac:dyDescent="0.25">
      <c r="A31" s="8" t="s">
        <v>50</v>
      </c>
      <c r="B31" s="145">
        <f>(F8-F14)*100</f>
        <v>37.828891325366136</v>
      </c>
      <c r="C31" s="145">
        <f>stat_research!L44*100</f>
        <v>42.775866497797026</v>
      </c>
    </row>
  </sheetData>
  <pageMargins left="0.7" right="0.7" top="0.75" bottom="0.75" header="0.3" footer="0.3"/>
  <pageSetup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a t a _ 2 7 a f 6 d 4 b - d f 2 e - 4 c b d - 8 3 6 b - 4 4 2 7 6 4 e c 8 1 4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4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b _ o b s e r v a t i o n & l t ; / K e y & g t ; & l t ; / D i a g r a m O b j e c t K e y & g t ; & l t ; D i a g r a m O b j e c t K e y & g t ; & l t ; K e y & g t ; M e a s u r e s \ n b _ o b s e r v a t i o n \ T a g I n f o \ F o r m u l e & l t ; / K e y & g t ; & l t ; / D i a g r a m O b j e c t K e y & g t ; & l t ; D i a g r a m O b j e c t K e y & g t ; & l t ; K e y & g t ; M e a s u r e s \ n b _ o b s e r v a t i o n \ T a g I n f o \ V a l e u r & l t ; / K e y & g t ; & l t ; / D i a g r a m O b j e c t K e y & g t ; & l t ; D i a g r a m O b j e c t K e y & g t ; & l t ; K e y & g t ; M e a s u r e s \ n b _ a n n u l e & l t ; / K e y & g t ; & l t ; / D i a g r a m O b j e c t K e y & g t ; & l t ; D i a g r a m O b j e c t K e y & g t ; & l t ; K e y & g t ; M e a s u r e s \ n b _ a n n u l e \ T a g I n f o \ F o r m u l e & l t ; / K e y & g t ; & l t ; / D i a g r a m O b j e c t K e y & g t ; & l t ; D i a g r a m O b j e c t K e y & g t ; & l t ; K e y & g t ; M e a s u r e s \ n b _ a n n u l e \ T a g I n f o \ V a l e u r & l t ; / K e y & g t ; & l t ; / D i a g r a m O b j e c t K e y & g t ; & l t ; D i a g r a m O b j e c t K e y & g t ; & l t ; K e y & g t ; M e a s u r e s \ n b _ r e t a r d & l t ; / K e y & g t ; & l t ; / D i a g r a m O b j e c t K e y & g t ; & l t ; D i a g r a m O b j e c t K e y & g t ; & l t ; K e y & g t ; M e a s u r e s \ n b _ r e t a r d \ T a g I n f o \ F o r m u l e & l t ; / K e y & g t ; & l t ; / D i a g r a m O b j e c t K e y & g t ; & l t ; D i a g r a m O b j e c t K e y & g t ; & l t ; K e y & g t ; M e a s u r e s \ n b _ r e t a r d \ T a g I n f o \ V a l e u r & l t ; / K e y & g t ; & l t ; / D i a g r a m O b j e c t K e y & g t ; & l t ; D i a g r a m O b j e c t K e y & g t ; & l t ; K e y & g t ; M e a s u r e s \ n b _ o n t i m e & l t ; / K e y & g t ; & l t ; / D i a g r a m O b j e c t K e y & g t ; & l t ; D i a g r a m O b j e c t K e y & g t ; & l t ; K e y & g t ; M e a s u r e s \ n b _ o n t i m e \ T a g I n f o \ F o r m u l e & l t ; / K e y & g t ; & l t ; / D i a g r a m O b j e c t K e y & g t ; & l t ; D i a g r a m O b j e c t K e y & g t ; & l t ; K e y & g t ; M e a s u r e s \ n b _ o n t i m e \ T a g I n f o \ V a l e u r & l t ; / K e y & g t ; & l t ; / D i a g r a m O b j e c t K e y & g t ; & l t ; D i a g r a m O b j e c t K e y & g t ; & l t ; K e y & g t ; M e a s u r e s \ S o m m e   d e   N B & l t ; / K e y & g t ; & l t ; / D i a g r a m O b j e c t K e y & g t ; & l t ; D i a g r a m O b j e c t K e y & g t ; & l t ; K e y & g t ; M e a s u r e s \ S o m m e   d e   N B \ T a g I n f o \ F o r m u l e & l t ; / K e y & g t ; & l t ; / D i a g r a m O b j e c t K e y & g t ; & l t ; D i a g r a m O b j e c t K e y & g t ; & l t ; K e y & g t ; M e a s u r e s \ S o m m e   d e   N B \ T a g I n f o \ V a l e u r & l t ; / K e y & g t ; & l t ; / D i a g r a m O b j e c t K e y & g t ; & l t ; D i a g r a m O b j e c t K e y & g t ; & l t ; K e y & g t ; C o l u m n s \ D a t e   p l a n #       _ S c h e d   D a t e & l t ; / K e y & g t ; & l t ; / D i a g r a m O b j e c t K e y & g t ; & l t ; D i a g r a m O b j e c t K e y & g t ; & l t ; K e y & g t ; C o l u m n s \ D a t e   r � e l l e _ A c t   D a t e & l t ; / K e y & g t ; & l t ; / D i a g r a m O b j e c t K e y & g t ; & l t ; D i a g r a m O b j e c t K e y & g t ; & l t ; K e y & g t ; C o l u m n s \ H e u r e   r � e l l e _ A c t   T i m e & l t ; / K e y & g t ; & l t ; / D i a g r a m O b j e c t K e y & g t ; & l t ; D i a g r a m O b j e c t K e y & g t ; & l t ; K e y & g t ; C o l u m n s \ B a r _ G a t e & l t ; / K e y & g t ; & l t ; / D i a g r a m O b j e c t K e y & g t ; & l t ; D i a g r a m O b j e c t K e y & g t ; & l t ; K e y & g t ; C o l u m n s \ S t a t u t _ S t a t u s & l t ; / K e y & g t ; & l t ; / D i a g r a m O b j e c t K e y & g t ; & l t ; D i a g r a m O b j e c t K e y & g t ; & l t ; K e y & g t ; C o l u m n s \ A r r D � p _ A r r D e p & l t ; / K e y & g t ; & l t ; / D i a g r a m O b j e c t K e y & g t ; & l t ; D i a g r a m O b j e c t K e y & g t ; & l t ; K e y & g t ; C o l u m n s \ O r i g     _ D e s t & l t ; / K e y & g t ; & l t ; / D i a g r a m O b j e c t K e y & g t ; & l t ; D i a g r a m O b j e c t K e y & g t ; & l t ; K e y & g t ; C o l u m n s \ J o u r _ r e t a r d & l t ; / K e y & g t ; & l t ; / D i a g r a m O b j e c t K e y & g t ; & l t ; D i a g r a m O b j e c t K e y & g t ; & l t ; K e y & g t ; C o l u m n s \ M i n _ r e t a r d & l t ; / K e y & g t ; & l t ; / D i a g r a m O b j e c t K e y & g t ; & l t ; D i a g r a m O b j e c t K e y & g t ; & l t ; K e y & g t ; C o l u m n s \ h e u r e _ s c h e & l t ; / K e y & g t ; & l t ; / D i a g r a m O b j e c t K e y & g t ; & l t ; D i a g r a m O b j e c t K e y & g t ; & l t ; K e y & g t ; C o l u m n s \ h e u r e _ r e a l & l t ; / K e y & g t ; & l t ; / D i a g r a m O b j e c t K e y & g t ; & l t ; D i a g r a m O b j e c t K e y & g t ; & l t ; K e y & g t ; C o l u m n s \ H o u r _ c l a s s & l t ; / K e y & g t ; & l t ; / D i a g r a m O b j e c t K e y & g t ; & l t ; D i a g r a m O b j e c t K e y & g t ; & l t ; K e y & g t ; C o l u m n s \ w e e k _ d a y & l t ; / K e y & g t ; & l t ; / D i a g r a m O b j e c t K e y & g t ; & l t ; D i a g r a m O b j e c t K e y & g t ; & l t ; K e y & g t ; C o l u m n s \ r e t a r d _ j u d g e & l t ; / K e y & g t ; & l t ; / D i a g r a m O b j e c t K e y & g t ; & l t ; D i a g r a m O b j e c t K e y & g t ; & l t ; K e y & g t ; C o l u m n s \ N B & l t ; / K e y & g t ; & l t ; / D i a g r a m O b j e c t K e y & g t ; & l t ; D i a g r a m O b j e c t K e y & g t ; & l t ; K e y & g t ; L i n k s \ & a m p ; l t ; C o l u m n s \ S o m m e   d e   N B & a m p ; g t ; - & a m p ; l t ; M e a s u r e s \ N B & a m p ; g t ; & l t ; / K e y & g t ; & l t ; / D i a g r a m O b j e c t K e y & g t ; & l t ; D i a g r a m O b j e c t K e y & g t ; & l t ; K e y & g t ; L i n k s \ & a m p ; l t ; C o l u m n s \ S o m m e   d e   N B & a m p ; g t ; - & a m p ; l t ; M e a s u r e s \ N B & a m p ; g t ; \ C O L U M N & l t ; / K e y & g t ; & l t ; / D i a g r a m O b j e c t K e y & g t ; & l t ; D i a g r a m O b j e c t K e y & g t ; & l t ; K e y & g t ; L i n k s \ & a m p ; l t ; C o l u m n s \ S o m m e   d e   N B & a m p ; g t ; - & a m p ; l t ; M e a s u r e s \ N B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3 & l t ; / F o c u s C o l u m n & g t ; & l t ; F o c u s R o w & g t ; 9 & l t ; / F o c u s R o w & g t ; & l t ; S e l e c t i o n E n d C o l u m n & g t ; 3 & l t ; / S e l e c t i o n E n d C o l u m n & g t ; & l t ; S e l e c t i o n E n d R o w & g t ; 9 & l t ; / S e l e c t i o n E n d R o w & g t ; & l t ; S e l e c t i o n S t a r t C o l u m n & g t ; 3 & l t ; / S e l e c t i o n S t a r t C o l u m n & g t ; & l t ; S e l e c t i o n S t a r t R o w & g t ; 9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b s e r v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b s e r v a t i o n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b s e r v a t i o n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a n n u l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a n n u l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a n n u l e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r e t a r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r e t a r d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r e t a r d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n t i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n t i m e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b _ o n t i m e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 N B & l t ; / K e y & g t ; & l t ; / a : K e y & g t ; & l t ; a : V a l u e 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 N B \ T a g I n f o \ F o r m u l e & l t ; / K e y & g t ; & l t ; / a : K e y & g t ; & l t ; a : V a l u e 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 N B \ T a g I n f o \ V a l e u r & l t ; / K e y & g t ; & l t ; / a : K e y & g t ; & l t ; a : V a l u e 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 p l a n #       _ S c h e d  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 r � e l l e _ A c t  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u r e   r � e l l e _ A c t   T i m e & l t ; / K e y & g t ; & l t ; / a : K e y & g t ; & l t ; a : V a l u e 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a r _ G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t _ S t a t u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D � p _ A r r D e p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i g     _ D e s t & l t ; / K e y & g t ; & l t ; / a : K e y & g t ; & l t ; a : V a l u e 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u r _ r e t a r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n _ r e t a r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u r e _ s c h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e u r e _ r e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_ c l a s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d a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r d _ j u d g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B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 N B & a m p ; g t ; - & a m p ; l t ; M e a s u r e s \ N B & a m p ; g t ; & l t ; / K e y & g t ; & l t ; / a : K e y & g t ; & l t ; a : V a l u e 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 N B & a m p ; g t ; - & a m p ; l t ; M e a s u r e s \ N B & a m p ; g t ; \ C O L U M N & l t ; / K e y & g t ; & l t ; / a : K e y & g t ; & l t ; a : V a l u e 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 N B & a m p ; g t ; - & a m p ; l t ; M e a s u r e s \ N B & a m p ; g t ; \ M E A S U R E & l t ; / K e y & g t ; & l t ; / a : K e y & g t ; & l t ; a : V a l u e 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8 2 2 c 3 c f d - 3 8 5 3 - 4 4 e 0 - a 7 3 2 - b b e 1 8 f 0 c a 7 7 4 " > < C u s t o m C o n t e n t > < ! [ C D A T A [ < ? x m l   v e r s i o n = " 1 . 0 "   e n c o d i n g = " u t f - 1 6 " ? > < S e t t i n g s > < C a l c u l a t e d F i e l d s > < i t e m > < M e a s u r e N a m e > n b _ o b s e r v a t i o n < / M e a s u r e N a m e > < D i s p l a y N a m e > n b _ o b s e r v a t i o n < / D i s p l a y N a m e > < V i s i b l e > F a l s e < / V i s i b l e > < / i t e m > < i t e m > < M e a s u r e N a m e > n b _ a n n u l e < / M e a s u r e N a m e > < D i s p l a y N a m e > n b _ a n n u l e < / D i s p l a y N a m e > < V i s i b l e > F a l s e < / V i s i b l e > < / i t e m > < i t e m > < M e a s u r e N a m e > n b _ r e t a r d < / M e a s u r e N a m e > < D i s p l a y N a m e > n b _ r e t a r d < / D i s p l a y N a m e > < V i s i b l e > F a l s e < / V i s i b l e > < / i t e m > < i t e m > < M e a s u r e N a m e > n b _ o n t i m e < / M e a s u r e N a m e > < D i s p l a y N a m e > n b _ o n t i m e 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 c a l _ t _ t e s t < / S l i c e r S h e e t N a m e > < S A H o s t H a s h > 1 2 7 2 5 3 9 2 5 9 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 d a t a _ 2 7 a f 6 d 4 b - d f 2 e - 4 c b d - 8 3 6 b - 4 4 2 7 6 4 e c 8 1 4 5 < / C u s t o m C o n t e n t > < / G e m i n i > 
</file>

<file path=customXml/item17.xml>��< ? x m l   v e r s i o n = " 1 . 0 "   e n c o d i n g = " U T F - 1 6 " ? > < G e m i n i   x m l n s = " h t t p : / / g e m i n i / p i v o t c u s t o m i z a t i o n / f 2 6 3 c b 0 d - 3 a f 0 - 4 5 a 6 - a d c c - 4 7 8 3 9 8 9 7 6 0 6 3 " > < C u s t o m C o n t e n t > < ! [ C D A T A [ < ? x m l   v e r s i o n = " 1 . 0 "   e n c o d i n g = " u t f - 1 6 " ? > < S e t t i n g s > < C a l c u l a t e d F i e l d s > < i t e m > < M e a s u r e N a m e > n b _ o b s e r v a t i o n < / M e a s u r e N a m e > < D i s p l a y N a m e > n b _ o b s e r v a t i o n < / D i s p l a y N a m e > < V i s i b l e > F a l s e < / V i s i b l e > < / i t e m > < i t e m > < M e a s u r e N a m e > n b _ a n n u l e < / M e a s u r e N a m e > < D i s p l a y N a m e > n b _ a n n u l e < / D i s p l a y N a m e > < V i s i b l e > F a l s e < / V i s i b l e > < / i t e m > < i t e m > < M e a s u r e N a m e > n b _ r e t a r d < / M e a s u r e N a m e > < D i s p l a y N a m e > n b _ r e t a r d < / D i s p l a y N a m e > < V i s i b l e > F a l s e < / V i s i b l e > < / i t e m > < i t e m > < M e a s u r e N a m e > n b _ o n t i m e < / M e a s u r e N a m e > < D i s p l a y N a m e > n b _ o n t i m e 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 s t a t _ r e s e a r c h < / S l i c e r S h e e t N a m e > < S A H o s t H a s h > 6 1 5 1 4 9 4 2 1 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d a t a _ 2 7 a f 6 d 4 b - d f 2 e - 4 c b d - 8 3 6 b - 4 4 2 7 6 4 e c 8 1 4 5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 2 0 1 8 - 0 2 - 1 7 T 1 3 : 5 1 : 5 4 . 1 7 1 0 9 3 1 - 0 5 : 0 0 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_ 2 7 a f 6 d 4 b - d f 2 e - 4 c b d - 8 3 6 b - 4 4 2 7 6 4 e c 8 1 4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  p l a n #       _ S c h e d   D a t e < / s t r i n g > < / k e y > < v a l u e > < i n t > 1 8 7 < / i n t > < / v a l u e > < / i t e m > < i t e m > < k e y > < s t r i n g > D a t e   r � e l l e _ A c t   D a t e < / s t r i n g > < / k e y > < v a l u e > < i n t > 1 6 4 < / i n t > < / v a l u e > < / i t e m > < i t e m > < k e y > < s t r i n g > H e u r e   r � e l l e _ A c t   T i m e < / s t r i n g > < / k e y > < v a l u e > < i n t > 1 7 5 < / i n t > < / v a l u e > < / i t e m > < i t e m > < k e y > < s t r i n g > B a r _ G a t e < / s t r i n g > < / k e y > < v a l u e > < i n t > 9 2 < / i n t > < / v a l u e > < / i t e m > < i t e m > < k e y > < s t r i n g > S t a t u t _ S t a t u s < / s t r i n g > < / k e y > < v a l u e > < i n t > 2 0 9 < / i n t > < / v a l u e > < / i t e m > < i t e m > < k e y > < s t r i n g > A r r D � p _ A r r D e p < / s t r i n g > < / k e y > < v a l u e > < i n t > 1 3 1 < / i n t > < / v a l u e > < / i t e m > < i t e m > < k e y > < s t r i n g > O r i g     _ D e s t < / s t r i n g > < / k e y > < v a l u e > < i n t > 1 0 3 < / i n t > < / v a l u e > < / i t e m > < i t e m > < k e y > < s t r i n g > J o u r _ r e t a r d < / s t r i n g > < / k e y > < v a l u e > < i n t > 1 0 7 < / i n t > < / v a l u e > < / i t e m > < i t e m > < k e y > < s t r i n g > M i n _ r e t a r d < / s t r i n g > < / k e y > < v a l u e > < i n t > 1 0 5 < / i n t > < / v a l u e > < / i t e m > < i t e m > < k e y > < s t r i n g > h e u r e _ s c h e < / s t r i n g > < / k e y > < v a l u e > < i n t > 1 0 8 < / i n t > < / v a l u e > < / i t e m > < i t e m > < k e y > < s t r i n g > h e u r e _ r e a l < / s t r i n g > < / k e y > < v a l u e > < i n t > 1 0 4 < / i n t > < / v a l u e > < / i t e m > < i t e m > < k e y > < s t r i n g > H o u r _ c l a s s < / s t r i n g > < / k e y > < v a l u e > < i n t > 1 0 2 < / i n t > < / v a l u e > < / i t e m > < i t e m > < k e y > < s t r i n g > w e e k _ d a y < / s t r i n g > < / k e y > < v a l u e > < i n t > 9 9 < / i n t > < / v a l u e > < / i t e m > < i t e m > < k e y > < s t r i n g > r e t a r d _ j u d g e < / s t r i n g > < / k e y > < v a l u e > < i n t > 1 1 6 < / i n t > < / v a l u e > < / i t e m > < i t e m > < k e y > < s t r i n g > N B < / s t r i n g > < / k e y > < v a l u e > < i n t > 5 4 < / i n t > < / v a l u e > < / i t e m > < / C o l u m n W i d t h s > < C o l u m n D i s p l a y I n d e x > < i t e m > < k e y > < s t r i n g > D a t e   p l a n #       _ S c h e d   D a t e < / s t r i n g > < / k e y > < v a l u e > < i n t > 0 < / i n t > < / v a l u e > < / i t e m > < i t e m > < k e y > < s t r i n g > D a t e   r � e l l e _ A c t   D a t e < / s t r i n g > < / k e y > < v a l u e > < i n t > 1 < / i n t > < / v a l u e > < / i t e m > < i t e m > < k e y > < s t r i n g > H e u r e   r � e l l e _ A c t   T i m e < / s t r i n g > < / k e y > < v a l u e > < i n t > 2 < / i n t > < / v a l u e > < / i t e m > < i t e m > < k e y > < s t r i n g > B a r _ G a t e < / s t r i n g > < / k e y > < v a l u e > < i n t > 3 < / i n t > < / v a l u e > < / i t e m > < i t e m > < k e y > < s t r i n g > S t a t u t _ S t a t u s < / s t r i n g > < / k e y > < v a l u e > < i n t > 4 < / i n t > < / v a l u e > < / i t e m > < i t e m > < k e y > < s t r i n g > A r r D � p _ A r r D e p < / s t r i n g > < / k e y > < v a l u e > < i n t > 5 < / i n t > < / v a l u e > < / i t e m > < i t e m > < k e y > < s t r i n g > O r i g     _ D e s t < / s t r i n g > < / k e y > < v a l u e > < i n t > 6 < / i n t > < / v a l u e > < / i t e m > < i t e m > < k e y > < s t r i n g > J o u r _ r e t a r d < / s t r i n g > < / k e y > < v a l u e > < i n t > 7 < / i n t > < / v a l u e > < / i t e m > < i t e m > < k e y > < s t r i n g > M i n _ r e t a r d < / s t r i n g > < / k e y > < v a l u e > < i n t > 8 < / i n t > < / v a l u e > < / i t e m > < i t e m > < k e y > < s t r i n g > h e u r e _ s c h e < / s t r i n g > < / k e y > < v a l u e > < i n t > 9 < / i n t > < / v a l u e > < / i t e m > < i t e m > < k e y > < s t r i n g > h e u r e _ r e a l < / s t r i n g > < / k e y > < v a l u e > < i n t > 1 0 < / i n t > < / v a l u e > < / i t e m > < i t e m > < k e y > < s t r i n g > H o u r _ c l a s s < / s t r i n g > < / k e y > < v a l u e > < i n t > 1 1 < / i n t > < / v a l u e > < / i t e m > < i t e m > < k e y > < s t r i n g > w e e k _ d a y < / s t r i n g > < / k e y > < v a l u e > < i n t > 1 2 < / i n t > < / v a l u e > < / i t e m > < i t e m > < k e y > < s t r i n g > r e t a r d _ j u d g e < / s t r i n g > < / k e y > < v a l u e > < i n t > 1 3 < / i n t > < / v a l u e > < / i t e m > < i t e m > < k e y > < s t r i n g > N B 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7CCAEAAD-2BC1-446E-BE53-09E89715D038}">
  <ds:schemaRefs/>
</ds:datastoreItem>
</file>

<file path=customXml/itemProps10.xml><?xml version="1.0" encoding="utf-8"?>
<ds:datastoreItem xmlns:ds="http://schemas.openxmlformats.org/officeDocument/2006/customXml" ds:itemID="{91998F87-7FBA-4914-A1A9-3F50F85B9E8A}">
  <ds:schemaRefs/>
</ds:datastoreItem>
</file>

<file path=customXml/itemProps11.xml><?xml version="1.0" encoding="utf-8"?>
<ds:datastoreItem xmlns:ds="http://schemas.openxmlformats.org/officeDocument/2006/customXml" ds:itemID="{CD168612-5916-44AC-81CE-6369AAFC2B3D}">
  <ds:schemaRefs/>
</ds:datastoreItem>
</file>

<file path=customXml/itemProps12.xml><?xml version="1.0" encoding="utf-8"?>
<ds:datastoreItem xmlns:ds="http://schemas.openxmlformats.org/officeDocument/2006/customXml" ds:itemID="{D323E31D-78D8-4BEE-9750-5AE7A927FEE5}">
  <ds:schemaRefs/>
</ds:datastoreItem>
</file>

<file path=customXml/itemProps13.xml><?xml version="1.0" encoding="utf-8"?>
<ds:datastoreItem xmlns:ds="http://schemas.openxmlformats.org/officeDocument/2006/customXml" ds:itemID="{CD4D5177-D724-40E6-8684-48CA48F4C8DC}">
  <ds:schemaRefs/>
</ds:datastoreItem>
</file>

<file path=customXml/itemProps14.xml><?xml version="1.0" encoding="utf-8"?>
<ds:datastoreItem xmlns:ds="http://schemas.openxmlformats.org/officeDocument/2006/customXml" ds:itemID="{E3B47715-3CA9-4C8E-A745-18A576AC6150}">
  <ds:schemaRefs/>
</ds:datastoreItem>
</file>

<file path=customXml/itemProps15.xml><?xml version="1.0" encoding="utf-8"?>
<ds:datastoreItem xmlns:ds="http://schemas.openxmlformats.org/officeDocument/2006/customXml" ds:itemID="{FE46E014-04DF-4CB3-B7DB-36AB3B97218C}">
  <ds:schemaRefs/>
</ds:datastoreItem>
</file>

<file path=customXml/itemProps16.xml><?xml version="1.0" encoding="utf-8"?>
<ds:datastoreItem xmlns:ds="http://schemas.openxmlformats.org/officeDocument/2006/customXml" ds:itemID="{D39FD6CE-1E56-423A-B955-83C9DC43E107}">
  <ds:schemaRefs/>
</ds:datastoreItem>
</file>

<file path=customXml/itemProps17.xml><?xml version="1.0" encoding="utf-8"?>
<ds:datastoreItem xmlns:ds="http://schemas.openxmlformats.org/officeDocument/2006/customXml" ds:itemID="{4FEDF2F9-A056-4B30-8D46-5DE182687964}">
  <ds:schemaRefs/>
</ds:datastoreItem>
</file>

<file path=customXml/itemProps2.xml><?xml version="1.0" encoding="utf-8"?>
<ds:datastoreItem xmlns:ds="http://schemas.openxmlformats.org/officeDocument/2006/customXml" ds:itemID="{0B11095A-ABBA-4581-8C62-4373C1117C49}">
  <ds:schemaRefs/>
</ds:datastoreItem>
</file>

<file path=customXml/itemProps3.xml><?xml version="1.0" encoding="utf-8"?>
<ds:datastoreItem xmlns:ds="http://schemas.openxmlformats.org/officeDocument/2006/customXml" ds:itemID="{776D12F0-7B3E-464F-A411-5A562E606B64}">
  <ds:schemaRefs/>
</ds:datastoreItem>
</file>

<file path=customXml/itemProps4.xml><?xml version="1.0" encoding="utf-8"?>
<ds:datastoreItem xmlns:ds="http://schemas.openxmlformats.org/officeDocument/2006/customXml" ds:itemID="{6BEC2D13-E539-4283-A405-E11778355334}">
  <ds:schemaRefs/>
</ds:datastoreItem>
</file>

<file path=customXml/itemProps5.xml><?xml version="1.0" encoding="utf-8"?>
<ds:datastoreItem xmlns:ds="http://schemas.openxmlformats.org/officeDocument/2006/customXml" ds:itemID="{2681A9E9-1B98-44F2-9652-0E5865C6D6D2}">
  <ds:schemaRefs/>
</ds:datastoreItem>
</file>

<file path=customXml/itemProps6.xml><?xml version="1.0" encoding="utf-8"?>
<ds:datastoreItem xmlns:ds="http://schemas.openxmlformats.org/officeDocument/2006/customXml" ds:itemID="{16556A6C-5DDF-4DFD-80F4-A7E1B947F84D}">
  <ds:schemaRefs/>
</ds:datastoreItem>
</file>

<file path=customXml/itemProps7.xml><?xml version="1.0" encoding="utf-8"?>
<ds:datastoreItem xmlns:ds="http://schemas.openxmlformats.org/officeDocument/2006/customXml" ds:itemID="{0741B3F0-0033-4B63-AF7A-09299C99C62F}">
  <ds:schemaRefs/>
</ds:datastoreItem>
</file>

<file path=customXml/itemProps8.xml><?xml version="1.0" encoding="utf-8"?>
<ds:datastoreItem xmlns:ds="http://schemas.openxmlformats.org/officeDocument/2006/customXml" ds:itemID="{4E7A6650-E9AC-4C48-93DF-FBD9F6B043FF}">
  <ds:schemaRefs/>
</ds:datastoreItem>
</file>

<file path=customXml/itemProps9.xml><?xml version="1.0" encoding="utf-8"?>
<ds:datastoreItem xmlns:ds="http://schemas.openxmlformats.org/officeDocument/2006/customXml" ds:itemID="{A921BA21-F98B-4093-BA12-B935CAA591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stat_research</vt:lpstr>
      <vt:lpstr>cal_t_test</vt:lpstr>
    </vt:vector>
  </TitlesOfParts>
  <Company>EnGlobe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Yunyi Wei</dc:creator>
  <cp:lastModifiedBy>Yunyi Wei</cp:lastModifiedBy>
  <dcterms:created xsi:type="dcterms:W3CDTF">2018-02-15T01:10:16Z</dcterms:created>
  <dcterms:modified xsi:type="dcterms:W3CDTF">2018-03-07T20:24:43Z</dcterms:modified>
</cp:coreProperties>
</file>