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f421\Desktop\Мои лабы\"/>
    </mc:Choice>
  </mc:AlternateContent>
  <xr:revisionPtr revIDLastSave="0" documentId="13_ncr:1_{FBE7EE9C-886C-4BCD-80AF-4EDB22F22CDF}" xr6:coauthVersionLast="47" xr6:coauthVersionMax="47" xr10:uidLastSave="{00000000-0000-0000-0000-000000000000}"/>
  <bookViews>
    <workbookView xWindow="7815" yWindow="1065" windowWidth="23280" windowHeight="12375" activeTab="1" xr2:uid="{00000000-000D-0000-FFFF-FFFF00000000}"/>
  </bookViews>
  <sheets>
    <sheet name="Задание 1" sheetId="5" r:id="rId1"/>
    <sheet name="Лист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7" l="1"/>
  <c r="R9" i="7"/>
  <c r="R10" i="7"/>
  <c r="R18" i="7"/>
  <c r="R19" i="7"/>
  <c r="R20" i="7"/>
  <c r="R14" i="7"/>
  <c r="R5" i="7"/>
  <c r="R6" i="7"/>
  <c r="R7" i="7"/>
  <c r="R15" i="7"/>
  <c r="R16" i="7"/>
  <c r="R17" i="7"/>
  <c r="R4" i="7"/>
  <c r="K17" i="5"/>
  <c r="M17" i="5"/>
  <c r="L17" i="5"/>
  <c r="N17" i="5"/>
  <c r="Q16" i="5" l="1"/>
  <c r="N4" i="5"/>
  <c r="O52" i="7"/>
  <c r="O42" i="7"/>
  <c r="O41" i="7"/>
  <c r="J52" i="7" l="1"/>
  <c r="J42" i="7"/>
  <c r="K52" i="7"/>
  <c r="K42" i="7"/>
  <c r="I52" i="7"/>
  <c r="F52" i="7"/>
  <c r="G52" i="7"/>
  <c r="E52" i="7"/>
  <c r="D58" i="7"/>
  <c r="H58" i="7"/>
  <c r="H52" i="7"/>
  <c r="D52" i="7"/>
  <c r="H57" i="7"/>
  <c r="D57" i="7"/>
  <c r="H56" i="7"/>
  <c r="D56" i="7"/>
  <c r="H55" i="7"/>
  <c r="D55" i="7"/>
  <c r="H54" i="7"/>
  <c r="D54" i="7"/>
  <c r="H53" i="7"/>
  <c r="D53" i="7"/>
  <c r="I42" i="7"/>
  <c r="H43" i="7"/>
  <c r="H44" i="7"/>
  <c r="H45" i="7"/>
  <c r="H46" i="7"/>
  <c r="H47" i="7"/>
  <c r="H48" i="7"/>
  <c r="H42" i="7"/>
  <c r="G42" i="7"/>
  <c r="F42" i="7"/>
  <c r="E42" i="7"/>
  <c r="D43" i="7"/>
  <c r="D44" i="7"/>
  <c r="D45" i="7"/>
  <c r="D46" i="7"/>
  <c r="D47" i="7"/>
  <c r="D48" i="7"/>
  <c r="D42" i="7"/>
  <c r="K4" i="7"/>
  <c r="L4" i="7" s="1"/>
  <c r="K5" i="7"/>
  <c r="L15" i="7"/>
  <c r="L16" i="7"/>
  <c r="L17" i="7"/>
  <c r="L18" i="7"/>
  <c r="L19" i="7"/>
  <c r="L20" i="7"/>
  <c r="L14" i="7"/>
  <c r="K15" i="7"/>
  <c r="K16" i="7"/>
  <c r="K17" i="7"/>
  <c r="K18" i="7"/>
  <c r="K19" i="7"/>
  <c r="K20" i="7"/>
  <c r="K14" i="7"/>
  <c r="L5" i="7"/>
  <c r="L6" i="7"/>
  <c r="L7" i="7"/>
  <c r="L8" i="7"/>
  <c r="L9" i="7"/>
  <c r="L10" i="7"/>
  <c r="K6" i="7"/>
  <c r="K7" i="7"/>
  <c r="K8" i="7"/>
  <c r="K9" i="7"/>
  <c r="K10" i="7"/>
  <c r="K4" i="5"/>
  <c r="O41" i="5"/>
  <c r="O52" i="5"/>
  <c r="N56" i="5" l="1"/>
  <c r="L56" i="5"/>
  <c r="K56" i="5"/>
  <c r="N55" i="5"/>
  <c r="L55" i="5"/>
  <c r="K55" i="5"/>
  <c r="N54" i="5"/>
  <c r="L54" i="5"/>
  <c r="K54" i="5"/>
  <c r="N53" i="5"/>
  <c r="L53" i="5"/>
  <c r="K53" i="5"/>
  <c r="N52" i="5"/>
  <c r="L52" i="5"/>
  <c r="K52" i="5"/>
  <c r="N45" i="5"/>
  <c r="L45" i="5"/>
  <c r="M45" i="5" s="1"/>
  <c r="K45" i="5"/>
  <c r="N44" i="5"/>
  <c r="L44" i="5"/>
  <c r="K44" i="5"/>
  <c r="N43" i="5"/>
  <c r="L43" i="5"/>
  <c r="K43" i="5"/>
  <c r="N42" i="5"/>
  <c r="L42" i="5"/>
  <c r="K42" i="5"/>
  <c r="N41" i="5"/>
  <c r="L41" i="5"/>
  <c r="K41" i="5"/>
  <c r="O21" i="5"/>
  <c r="M21" i="5"/>
  <c r="L21" i="5"/>
  <c r="K21" i="5"/>
  <c r="O20" i="5"/>
  <c r="M20" i="5"/>
  <c r="L20" i="5"/>
  <c r="K20" i="5"/>
  <c r="N20" i="5" s="1"/>
  <c r="O19" i="5"/>
  <c r="M19" i="5"/>
  <c r="L19" i="5"/>
  <c r="K19" i="5"/>
  <c r="O18" i="5"/>
  <c r="M18" i="5"/>
  <c r="L18" i="5"/>
  <c r="N18" i="5" s="1"/>
  <c r="K18" i="5"/>
  <c r="O17" i="5"/>
  <c r="O8" i="5"/>
  <c r="M8" i="5"/>
  <c r="N8" i="5" s="1"/>
  <c r="L8" i="5"/>
  <c r="K8" i="5"/>
  <c r="O7" i="5"/>
  <c r="M7" i="5"/>
  <c r="L7" i="5"/>
  <c r="K7" i="5"/>
  <c r="O6" i="5"/>
  <c r="M6" i="5"/>
  <c r="L6" i="5"/>
  <c r="N6" i="5" s="1"/>
  <c r="K6" i="5"/>
  <c r="O5" i="5"/>
  <c r="R3" i="5" s="1"/>
  <c r="M5" i="5"/>
  <c r="L5" i="5"/>
  <c r="K5" i="5"/>
  <c r="O4" i="5"/>
  <c r="M4" i="5"/>
  <c r="L4" i="5"/>
  <c r="R16" i="5" l="1"/>
  <c r="M43" i="5"/>
  <c r="Q42" i="5" s="1"/>
  <c r="M44" i="5"/>
  <c r="M54" i="5"/>
  <c r="G34" i="5"/>
  <c r="N19" i="5"/>
  <c r="M53" i="5"/>
  <c r="M41" i="5"/>
  <c r="M42" i="5"/>
  <c r="M55" i="5"/>
  <c r="M52" i="5"/>
  <c r="N21" i="5"/>
  <c r="M56" i="5"/>
  <c r="N7" i="5"/>
  <c r="N5" i="5"/>
  <c r="C32" i="5"/>
  <c r="C34" i="5"/>
  <c r="C30" i="5"/>
  <c r="G33" i="5"/>
  <c r="G31" i="5"/>
  <c r="C33" i="5"/>
  <c r="G32" i="5"/>
  <c r="R42" i="5"/>
  <c r="C64" i="5" s="1"/>
  <c r="C31" i="5"/>
  <c r="G30" i="5"/>
  <c r="R53" i="5"/>
  <c r="B62" i="5" l="1"/>
  <c r="B66" i="5"/>
  <c r="R6" i="5"/>
  <c r="R19" i="5"/>
  <c r="Q3" i="5"/>
  <c r="B33" i="5" s="1"/>
  <c r="F30" i="5"/>
  <c r="Q53" i="5"/>
  <c r="F64" i="5" s="1"/>
  <c r="B32" i="5"/>
  <c r="C66" i="5"/>
  <c r="C65" i="5"/>
  <c r="B31" i="5"/>
  <c r="C62" i="5"/>
  <c r="C63" i="5"/>
  <c r="B63" i="5"/>
  <c r="F33" i="5"/>
  <c r="F32" i="5"/>
  <c r="B65" i="5"/>
  <c r="B64" i="5"/>
  <c r="F31" i="5"/>
  <c r="G65" i="5"/>
  <c r="G64" i="5"/>
  <c r="G66" i="5"/>
  <c r="G62" i="5"/>
  <c r="G63" i="5"/>
  <c r="B34" i="5" l="1"/>
  <c r="F62" i="5"/>
  <c r="R56" i="5"/>
  <c r="R45" i="5"/>
  <c r="B30" i="5"/>
  <c r="Q6" i="5" s="1"/>
  <c r="F65" i="5"/>
  <c r="F66" i="5"/>
  <c r="F63" i="5"/>
  <c r="F34" i="5"/>
  <c r="Q19" i="5" s="1"/>
  <c r="Q45" i="5"/>
  <c r="Q56" i="5" l="1"/>
</calcChain>
</file>

<file path=xl/sharedStrings.xml><?xml version="1.0" encoding="utf-8"?>
<sst xmlns="http://schemas.openxmlformats.org/spreadsheetml/2006/main" count="218" uniqueCount="109">
  <si>
    <t>Таблица 3.1</t>
  </si>
  <si>
    <t>№ опыта</t>
  </si>
  <si>
    <t>Состав гирьки</t>
  </si>
  <si>
    <t>m , г</t>
  </si>
  <si>
    <t>v1 , м/с</t>
  </si>
  <si>
    <t>v2 , м/с</t>
  </si>
  <si>
    <t>подвеска</t>
  </si>
  <si>
    <t>подвеска + 1 шайба</t>
  </si>
  <si>
    <t>подвеска + 2 шайбы</t>
  </si>
  <si>
    <t>подвеска + 3 шайбы</t>
  </si>
  <si>
    <t>подвеска + 4 шайбы</t>
  </si>
  <si>
    <t>подвеска + 5 шайб</t>
  </si>
  <si>
    <t>подвеска + 6 шайб</t>
  </si>
  <si>
    <t>Таблица 3.2</t>
  </si>
  <si>
    <t>Таблица 6.1</t>
  </si>
  <si>
    <t>Таблица 6.2</t>
  </si>
  <si>
    <t>таб 4.1</t>
  </si>
  <si>
    <t>No</t>
  </si>
  <si>
    <t>m1, г</t>
  </si>
  <si>
    <t>m2, г</t>
  </si>
  <si>
    <t>v10x, m/c</t>
  </si>
  <si>
    <t>v1x, m/c</t>
  </si>
  <si>
    <t>v2x, m/c</t>
  </si>
  <si>
    <t>p10x,
мН·с</t>
  </si>
  <si>
    <t>p1x,
мН·с</t>
  </si>
  <si>
    <t>p2x,
мН·с</t>
  </si>
  <si>
    <t>δp</t>
  </si>
  <si>
    <t>δw</t>
  </si>
  <si>
    <t>Сред. δp</t>
  </si>
  <si>
    <t>Сред. δw</t>
  </si>
  <si>
    <t>Δδp</t>
  </si>
  <si>
    <t>Δδw</t>
  </si>
  <si>
    <t>таб 4.2</t>
  </si>
  <si>
    <t>Коэф. Стьюдента при a=0,95 и n=5</t>
  </si>
  <si>
    <t>т 4.1</t>
  </si>
  <si>
    <t>т 4.2</t>
  </si>
  <si>
    <t>(δpi -δp)^2</t>
  </si>
  <si>
    <t>(δwi -δw)^2</t>
  </si>
  <si>
    <t>таб 5.1</t>
  </si>
  <si>
    <t>v10, m/c</t>
  </si>
  <si>
    <t>v, m/c</t>
  </si>
  <si>
    <t>p10,
мН·с</t>
  </si>
  <si>
    <t>p1,
мН·с</t>
  </si>
  <si>
    <t>δw (э)</t>
  </si>
  <si>
    <t>δw (Т)</t>
  </si>
  <si>
    <t>Сред. δw(э)</t>
  </si>
  <si>
    <t>таб 5.2</t>
  </si>
  <si>
    <t>т 5.1</t>
  </si>
  <si>
    <t>т 5.2</t>
  </si>
  <si>
    <t>Δδw (э)</t>
  </si>
  <si>
    <t>-0,11±0,01</t>
  </si>
  <si>
    <t>-0,1±0,01</t>
  </si>
  <si>
    <t>-0,08±0,01</t>
  </si>
  <si>
    <t>-0,35±0,02</t>
  </si>
  <si>
    <t>-0,34±0,02</t>
  </si>
  <si>
    <t>-0,32±0,02</t>
  </si>
  <si>
    <t>Таблица 4.1</t>
  </si>
  <si>
    <t>Таблица 4.2</t>
  </si>
  <si>
    <t>0,2±0,09</t>
  </si>
  <si>
    <t>0,17±0,09</t>
  </si>
  <si>
    <t>0,24±0,09</t>
  </si>
  <si>
    <t>0,09±0,09</t>
  </si>
  <si>
    <t>0,08±0,09</t>
  </si>
  <si>
    <t>-0,43±0,09</t>
  </si>
  <si>
    <t>-0,51±0,09</t>
  </si>
  <si>
    <t>-0,44±0,09</t>
  </si>
  <si>
    <t>-0,57±0,09</t>
  </si>
  <si>
    <t>-0,58±0,09</t>
  </si>
  <si>
    <t>Таблица 5.1</t>
  </si>
  <si>
    <t>-0,82±0,14</t>
  </si>
  <si>
    <t>-0,76±0,14</t>
  </si>
  <si>
    <t>-0,79±0,14</t>
  </si>
  <si>
    <t>-0,77±0,14</t>
  </si>
  <si>
    <t>-0,91±0,14</t>
  </si>
  <si>
    <t>-0,51±0,08</t>
  </si>
  <si>
    <t>Таблица 5.2</t>
  </si>
  <si>
    <t>-0,94±0,2</t>
  </si>
  <si>
    <t>-0,76±0,2</t>
  </si>
  <si>
    <t>-0,87±0,2</t>
  </si>
  <si>
    <t>-0,91±0,2</t>
  </si>
  <si>
    <t>-0,67±0,08</t>
  </si>
  <si>
    <t>Таблица 2.2</t>
  </si>
  <si>
    <t>Таблица 2.1</t>
  </si>
  <si>
    <t>Таблица 1.2</t>
  </si>
  <si>
    <t>Таблица 1.1</t>
  </si>
  <si>
    <t>m, г</t>
  </si>
  <si>
    <t>T, мН</t>
  </si>
  <si>
    <t>a, м/с2</t>
  </si>
  <si>
    <t>Вес тележки (M1), г</t>
  </si>
  <si>
    <t>Вес тележки (M2), г</t>
  </si>
  <si>
    <t>М1 методом наименьших квадратов и Fтр</t>
  </si>
  <si>
    <t>a*T</t>
  </si>
  <si>
    <t>∑a*T</t>
  </si>
  <si>
    <t>∑a</t>
  </si>
  <si>
    <t>∑T</t>
  </si>
  <si>
    <t>a^2</t>
  </si>
  <si>
    <t>∑a^2</t>
  </si>
  <si>
    <t>△М1</t>
  </si>
  <si>
    <t>F тр</t>
  </si>
  <si>
    <t>Т 6.1</t>
  </si>
  <si>
    <t>Т 6.2</t>
  </si>
  <si>
    <t xml:space="preserve"> ∂</t>
  </si>
  <si>
    <t>Абс. Погрешность</t>
  </si>
  <si>
    <t>М1</t>
  </si>
  <si>
    <t>М2</t>
  </si>
  <si>
    <t>Fтр</t>
  </si>
  <si>
    <t>M</t>
  </si>
  <si>
    <t>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</si>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</sst>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7" xfId="0" applyFont="1" applyFill="1" applyBorder="1"/>
    <xf numFmtId="0" fontId="0" fillId="2" borderId="8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4" xfId="0" quotePrefix="1" applyFill="1" applyBorder="1" applyAlignment="1">
      <alignment horizontal="center"/>
    </xf>
    <xf numFmtId="0" fontId="0" fillId="3" borderId="17" xfId="0" quotePrefix="1" applyFill="1" applyBorder="1" applyAlignment="1">
      <alignment horizontal="center"/>
    </xf>
    <xf numFmtId="0" fontId="0" fillId="3" borderId="18" xfId="0" quotePrefix="1" applyFill="1" applyBorder="1" applyAlignment="1">
      <alignment horizontal="center"/>
    </xf>
    <xf numFmtId="0" fontId="0" fillId="3" borderId="17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left"/>
    </xf>
    <xf numFmtId="10" fontId="0" fillId="0" borderId="1" xfId="1" applyNumberFormat="1" applyFont="1" applyBorder="1" applyAlignment="1">
      <alignment horizontal="left"/>
    </xf>
    <xf numFmtId="0" fontId="0" fillId="0" borderId="0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3" borderId="14" xfId="0" quotePrefix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T(a)</a:t>
            </a:r>
            <a:r>
              <a:rPr lang="ru-RU"/>
              <a:t> 6.1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Лист2!$L$3</c:f>
              <c:strCache>
                <c:ptCount val="1"/>
                <c:pt idx="0">
                  <c:v>T, мН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Лист2!$Q$4:$Q$10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Лист2!$R$4:$R$10</c:f>
              <c:numCache>
                <c:formatCode>General</c:formatCode>
                <c:ptCount val="7"/>
                <c:pt idx="0">
                  <c:v>19.440000000000001</c:v>
                </c:pt>
                <c:pt idx="1">
                  <c:v>28.730000000000004</c:v>
                </c:pt>
                <c:pt idx="2">
                  <c:v>38.020000000000003</c:v>
                </c:pt>
                <c:pt idx="3">
                  <c:v>47.31</c:v>
                </c:pt>
                <c:pt idx="4">
                  <c:v>56.6</c:v>
                </c:pt>
                <c:pt idx="5">
                  <c:v>65.89</c:v>
                </c:pt>
                <c:pt idx="6">
                  <c:v>75.180000000000007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F-4177-94DF-537C5E55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50143"/>
        <c:axId val="548346815"/>
        <c:extLst/>
      </c:scatterChart>
      <c:valAx>
        <c:axId val="5483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 m/c^2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346815"/>
        <c:crosses val="autoZero"/>
        <c:crossBetween val="midCat"/>
      </c:valAx>
      <c:valAx>
        <c:axId val="5483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мН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3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T(a</a:t>
            </a:r>
            <a:r>
              <a:rPr lang="ru-RU"/>
              <a:t>) 6.2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Лист2!$L$13</c:f>
              <c:strCache>
                <c:ptCount val="1"/>
                <c:pt idx="0">
                  <c:v>T, мН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Лист2!$Q$14:$Q$20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Лист2!$R$14:$R$20</c:f>
              <c:numCache>
                <c:formatCode>General</c:formatCode>
                <c:ptCount val="7"/>
                <c:pt idx="0">
                  <c:v>28.398</c:v>
                </c:pt>
                <c:pt idx="1">
                  <c:v>46.835999999999999</c:v>
                </c:pt>
                <c:pt idx="2">
                  <c:v>65.274000000000001</c:v>
                </c:pt>
                <c:pt idx="3">
                  <c:v>83.711999999999989</c:v>
                </c:pt>
                <c:pt idx="4">
                  <c:v>102.15</c:v>
                </c:pt>
                <c:pt idx="5">
                  <c:v>120.58799999999999</c:v>
                </c:pt>
                <c:pt idx="6">
                  <c:v>139.02600000000001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1-4DF0-A7F6-DF4A21B0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15423"/>
        <c:axId val="613415839"/>
      </c:scatterChart>
      <c:valAx>
        <c:axId val="6134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а, м</a:t>
                </a:r>
                <a:r>
                  <a:rPr lang="en-US"/>
                  <a:t>/</a:t>
                </a:r>
                <a:r>
                  <a:rPr lang="ru-RU"/>
                  <a:t>с</a:t>
                </a:r>
                <a:r>
                  <a:rPr lang="en-US"/>
                  <a:t>^</a:t>
                </a:r>
                <a:r>
                  <a:rPr lang="ru-RU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415839"/>
        <c:crosses val="autoZero"/>
        <c:crossBetween val="midCat"/>
      </c:valAx>
      <c:valAx>
        <c:axId val="6134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 мН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41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533399</xdr:colOff>
      <xdr:row>1</xdr:row>
      <xdr:rowOff>95251</xdr:rowOff>
    </xdr:from>
    <xdr:to>
      <xdr:col>27</xdr:col>
      <xdr:colOff>28574</xdr:colOff>
      <xdr:row>16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F5952B-11F8-A064-047B-A3BB9544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609599</xdr:colOff>
      <xdr:row>17</xdr:row>
      <xdr:rowOff>176211</xdr:rowOff>
    </xdr:from>
    <xdr:to>
      <xdr:col>27</xdr:col>
      <xdr:colOff>9524</xdr:colOff>
      <xdr:row>34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1397E5-6663-A8A1-41A2-5BF3F18C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852-D414-413A-9C88-59E7AA5B3BE0}">
  <dimension ref="A1:AR66"/>
  <sheetViews>
    <sheetView topLeftCell="A4" zoomScale="70" zoomScaleNormal="70" workbookViewId="0">
      <selection activeCell="AI33" sqref="AI33"/>
    </sheetView>
  </sheetViews>
  <sheetFormatPr defaultRowHeight="15" x14ac:dyDescent="0.25"/>
  <cols>
    <col min="25" max="25" width="11" customWidth="1"/>
    <col min="26" max="26" width="11.28515625" customWidth="1"/>
  </cols>
  <sheetData>
    <row r="1" spans="1:44" ht="19.5" thickBot="1" x14ac:dyDescent="0.35">
      <c r="A1" s="71" t="s">
        <v>84</v>
      </c>
      <c r="B1" s="72"/>
      <c r="C1" s="72"/>
      <c r="D1" s="72"/>
      <c r="E1" s="72"/>
      <c r="F1" s="73"/>
      <c r="J1" t="s">
        <v>16</v>
      </c>
      <c r="T1" s="71" t="s">
        <v>56</v>
      </c>
      <c r="U1" s="72"/>
      <c r="V1" s="72"/>
      <c r="W1" s="72"/>
      <c r="X1" s="72"/>
      <c r="Y1" s="73"/>
    </row>
    <row r="2" spans="1:44" ht="30" x14ac:dyDescent="0.25">
      <c r="A2" s="25" t="s">
        <v>17</v>
      </c>
      <c r="B2" s="26" t="s">
        <v>18</v>
      </c>
      <c r="C2" s="26" t="s">
        <v>19</v>
      </c>
      <c r="D2" s="26" t="s">
        <v>20</v>
      </c>
      <c r="E2" s="27" t="s">
        <v>21</v>
      </c>
      <c r="F2" s="28" t="s">
        <v>22</v>
      </c>
      <c r="J2" s="50" t="s">
        <v>17</v>
      </c>
      <c r="K2" s="62" t="s">
        <v>23</v>
      </c>
      <c r="L2" s="63" t="s">
        <v>24</v>
      </c>
      <c r="M2" s="62" t="s">
        <v>25</v>
      </c>
      <c r="N2" s="50" t="s">
        <v>26</v>
      </c>
      <c r="O2" s="50" t="s">
        <v>27</v>
      </c>
      <c r="Q2" s="2" t="s">
        <v>28</v>
      </c>
      <c r="R2" s="2" t="s">
        <v>29</v>
      </c>
      <c r="T2" s="65" t="s">
        <v>17</v>
      </c>
      <c r="U2" s="67" t="s">
        <v>23</v>
      </c>
      <c r="V2" s="80" t="s">
        <v>24</v>
      </c>
      <c r="W2" s="67" t="s">
        <v>25</v>
      </c>
      <c r="X2" s="68" t="s">
        <v>26</v>
      </c>
      <c r="Y2" s="69" t="s">
        <v>27</v>
      </c>
    </row>
    <row r="3" spans="1:44" x14ac:dyDescent="0.25">
      <c r="A3" s="29">
        <v>1</v>
      </c>
      <c r="B3" s="50">
        <v>48.5</v>
      </c>
      <c r="C3" s="50">
        <v>51.5</v>
      </c>
      <c r="D3" s="14">
        <v>0.77</v>
      </c>
      <c r="E3" s="14">
        <v>0.05</v>
      </c>
      <c r="F3" s="30">
        <v>0.6</v>
      </c>
      <c r="J3" s="50"/>
      <c r="K3" s="50"/>
      <c r="L3" s="64"/>
      <c r="M3" s="50"/>
      <c r="N3" s="50"/>
      <c r="O3" s="50"/>
      <c r="Q3" s="2">
        <f>AVERAGE(N4:N8)</f>
        <v>-9.8000000000000018E-2</v>
      </c>
      <c r="R3" s="2">
        <f>AVERAGE(O4:O8)</f>
        <v>-0.33400000000000002</v>
      </c>
      <c r="T3" s="66"/>
      <c r="U3" s="50"/>
      <c r="V3" s="64"/>
      <c r="W3" s="50"/>
      <c r="X3" s="50"/>
      <c r="Y3" s="70"/>
    </row>
    <row r="4" spans="1:44" x14ac:dyDescent="0.25">
      <c r="A4" s="34">
        <v>2</v>
      </c>
      <c r="B4" s="50"/>
      <c r="C4" s="50"/>
      <c r="D4" s="15">
        <v>0.74</v>
      </c>
      <c r="E4" s="14">
        <v>0.05</v>
      </c>
      <c r="F4" s="35">
        <v>0.57999999999999996</v>
      </c>
      <c r="J4" s="1">
        <v>1</v>
      </c>
      <c r="K4" s="1">
        <f>$B$3*D3</f>
        <v>37.344999999999999</v>
      </c>
      <c r="L4" s="1">
        <f>$B$3*E3</f>
        <v>2.4250000000000003</v>
      </c>
      <c r="M4" s="1">
        <f>$C$3*F3</f>
        <v>30.9</v>
      </c>
      <c r="N4" s="18">
        <f>ROUND(((L4+M4)/K4)-1,2)</f>
        <v>-0.11</v>
      </c>
      <c r="O4" s="18">
        <f>ROUND(((($B$3*E3*E3+$C$3*F3*F3)/($B$3*D3*D3))-1),2)</f>
        <v>-0.35</v>
      </c>
      <c r="T4" s="34">
        <v>1</v>
      </c>
      <c r="U4" s="15">
        <v>37.344999999999999</v>
      </c>
      <c r="V4" s="15">
        <v>2.4249999999999998</v>
      </c>
      <c r="W4" s="15">
        <v>30.9</v>
      </c>
      <c r="X4" s="19" t="s">
        <v>50</v>
      </c>
      <c r="Y4" s="39" t="s">
        <v>53</v>
      </c>
    </row>
    <row r="5" spans="1:44" x14ac:dyDescent="0.25">
      <c r="A5" s="34">
        <v>3</v>
      </c>
      <c r="B5" s="50"/>
      <c r="C5" s="50"/>
      <c r="D5" s="15">
        <v>0.75</v>
      </c>
      <c r="E5" s="14">
        <v>0.05</v>
      </c>
      <c r="F5" s="35">
        <v>0.59</v>
      </c>
      <c r="J5" s="1">
        <v>2</v>
      </c>
      <c r="K5" s="1">
        <f t="shared" ref="K5:L8" si="0">$B$3*D4</f>
        <v>35.89</v>
      </c>
      <c r="L5" s="1">
        <f t="shared" si="0"/>
        <v>2.4250000000000003</v>
      </c>
      <c r="M5" s="1">
        <f>$C$3*F4</f>
        <v>29.869999999999997</v>
      </c>
      <c r="N5" s="18">
        <f t="shared" ref="N5:N8" si="1">ROUND(((L5+M5)/K5)-1,2)</f>
        <v>-0.1</v>
      </c>
      <c r="O5" s="18">
        <f t="shared" ref="O5:O8" si="2">ROUND(((($B$3*E4*E4+$C$3*F4*F4)/($B$3*D4*D4))-1),2)</f>
        <v>-0.34</v>
      </c>
      <c r="Q5" s="2" t="s">
        <v>30</v>
      </c>
      <c r="R5" s="2" t="s">
        <v>31</v>
      </c>
      <c r="T5" s="34">
        <v>2</v>
      </c>
      <c r="U5" s="16">
        <v>35.89</v>
      </c>
      <c r="V5" s="15">
        <v>2.4249999999999998</v>
      </c>
      <c r="W5" s="15">
        <v>29.87</v>
      </c>
      <c r="X5" s="19" t="s">
        <v>51</v>
      </c>
      <c r="Y5" s="39" t="s">
        <v>54</v>
      </c>
    </row>
    <row r="6" spans="1:44" x14ac:dyDescent="0.25">
      <c r="A6" s="34">
        <v>4</v>
      </c>
      <c r="B6" s="50"/>
      <c r="C6" s="50"/>
      <c r="D6" s="15">
        <v>0.75</v>
      </c>
      <c r="E6" s="14">
        <v>0.05</v>
      </c>
      <c r="F6" s="35">
        <v>0.6</v>
      </c>
      <c r="J6" s="1">
        <v>3</v>
      </c>
      <c r="K6" s="1">
        <f t="shared" si="0"/>
        <v>36.375</v>
      </c>
      <c r="L6" s="1">
        <f t="shared" si="0"/>
        <v>2.4250000000000003</v>
      </c>
      <c r="M6" s="1">
        <f>$C$3*F5</f>
        <v>30.384999999999998</v>
      </c>
      <c r="N6" s="18">
        <f t="shared" si="1"/>
        <v>-0.1</v>
      </c>
      <c r="O6" s="18">
        <f t="shared" si="2"/>
        <v>-0.34</v>
      </c>
      <c r="Q6" s="17">
        <f>ROUND(E25*SQRT((SUM(B30:B34)/(5*4))),2)</f>
        <v>0.01</v>
      </c>
      <c r="R6" s="17">
        <f>ROUND(E25*SQRT((SUM(C30:C34)/(5*4))),2)</f>
        <v>0.02</v>
      </c>
      <c r="T6" s="34">
        <v>3</v>
      </c>
      <c r="U6" s="15">
        <v>36.375</v>
      </c>
      <c r="V6" s="15">
        <v>2.4249999999999998</v>
      </c>
      <c r="W6" s="15">
        <v>30.385000000000002</v>
      </c>
      <c r="X6" s="19" t="s">
        <v>51</v>
      </c>
      <c r="Y6" s="39" t="s">
        <v>54</v>
      </c>
    </row>
    <row r="7" spans="1:44" ht="15.75" thickBot="1" x14ac:dyDescent="0.3">
      <c r="A7" s="36">
        <v>5</v>
      </c>
      <c r="B7" s="51"/>
      <c r="C7" s="51"/>
      <c r="D7" s="37">
        <v>0.74</v>
      </c>
      <c r="E7" s="37">
        <v>0.04</v>
      </c>
      <c r="F7" s="38">
        <v>0.59</v>
      </c>
      <c r="J7" s="1">
        <v>4</v>
      </c>
      <c r="K7" s="1">
        <f t="shared" si="0"/>
        <v>36.375</v>
      </c>
      <c r="L7" s="1">
        <f t="shared" si="0"/>
        <v>2.4250000000000003</v>
      </c>
      <c r="M7" s="1">
        <f>$C$3*F6</f>
        <v>30.9</v>
      </c>
      <c r="N7" s="18">
        <f t="shared" si="1"/>
        <v>-0.08</v>
      </c>
      <c r="O7" s="18">
        <f t="shared" si="2"/>
        <v>-0.32</v>
      </c>
      <c r="T7" s="34">
        <v>4</v>
      </c>
      <c r="U7" s="15">
        <v>36.375</v>
      </c>
      <c r="V7" s="15">
        <v>2.4249999999999998</v>
      </c>
      <c r="W7" s="15">
        <v>30.9</v>
      </c>
      <c r="X7" s="19" t="s">
        <v>52</v>
      </c>
      <c r="Y7" s="39" t="s">
        <v>55</v>
      </c>
    </row>
    <row r="8" spans="1:44" ht="15.75" thickBot="1" x14ac:dyDescent="0.3">
      <c r="A8" s="6"/>
      <c r="B8" s="6"/>
      <c r="C8" s="6"/>
      <c r="D8" s="6"/>
      <c r="E8" s="6"/>
      <c r="F8" s="6"/>
      <c r="J8" s="1">
        <v>5</v>
      </c>
      <c r="K8" s="1">
        <f t="shared" si="0"/>
        <v>35.89</v>
      </c>
      <c r="L8" s="1">
        <f t="shared" si="0"/>
        <v>1.94</v>
      </c>
      <c r="M8" s="1">
        <f>$C$3*F7</f>
        <v>30.384999999999998</v>
      </c>
      <c r="N8" s="18">
        <f t="shared" si="1"/>
        <v>-0.1</v>
      </c>
      <c r="O8" s="18">
        <f t="shared" si="2"/>
        <v>-0.32</v>
      </c>
      <c r="T8" s="36">
        <v>5</v>
      </c>
      <c r="U8" s="37">
        <v>35.89</v>
      </c>
      <c r="V8" s="37">
        <v>1.94</v>
      </c>
      <c r="W8" s="37">
        <v>30.385000000000002</v>
      </c>
      <c r="X8" s="40" t="s">
        <v>51</v>
      </c>
      <c r="Y8" s="41" t="s">
        <v>55</v>
      </c>
    </row>
    <row r="9" spans="1:44" x14ac:dyDescent="0.25"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5"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5"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5"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5.75" thickBot="1" x14ac:dyDescent="0.3"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9.5" thickBot="1" x14ac:dyDescent="0.35">
      <c r="A14" s="71" t="s">
        <v>83</v>
      </c>
      <c r="B14" s="72"/>
      <c r="C14" s="72"/>
      <c r="D14" s="72"/>
      <c r="E14" s="72"/>
      <c r="F14" s="73"/>
      <c r="J14" t="s">
        <v>32</v>
      </c>
      <c r="T14" s="71" t="s">
        <v>57</v>
      </c>
      <c r="U14" s="72"/>
      <c r="V14" s="72"/>
      <c r="W14" s="72"/>
      <c r="X14" s="72"/>
      <c r="Y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3"/>
    </row>
    <row r="15" spans="1:44" ht="30" x14ac:dyDescent="0.25">
      <c r="A15" s="25" t="s">
        <v>17</v>
      </c>
      <c r="B15" s="26" t="s">
        <v>18</v>
      </c>
      <c r="C15" s="26" t="s">
        <v>19</v>
      </c>
      <c r="D15" s="26" t="s">
        <v>20</v>
      </c>
      <c r="E15" s="27" t="s">
        <v>21</v>
      </c>
      <c r="F15" s="28" t="s">
        <v>22</v>
      </c>
      <c r="J15" s="50" t="s">
        <v>17</v>
      </c>
      <c r="K15" s="62" t="s">
        <v>23</v>
      </c>
      <c r="L15" s="63" t="s">
        <v>24</v>
      </c>
      <c r="M15" s="62" t="s">
        <v>25</v>
      </c>
      <c r="N15" s="50" t="s">
        <v>26</v>
      </c>
      <c r="O15" s="50" t="s">
        <v>27</v>
      </c>
      <c r="Q15" s="2" t="s">
        <v>28</v>
      </c>
      <c r="R15" s="2" t="s">
        <v>29</v>
      </c>
      <c r="T15" s="65" t="s">
        <v>17</v>
      </c>
      <c r="U15" s="67" t="s">
        <v>23</v>
      </c>
      <c r="V15" s="80" t="s">
        <v>24</v>
      </c>
      <c r="W15" s="67" t="s">
        <v>25</v>
      </c>
      <c r="X15" s="68" t="s">
        <v>26</v>
      </c>
      <c r="Y15" s="69" t="s">
        <v>27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3"/>
    </row>
    <row r="16" spans="1:44" x14ac:dyDescent="0.25">
      <c r="A16" s="29">
        <v>1</v>
      </c>
      <c r="B16" s="57">
        <v>48.5</v>
      </c>
      <c r="C16" s="57">
        <v>103.1</v>
      </c>
      <c r="D16" s="14">
        <v>0.74</v>
      </c>
      <c r="E16" s="14">
        <v>0.08</v>
      </c>
      <c r="F16" s="30">
        <v>0.38</v>
      </c>
      <c r="J16" s="50"/>
      <c r="K16" s="50"/>
      <c r="L16" s="64"/>
      <c r="M16" s="50"/>
      <c r="N16" s="50"/>
      <c r="O16" s="50"/>
      <c r="Q16" s="2">
        <f>AVERAGE(N17:N21)</f>
        <v>0.15599999999999997</v>
      </c>
      <c r="R16" s="2">
        <f>AVERAGE(O17:O21)</f>
        <v>-0.50600000000000001</v>
      </c>
      <c r="T16" s="66"/>
      <c r="U16" s="50"/>
      <c r="V16" s="64"/>
      <c r="W16" s="50"/>
      <c r="X16" s="50"/>
      <c r="Y16" s="70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3"/>
    </row>
    <row r="17" spans="1:44" x14ac:dyDescent="0.25">
      <c r="A17" s="29">
        <v>2</v>
      </c>
      <c r="B17" s="58"/>
      <c r="C17" s="58"/>
      <c r="D17" s="14">
        <v>0.73</v>
      </c>
      <c r="E17" s="14">
        <v>0.13</v>
      </c>
      <c r="F17" s="30">
        <v>0.34</v>
      </c>
      <c r="J17" s="1">
        <v>1</v>
      </c>
      <c r="K17" s="1">
        <f>$B$16*D16</f>
        <v>35.89</v>
      </c>
      <c r="L17" s="1">
        <f>$B$16*E16</f>
        <v>3.88</v>
      </c>
      <c r="M17" s="1">
        <f>$C$16*F16</f>
        <v>39.177999999999997</v>
      </c>
      <c r="N17" s="18">
        <f>ROUND(((L17+M17)/K17)-1,2)</f>
        <v>0.2</v>
      </c>
      <c r="O17" s="18">
        <f>ROUND(((($B$16*E16*E16+$C$16*F16*F16)/($B$16*D16*D16))-1),2)</f>
        <v>-0.43</v>
      </c>
      <c r="T17" s="34">
        <v>1</v>
      </c>
      <c r="U17" s="15">
        <v>35.89</v>
      </c>
      <c r="V17" s="15">
        <v>3.88</v>
      </c>
      <c r="W17" s="15">
        <v>39.177999999999997</v>
      </c>
      <c r="X17" s="19" t="s">
        <v>58</v>
      </c>
      <c r="Y17" s="39" t="s">
        <v>63</v>
      </c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3"/>
    </row>
    <row r="18" spans="1:44" x14ac:dyDescent="0.25">
      <c r="A18" s="29">
        <v>3</v>
      </c>
      <c r="B18" s="58"/>
      <c r="C18" s="58"/>
      <c r="D18" s="14">
        <v>0.74</v>
      </c>
      <c r="E18" s="14">
        <v>0.13</v>
      </c>
      <c r="F18" s="30">
        <v>0.37</v>
      </c>
      <c r="J18" s="1">
        <v>2</v>
      </c>
      <c r="K18" s="1">
        <f t="shared" ref="K18:L21" si="3">$B$16*D17</f>
        <v>35.405000000000001</v>
      </c>
      <c r="L18" s="1">
        <f t="shared" si="3"/>
        <v>6.3050000000000006</v>
      </c>
      <c r="M18" s="1">
        <f t="shared" ref="M18:M21" si="4">$C$16*F17</f>
        <v>35.054000000000002</v>
      </c>
      <c r="N18" s="18">
        <f t="shared" ref="N18:N21" si="5">ROUND(((L18+M18)/K18)-1,2)</f>
        <v>0.17</v>
      </c>
      <c r="O18" s="18">
        <f t="shared" ref="O18:O21" si="6">ROUND(((($B$16*E17*E17+$C$16*F17*F17)/($B$16*D17*D17))-1),2)</f>
        <v>-0.51</v>
      </c>
      <c r="Q18" s="17" t="s">
        <v>30</v>
      </c>
      <c r="R18" s="17" t="s">
        <v>31</v>
      </c>
      <c r="T18" s="34">
        <v>2</v>
      </c>
      <c r="U18" s="15">
        <v>35.405000000000001</v>
      </c>
      <c r="V18" s="15">
        <v>6.3049999999999997</v>
      </c>
      <c r="W18" s="15">
        <v>35.054000000000002</v>
      </c>
      <c r="X18" s="19" t="s">
        <v>59</v>
      </c>
      <c r="Y18" s="39" t="s">
        <v>64</v>
      </c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3"/>
    </row>
    <row r="19" spans="1:44" x14ac:dyDescent="0.25">
      <c r="A19" s="29">
        <v>4</v>
      </c>
      <c r="B19" s="58"/>
      <c r="C19" s="58"/>
      <c r="D19" s="14">
        <v>0.74</v>
      </c>
      <c r="E19" s="14">
        <v>0.13</v>
      </c>
      <c r="F19" s="30">
        <v>0.32</v>
      </c>
      <c r="J19" s="1">
        <v>3</v>
      </c>
      <c r="K19" s="1">
        <f t="shared" si="3"/>
        <v>35.89</v>
      </c>
      <c r="L19" s="1">
        <f t="shared" si="3"/>
        <v>6.3050000000000006</v>
      </c>
      <c r="M19" s="1">
        <f t="shared" si="4"/>
        <v>38.146999999999998</v>
      </c>
      <c r="N19" s="18">
        <f t="shared" si="5"/>
        <v>0.24</v>
      </c>
      <c r="O19" s="18">
        <f t="shared" si="6"/>
        <v>-0.44</v>
      </c>
      <c r="Q19" s="17">
        <f>ROUND(E25*SQRT((SUM(F30:F34)/(5*4))),2)</f>
        <v>0.09</v>
      </c>
      <c r="R19" s="17">
        <f>ROUND(E25*SQRT((SUM(G30:G34)/(5*4))),2)</f>
        <v>0.09</v>
      </c>
      <c r="T19" s="34">
        <v>3</v>
      </c>
      <c r="U19" s="15">
        <v>35.89</v>
      </c>
      <c r="V19" s="15">
        <v>6.3049999999999997</v>
      </c>
      <c r="W19" s="15">
        <v>38.146999999999998</v>
      </c>
      <c r="X19" s="19" t="s">
        <v>60</v>
      </c>
      <c r="Y19" s="39" t="s">
        <v>65</v>
      </c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3"/>
    </row>
    <row r="20" spans="1:44" ht="15.75" thickBot="1" x14ac:dyDescent="0.3">
      <c r="A20" s="31">
        <v>5</v>
      </c>
      <c r="B20" s="59"/>
      <c r="C20" s="59"/>
      <c r="D20" s="32">
        <v>0.74</v>
      </c>
      <c r="E20" s="32">
        <v>0.12</v>
      </c>
      <c r="F20" s="33">
        <v>0.32</v>
      </c>
      <c r="J20" s="1">
        <v>4</v>
      </c>
      <c r="K20" s="1">
        <f t="shared" si="3"/>
        <v>35.89</v>
      </c>
      <c r="L20" s="1">
        <f t="shared" si="3"/>
        <v>6.3050000000000006</v>
      </c>
      <c r="M20" s="1">
        <f t="shared" si="4"/>
        <v>32.991999999999997</v>
      </c>
      <c r="N20" s="18">
        <f t="shared" si="5"/>
        <v>0.09</v>
      </c>
      <c r="O20" s="18">
        <f t="shared" si="6"/>
        <v>-0.56999999999999995</v>
      </c>
      <c r="T20" s="34">
        <v>4</v>
      </c>
      <c r="U20" s="15">
        <v>35.89</v>
      </c>
      <c r="V20" s="15">
        <v>6.3049999999999997</v>
      </c>
      <c r="W20" s="15">
        <v>32.991999999999997</v>
      </c>
      <c r="X20" s="19" t="s">
        <v>61</v>
      </c>
      <c r="Y20" s="39" t="s">
        <v>66</v>
      </c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3"/>
    </row>
    <row r="21" spans="1:44" ht="15.75" thickBot="1" x14ac:dyDescent="0.3">
      <c r="J21" s="1">
        <v>5</v>
      </c>
      <c r="K21" s="1">
        <f t="shared" si="3"/>
        <v>35.89</v>
      </c>
      <c r="L21" s="1">
        <f t="shared" si="3"/>
        <v>5.8199999999999994</v>
      </c>
      <c r="M21" s="1">
        <f t="shared" si="4"/>
        <v>32.991999999999997</v>
      </c>
      <c r="N21" s="18">
        <f t="shared" si="5"/>
        <v>0.08</v>
      </c>
      <c r="O21" s="18">
        <f t="shared" si="6"/>
        <v>-0.57999999999999996</v>
      </c>
      <c r="T21" s="36">
        <v>5</v>
      </c>
      <c r="U21" s="37">
        <v>35.89</v>
      </c>
      <c r="V21" s="37">
        <v>5.82</v>
      </c>
      <c r="W21" s="37">
        <v>32.991999999999997</v>
      </c>
      <c r="X21" s="40" t="s">
        <v>62</v>
      </c>
      <c r="Y21" s="41" t="s">
        <v>67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3"/>
    </row>
    <row r="22" spans="1:44" x14ac:dyDescent="0.25">
      <c r="M22" s="6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3"/>
    </row>
    <row r="23" spans="1:44" x14ac:dyDescent="0.25">
      <c r="R23" s="20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3"/>
    </row>
    <row r="24" spans="1:44" ht="15.75" thickBot="1" x14ac:dyDescent="0.3">
      <c r="R24" s="20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3"/>
    </row>
    <row r="25" spans="1:44" ht="15.75" thickBot="1" x14ac:dyDescent="0.3">
      <c r="A25" s="23" t="s">
        <v>33</v>
      </c>
      <c r="B25" s="24"/>
      <c r="C25" s="24"/>
      <c r="D25" s="24"/>
      <c r="E25" s="60">
        <v>2.7764451051977899</v>
      </c>
      <c r="F25" s="61"/>
      <c r="R25" s="20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3"/>
    </row>
    <row r="26" spans="1:44" x14ac:dyDescent="0.25">
      <c r="R26" s="20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3"/>
    </row>
    <row r="27" spans="1:44" x14ac:dyDescent="0.25">
      <c r="A27" s="7" t="s">
        <v>34</v>
      </c>
      <c r="E27" t="s">
        <v>35</v>
      </c>
      <c r="R27" s="20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54" t="s">
        <v>17</v>
      </c>
      <c r="B28" s="56" t="s">
        <v>36</v>
      </c>
      <c r="C28" s="48" t="s">
        <v>37</v>
      </c>
      <c r="E28" s="54" t="s">
        <v>17</v>
      </c>
      <c r="F28" s="56" t="s">
        <v>36</v>
      </c>
      <c r="G28" s="48" t="s">
        <v>37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55"/>
      <c r="B29" s="55"/>
      <c r="C29" s="49"/>
      <c r="E29" s="55"/>
      <c r="F29" s="55"/>
      <c r="G29" s="4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A30" s="1">
        <v>1</v>
      </c>
      <c r="B30" s="1">
        <f>(N4*N4)-(2*N4*$Q$3)+($Q$3*$Q$3)</f>
        <v>1.4400000000000003E-4</v>
      </c>
      <c r="C30" s="1">
        <f>(O4*O4)-(2*O4*$R$3)+($R$3*$R$3)</f>
        <v>2.5599999999999234E-4</v>
      </c>
      <c r="E30" s="1">
        <v>1</v>
      </c>
      <c r="F30" s="1">
        <f>(N17*N17)-(2*N17*$Q$16)+($Q$16*$Q$16)</f>
        <v>1.9360000000000072E-3</v>
      </c>
      <c r="G30" s="1">
        <f>(O17*O17)-(2*O17*$R$16)+($R$16*$R$16)</f>
        <v>5.7759999999999478E-3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A31" s="1">
        <v>2</v>
      </c>
      <c r="B31" s="1">
        <f t="shared" ref="B31:B34" si="7">(N5*N5)-(2*N5*$Q$3)+($Q$3*$Q$3)</f>
        <v>3.9999999999987962E-6</v>
      </c>
      <c r="C31" s="1">
        <f t="shared" ref="C31:C34" si="8">(O5*O5)-(2*O5*$R$3)+($R$3*$R$3)</f>
        <v>3.6000000000022125E-5</v>
      </c>
      <c r="E31" s="1">
        <v>2</v>
      </c>
      <c r="F31" s="1">
        <f t="shared" ref="F31:F34" si="9">(N18*N18)-(2*N18*$Q$16)+($Q$16*$Q$16)</f>
        <v>1.9599999999999826E-4</v>
      </c>
      <c r="G31" s="1">
        <f t="shared" ref="G31:G34" si="10">(O18*O18)-(2*O18*$R$16)+($R$16*$R$16)</f>
        <v>1.599999999996049E-5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25">
      <c r="A32" s="1">
        <v>3</v>
      </c>
      <c r="B32" s="1">
        <f t="shared" si="7"/>
        <v>3.9999999999987962E-6</v>
      </c>
      <c r="C32" s="1">
        <f t="shared" si="8"/>
        <v>3.6000000000022125E-5</v>
      </c>
      <c r="E32" s="1">
        <v>3</v>
      </c>
      <c r="F32" s="1">
        <f t="shared" si="9"/>
        <v>7.0559999999999998E-3</v>
      </c>
      <c r="G32" s="1">
        <f t="shared" si="10"/>
        <v>4.355999999999971E-3</v>
      </c>
      <c r="AG32" s="3"/>
    </row>
    <row r="33" spans="1:33" x14ac:dyDescent="0.25">
      <c r="A33" s="1">
        <v>4</v>
      </c>
      <c r="B33" s="1">
        <f t="shared" si="7"/>
        <v>3.2399999999999964E-4</v>
      </c>
      <c r="C33" s="1">
        <f t="shared" si="8"/>
        <v>1.9600000000001561E-4</v>
      </c>
      <c r="E33" s="1">
        <v>4</v>
      </c>
      <c r="F33" s="1">
        <f t="shared" si="9"/>
        <v>4.3559999999999953E-3</v>
      </c>
      <c r="G33" s="1">
        <f t="shared" si="10"/>
        <v>4.0960000000000441E-3</v>
      </c>
      <c r="AG33" s="3"/>
    </row>
    <row r="34" spans="1:33" x14ac:dyDescent="0.25">
      <c r="A34" s="4">
        <v>5</v>
      </c>
      <c r="B34" s="1">
        <f t="shared" si="7"/>
        <v>3.9999999999987962E-6</v>
      </c>
      <c r="C34" s="1">
        <f t="shared" si="8"/>
        <v>1.9600000000001561E-4</v>
      </c>
      <c r="D34" s="8"/>
      <c r="E34" s="4">
        <v>5</v>
      </c>
      <c r="F34" s="1">
        <f t="shared" si="9"/>
        <v>5.7759999999999929E-3</v>
      </c>
      <c r="G34" s="1">
        <f t="shared" si="10"/>
        <v>5.4760000000000364E-3</v>
      </c>
      <c r="J34" s="9"/>
      <c r="K34" s="10"/>
      <c r="L34" s="10"/>
      <c r="M34" s="10"/>
      <c r="N34" s="9"/>
      <c r="O34" s="9"/>
      <c r="AG34" s="3"/>
    </row>
    <row r="35" spans="1:33" x14ac:dyDescent="0.25">
      <c r="A35" s="11"/>
      <c r="C35" s="9"/>
      <c r="D35" s="11"/>
      <c r="E35" s="11"/>
      <c r="F35" s="11"/>
      <c r="J35" s="9"/>
      <c r="K35" s="9"/>
      <c r="L35" s="9"/>
      <c r="M35" s="9"/>
      <c r="N35" s="9"/>
      <c r="O35" s="9"/>
      <c r="AG35" s="3"/>
    </row>
    <row r="36" spans="1:33" x14ac:dyDescent="0.25">
      <c r="A36" s="11"/>
      <c r="C36" s="9"/>
      <c r="D36" s="11"/>
      <c r="E36" s="11"/>
      <c r="F36" s="11"/>
      <c r="J36" s="6"/>
      <c r="K36" s="6"/>
      <c r="L36" s="6"/>
      <c r="M36" s="6"/>
      <c r="N36" s="6"/>
      <c r="O36" s="6"/>
      <c r="AG36" s="3"/>
    </row>
    <row r="37" spans="1:33" x14ac:dyDescent="0.25">
      <c r="A37" s="11"/>
      <c r="C37" s="9"/>
      <c r="D37" s="11"/>
      <c r="E37" s="11"/>
      <c r="F37" s="11"/>
      <c r="J37" s="6"/>
      <c r="K37" s="6"/>
      <c r="L37" s="6"/>
      <c r="M37" s="6"/>
      <c r="N37" s="6"/>
      <c r="O37" s="6"/>
      <c r="AG37" s="3"/>
    </row>
    <row r="38" spans="1:33" ht="15.75" thickBot="1" x14ac:dyDescent="0.3">
      <c r="A38" s="11"/>
      <c r="C38" s="9"/>
      <c r="D38" s="11"/>
      <c r="E38" s="11"/>
      <c r="F38" s="11"/>
      <c r="J38" s="6"/>
      <c r="K38" s="6"/>
      <c r="L38" s="6"/>
      <c r="M38" s="6"/>
      <c r="N38" s="6"/>
      <c r="O38" s="6"/>
      <c r="AG38" s="3"/>
    </row>
    <row r="39" spans="1:33" ht="19.5" thickBot="1" x14ac:dyDescent="0.35">
      <c r="A39" s="77" t="s">
        <v>82</v>
      </c>
      <c r="B39" s="78"/>
      <c r="C39" s="78"/>
      <c r="D39" s="78"/>
      <c r="E39" s="79"/>
      <c r="F39" s="11"/>
      <c r="J39" s="12" t="s">
        <v>38</v>
      </c>
      <c r="K39" s="6"/>
      <c r="L39" s="6"/>
      <c r="M39" s="6"/>
      <c r="N39" s="6"/>
      <c r="O39" s="6"/>
      <c r="U39" s="71" t="s">
        <v>68</v>
      </c>
      <c r="V39" s="72"/>
      <c r="W39" s="72"/>
      <c r="X39" s="72"/>
      <c r="Y39" s="72"/>
      <c r="Z39" s="73"/>
    </row>
    <row r="40" spans="1:33" ht="30" x14ac:dyDescent="0.25">
      <c r="A40" s="25" t="s">
        <v>17</v>
      </c>
      <c r="B40" s="27" t="s">
        <v>18</v>
      </c>
      <c r="C40" s="27" t="s">
        <v>19</v>
      </c>
      <c r="D40" s="27" t="s">
        <v>39</v>
      </c>
      <c r="E40" s="28" t="s">
        <v>40</v>
      </c>
      <c r="J40" s="4" t="s">
        <v>17</v>
      </c>
      <c r="K40" s="5" t="s">
        <v>41</v>
      </c>
      <c r="L40" s="5" t="s">
        <v>42</v>
      </c>
      <c r="M40" s="14" t="s">
        <v>26</v>
      </c>
      <c r="N40" s="14" t="s">
        <v>43</v>
      </c>
      <c r="O40" s="14" t="s">
        <v>44</v>
      </c>
      <c r="U40" s="25" t="s">
        <v>17</v>
      </c>
      <c r="V40" s="26" t="s">
        <v>41</v>
      </c>
      <c r="W40" s="26" t="s">
        <v>42</v>
      </c>
      <c r="X40" s="27" t="s">
        <v>26</v>
      </c>
      <c r="Y40" s="27" t="s">
        <v>43</v>
      </c>
      <c r="Z40" s="28" t="s">
        <v>44</v>
      </c>
    </row>
    <row r="41" spans="1:33" x14ac:dyDescent="0.25">
      <c r="A41" s="29">
        <v>1</v>
      </c>
      <c r="B41" s="50">
        <v>51.9</v>
      </c>
      <c r="C41" s="50">
        <v>54.7</v>
      </c>
      <c r="D41" s="14">
        <v>0.54</v>
      </c>
      <c r="E41" s="30">
        <v>0.16</v>
      </c>
      <c r="J41" s="4">
        <v>1</v>
      </c>
      <c r="K41" s="4">
        <f>$B$41*D41</f>
        <v>28.026</v>
      </c>
      <c r="L41" s="4">
        <f>($B$41+$C$41)*E41</f>
        <v>17.056000000000001</v>
      </c>
      <c r="M41" s="14">
        <f>ROUND((L41/K41)-1,2)</f>
        <v>-0.39</v>
      </c>
      <c r="N41" s="22">
        <f>ROUND((($B$41+$C$41)*E41*E41)/($B$41*D41*D41)-1,2)</f>
        <v>-0.82</v>
      </c>
      <c r="O41" s="52">
        <f>ROUND(-C41/(B41+C41), 2)</f>
        <v>-0.51</v>
      </c>
      <c r="Q41" s="2" t="s">
        <v>28</v>
      </c>
      <c r="R41" s="53" t="s">
        <v>45</v>
      </c>
      <c r="S41" s="53"/>
      <c r="U41" s="29">
        <v>1</v>
      </c>
      <c r="V41" s="14">
        <v>28.026</v>
      </c>
      <c r="W41" s="14">
        <v>17.056000000000001</v>
      </c>
      <c r="X41" s="14">
        <v>-0.39</v>
      </c>
      <c r="Y41" s="21" t="s">
        <v>69</v>
      </c>
      <c r="Z41" s="74" t="s">
        <v>74</v>
      </c>
    </row>
    <row r="42" spans="1:33" x14ac:dyDescent="0.25">
      <c r="A42" s="29">
        <v>2</v>
      </c>
      <c r="B42" s="50"/>
      <c r="C42" s="50"/>
      <c r="D42" s="14">
        <v>0.61</v>
      </c>
      <c r="E42" s="30">
        <v>0.21</v>
      </c>
      <c r="J42" s="4">
        <v>2</v>
      </c>
      <c r="K42" s="4">
        <f t="shared" ref="K42:K45" si="11">$B$41*D42</f>
        <v>31.658999999999999</v>
      </c>
      <c r="L42" s="4">
        <f t="shared" ref="L42:L45" si="12">($B$41+$C$41)*E42</f>
        <v>22.385999999999999</v>
      </c>
      <c r="M42" s="14">
        <f t="shared" ref="M42:M45" si="13">ROUND((L42/K42)-1,2)</f>
        <v>-0.28999999999999998</v>
      </c>
      <c r="N42" s="22">
        <f t="shared" ref="N42:N45" si="14">ROUND((($B$41+$C$41)*E42*E42)/($B$41*D42*D42)-1,2)</f>
        <v>-0.76</v>
      </c>
      <c r="O42" s="52"/>
      <c r="Q42" s="2">
        <f>AVERAGE(M41:M45)</f>
        <v>-0.38199999999999995</v>
      </c>
      <c r="R42" s="53">
        <f>AVERAGE(N41:N45)</f>
        <v>-0.80999999999999994</v>
      </c>
      <c r="S42" s="53"/>
      <c r="U42" s="29">
        <v>2</v>
      </c>
      <c r="V42" s="14">
        <v>31.658999999999999</v>
      </c>
      <c r="W42" s="14">
        <v>22.385999999999999</v>
      </c>
      <c r="X42" s="14">
        <v>-0.28999999999999998</v>
      </c>
      <c r="Y42" s="21" t="s">
        <v>70</v>
      </c>
      <c r="Z42" s="75"/>
    </row>
    <row r="43" spans="1:33" x14ac:dyDescent="0.25">
      <c r="A43" s="29">
        <v>3</v>
      </c>
      <c r="B43" s="50"/>
      <c r="C43" s="50"/>
      <c r="D43" s="14">
        <v>0.69</v>
      </c>
      <c r="E43" s="30">
        <v>0.22</v>
      </c>
      <c r="J43" s="4">
        <v>3</v>
      </c>
      <c r="K43" s="4">
        <f t="shared" si="11"/>
        <v>35.810999999999993</v>
      </c>
      <c r="L43" s="4">
        <f t="shared" si="12"/>
        <v>23.451999999999998</v>
      </c>
      <c r="M43" s="14">
        <f t="shared" si="13"/>
        <v>-0.35</v>
      </c>
      <c r="N43" s="22">
        <f t="shared" si="14"/>
        <v>-0.79</v>
      </c>
      <c r="O43" s="52"/>
      <c r="U43" s="29">
        <v>3</v>
      </c>
      <c r="V43" s="14">
        <v>35.811</v>
      </c>
      <c r="W43" s="14">
        <v>23.452000000000002</v>
      </c>
      <c r="X43" s="14">
        <v>-0.35</v>
      </c>
      <c r="Y43" s="21" t="s">
        <v>71</v>
      </c>
      <c r="Z43" s="75"/>
    </row>
    <row r="44" spans="1:33" x14ac:dyDescent="0.25">
      <c r="A44" s="29">
        <v>4</v>
      </c>
      <c r="B44" s="50"/>
      <c r="C44" s="50"/>
      <c r="D44" s="14">
        <v>0.71</v>
      </c>
      <c r="E44" s="30">
        <v>0.24</v>
      </c>
      <c r="J44" s="4">
        <v>4</v>
      </c>
      <c r="K44" s="4">
        <f t="shared" si="11"/>
        <v>36.848999999999997</v>
      </c>
      <c r="L44" s="4">
        <f t="shared" si="12"/>
        <v>25.583999999999996</v>
      </c>
      <c r="M44" s="14">
        <f t="shared" si="13"/>
        <v>-0.31</v>
      </c>
      <c r="N44" s="22">
        <f t="shared" si="14"/>
        <v>-0.77</v>
      </c>
      <c r="O44" s="52"/>
      <c r="Q44" s="2" t="s">
        <v>30</v>
      </c>
      <c r="R44" s="2" t="s">
        <v>49</v>
      </c>
      <c r="U44" s="29">
        <v>4</v>
      </c>
      <c r="V44" s="14">
        <v>36.848999999999997</v>
      </c>
      <c r="W44" s="14">
        <v>25.584</v>
      </c>
      <c r="X44" s="14">
        <v>-0.31</v>
      </c>
      <c r="Y44" s="21" t="s">
        <v>72</v>
      </c>
      <c r="Z44" s="75"/>
    </row>
    <row r="45" spans="1:33" ht="15.75" thickBot="1" x14ac:dyDescent="0.3">
      <c r="A45" s="31">
        <v>5</v>
      </c>
      <c r="B45" s="51"/>
      <c r="C45" s="51"/>
      <c r="D45" s="32">
        <v>0.67</v>
      </c>
      <c r="E45" s="33">
        <v>0.14000000000000001</v>
      </c>
      <c r="J45" s="4">
        <v>5</v>
      </c>
      <c r="K45" s="4">
        <f t="shared" si="11"/>
        <v>34.773000000000003</v>
      </c>
      <c r="L45" s="4">
        <f t="shared" si="12"/>
        <v>14.924000000000001</v>
      </c>
      <c r="M45" s="14">
        <f t="shared" si="13"/>
        <v>-0.56999999999999995</v>
      </c>
      <c r="N45" s="22">
        <f t="shared" si="14"/>
        <v>-0.91</v>
      </c>
      <c r="O45" s="52"/>
      <c r="Q45" s="17">
        <f>ROUND(E25*SQRT((SUM(B62:B66)/(5*4))),2)</f>
        <v>0.14000000000000001</v>
      </c>
      <c r="R45" s="17">
        <f>ROUND(E25*SQRT((SUM(C62:C66)/(5*4))),2)</f>
        <v>0.08</v>
      </c>
      <c r="U45" s="31">
        <v>5</v>
      </c>
      <c r="V45" s="32">
        <v>34.773000000000003</v>
      </c>
      <c r="W45" s="32">
        <v>14.923999999999999</v>
      </c>
      <c r="X45" s="32">
        <v>-0.56999999999999995</v>
      </c>
      <c r="Y45" s="42" t="s">
        <v>73</v>
      </c>
      <c r="Z45" s="76"/>
    </row>
    <row r="49" spans="1:26" ht="15.75" thickBot="1" x14ac:dyDescent="0.3"/>
    <row r="50" spans="1:26" ht="19.5" thickBot="1" x14ac:dyDescent="0.35">
      <c r="A50" s="77" t="s">
        <v>81</v>
      </c>
      <c r="B50" s="78"/>
      <c r="C50" s="78"/>
      <c r="D50" s="78"/>
      <c r="E50" s="79"/>
      <c r="J50" s="12" t="s">
        <v>46</v>
      </c>
      <c r="K50" s="6"/>
      <c r="L50" s="6"/>
      <c r="M50" s="6"/>
      <c r="N50" s="6"/>
      <c r="O50" s="6"/>
      <c r="U50" s="71" t="s">
        <v>75</v>
      </c>
      <c r="V50" s="72"/>
      <c r="W50" s="72"/>
      <c r="X50" s="72"/>
      <c r="Y50" s="72"/>
      <c r="Z50" s="73"/>
    </row>
    <row r="51" spans="1:26" ht="30" x14ac:dyDescent="0.25">
      <c r="A51" s="25" t="s">
        <v>17</v>
      </c>
      <c r="B51" s="27" t="s">
        <v>18</v>
      </c>
      <c r="C51" s="27" t="s">
        <v>19</v>
      </c>
      <c r="D51" s="27" t="s">
        <v>39</v>
      </c>
      <c r="E51" s="28" t="s">
        <v>40</v>
      </c>
      <c r="J51" s="4" t="s">
        <v>17</v>
      </c>
      <c r="K51" s="5" t="s">
        <v>41</v>
      </c>
      <c r="L51" s="5" t="s">
        <v>42</v>
      </c>
      <c r="M51" s="4" t="s">
        <v>26</v>
      </c>
      <c r="N51" s="4" t="s">
        <v>43</v>
      </c>
      <c r="O51" s="4" t="s">
        <v>44</v>
      </c>
      <c r="U51" s="25" t="s">
        <v>17</v>
      </c>
      <c r="V51" s="26" t="s">
        <v>41</v>
      </c>
      <c r="W51" s="26" t="s">
        <v>42</v>
      </c>
      <c r="X51" s="27" t="s">
        <v>26</v>
      </c>
      <c r="Y51" s="27" t="s">
        <v>43</v>
      </c>
      <c r="Z51" s="28" t="s">
        <v>44</v>
      </c>
    </row>
    <row r="52" spans="1:26" x14ac:dyDescent="0.25">
      <c r="A52" s="29">
        <v>1</v>
      </c>
      <c r="B52" s="50">
        <v>51.9</v>
      </c>
      <c r="C52" s="50">
        <v>106.7</v>
      </c>
      <c r="D52" s="14">
        <v>0.63</v>
      </c>
      <c r="E52" s="30">
        <v>0.09</v>
      </c>
      <c r="J52" s="4">
        <v>1</v>
      </c>
      <c r="K52" s="4">
        <f>$B$52*D52</f>
        <v>32.697000000000003</v>
      </c>
      <c r="L52" s="4">
        <f>($B$52+$C$52)*E52</f>
        <v>14.273999999999999</v>
      </c>
      <c r="M52" s="4">
        <f>ROUND((L52/K52)-1,2)</f>
        <v>-0.56000000000000005</v>
      </c>
      <c r="N52" s="22">
        <f>ROUND((($B$52+$C$52)*E52*E52)/($B$52*D52*D52)-1,2)</f>
        <v>-0.94</v>
      </c>
      <c r="O52" s="52">
        <f>ROUND(-C52/(B52+C52),2)</f>
        <v>-0.67</v>
      </c>
      <c r="Q52" s="2" t="s">
        <v>28</v>
      </c>
      <c r="R52" s="53" t="s">
        <v>45</v>
      </c>
      <c r="S52" s="53"/>
      <c r="U52" s="29">
        <v>1</v>
      </c>
      <c r="V52" s="14">
        <v>32.697000000000003</v>
      </c>
      <c r="W52" s="14">
        <v>14.273999999999999</v>
      </c>
      <c r="X52" s="14">
        <v>-0.56000000000000005</v>
      </c>
      <c r="Y52" s="21" t="s">
        <v>76</v>
      </c>
      <c r="Z52" s="74" t="s">
        <v>80</v>
      </c>
    </row>
    <row r="53" spans="1:26" x14ac:dyDescent="0.25">
      <c r="A53" s="29">
        <v>2</v>
      </c>
      <c r="B53" s="50"/>
      <c r="C53" s="50"/>
      <c r="D53" s="14">
        <v>0.71</v>
      </c>
      <c r="E53" s="30">
        <v>0.2</v>
      </c>
      <c r="J53" s="4">
        <v>2</v>
      </c>
      <c r="K53" s="4">
        <f t="shared" ref="K53:K56" si="15">$B$52*D53</f>
        <v>36.848999999999997</v>
      </c>
      <c r="L53" s="4">
        <f t="shared" ref="L53:L56" si="16">($B$52+$C$52)*E53</f>
        <v>31.72</v>
      </c>
      <c r="M53" s="4">
        <f t="shared" ref="M53:M56" si="17">ROUND((L53/K53)-1,2)</f>
        <v>-0.14000000000000001</v>
      </c>
      <c r="N53" s="22">
        <f t="shared" ref="N53:N56" si="18">ROUND((($B$52+$C$52)*E53*E53)/($B$52*D53*D53)-1,2)</f>
        <v>-0.76</v>
      </c>
      <c r="O53" s="52"/>
      <c r="Q53" s="2">
        <f>AVERAGE(M52:M56)</f>
        <v>-0.38600000000000001</v>
      </c>
      <c r="R53" s="53">
        <f>AVERAGE(N52:N56)</f>
        <v>-0.86999999999999988</v>
      </c>
      <c r="S53" s="53"/>
      <c r="U53" s="29">
        <v>2</v>
      </c>
      <c r="V53" s="14">
        <v>36.848999999999997</v>
      </c>
      <c r="W53" s="14">
        <v>31.72</v>
      </c>
      <c r="X53" s="14">
        <v>-0.14000000000000001</v>
      </c>
      <c r="Y53" s="21" t="s">
        <v>77</v>
      </c>
      <c r="Z53" s="75"/>
    </row>
    <row r="54" spans="1:26" x14ac:dyDescent="0.25">
      <c r="A54" s="29">
        <v>3</v>
      </c>
      <c r="B54" s="50"/>
      <c r="C54" s="50"/>
      <c r="D54" s="14">
        <v>0.68</v>
      </c>
      <c r="E54" s="30">
        <v>0.14000000000000001</v>
      </c>
      <c r="J54" s="4">
        <v>3</v>
      </c>
      <c r="K54" s="4">
        <f t="shared" si="15"/>
        <v>35.292000000000002</v>
      </c>
      <c r="L54" s="4">
        <f t="shared" si="16"/>
        <v>22.204000000000001</v>
      </c>
      <c r="M54" s="4">
        <f t="shared" si="17"/>
        <v>-0.37</v>
      </c>
      <c r="N54" s="22">
        <f t="shared" si="18"/>
        <v>-0.87</v>
      </c>
      <c r="O54" s="52"/>
      <c r="U54" s="29">
        <v>3</v>
      </c>
      <c r="V54" s="14">
        <v>35.292000000000002</v>
      </c>
      <c r="W54" s="14">
        <v>22.204000000000001</v>
      </c>
      <c r="X54" s="14">
        <v>-0.37</v>
      </c>
      <c r="Y54" s="21" t="s">
        <v>78</v>
      </c>
      <c r="Z54" s="75"/>
    </row>
    <row r="55" spans="1:26" x14ac:dyDescent="0.25">
      <c r="A55" s="29">
        <v>4</v>
      </c>
      <c r="B55" s="50"/>
      <c r="C55" s="50"/>
      <c r="D55" s="14">
        <v>0.64</v>
      </c>
      <c r="E55" s="30">
        <v>0.13</v>
      </c>
      <c r="J55" s="4">
        <v>4</v>
      </c>
      <c r="K55" s="4">
        <f t="shared" si="15"/>
        <v>33.216000000000001</v>
      </c>
      <c r="L55" s="4">
        <f t="shared" si="16"/>
        <v>20.617999999999999</v>
      </c>
      <c r="M55" s="4">
        <f t="shared" si="17"/>
        <v>-0.38</v>
      </c>
      <c r="N55" s="22">
        <f t="shared" si="18"/>
        <v>-0.87</v>
      </c>
      <c r="O55" s="52"/>
      <c r="Q55" s="2" t="s">
        <v>30</v>
      </c>
      <c r="R55" s="2" t="s">
        <v>49</v>
      </c>
      <c r="U55" s="29">
        <v>4</v>
      </c>
      <c r="V55" s="14">
        <v>33.216000000000001</v>
      </c>
      <c r="W55" s="14">
        <v>20.617999999999999</v>
      </c>
      <c r="X55" s="14">
        <v>-0.38</v>
      </c>
      <c r="Y55" s="21" t="s">
        <v>78</v>
      </c>
      <c r="Z55" s="75"/>
    </row>
    <row r="56" spans="1:26" ht="15.75" thickBot="1" x14ac:dyDescent="0.3">
      <c r="A56" s="31">
        <v>5</v>
      </c>
      <c r="B56" s="51"/>
      <c r="C56" s="51"/>
      <c r="D56" s="32">
        <v>0.71</v>
      </c>
      <c r="E56" s="33">
        <v>0.12</v>
      </c>
      <c r="J56" s="4">
        <v>5</v>
      </c>
      <c r="K56" s="4">
        <f t="shared" si="15"/>
        <v>36.848999999999997</v>
      </c>
      <c r="L56" s="4">
        <f t="shared" si="16"/>
        <v>19.032</v>
      </c>
      <c r="M56" s="4">
        <f t="shared" si="17"/>
        <v>-0.48</v>
      </c>
      <c r="N56" s="22">
        <f t="shared" si="18"/>
        <v>-0.91</v>
      </c>
      <c r="O56" s="52"/>
      <c r="Q56" s="17">
        <f>ROUND(E25*SQRT((SUM(F62:F66)/(5*4))),2)</f>
        <v>0.2</v>
      </c>
      <c r="R56" s="17">
        <f>ROUND(E25*SQRT((SUM(G62:G66)/(5*4))),2)</f>
        <v>0.08</v>
      </c>
      <c r="U56" s="31">
        <v>5</v>
      </c>
      <c r="V56" s="32">
        <v>36.848999999999997</v>
      </c>
      <c r="W56" s="32">
        <v>19.032</v>
      </c>
      <c r="X56" s="32">
        <v>-0.48</v>
      </c>
      <c r="Y56" s="42" t="s">
        <v>79</v>
      </c>
      <c r="Z56" s="76"/>
    </row>
    <row r="59" spans="1:26" x14ac:dyDescent="0.25">
      <c r="A59" t="s">
        <v>47</v>
      </c>
      <c r="E59" t="s">
        <v>48</v>
      </c>
    </row>
    <row r="60" spans="1:26" x14ac:dyDescent="0.25">
      <c r="A60" s="54" t="s">
        <v>17</v>
      </c>
      <c r="B60" s="56" t="s">
        <v>36</v>
      </c>
      <c r="C60" s="48" t="s">
        <v>37</v>
      </c>
      <c r="E60" s="54" t="s">
        <v>17</v>
      </c>
      <c r="F60" s="56" t="s">
        <v>36</v>
      </c>
      <c r="G60" s="48" t="s">
        <v>37</v>
      </c>
    </row>
    <row r="61" spans="1:26" x14ac:dyDescent="0.25">
      <c r="A61" s="55"/>
      <c r="B61" s="55"/>
      <c r="C61" s="49"/>
      <c r="E61" s="55"/>
      <c r="F61" s="55"/>
      <c r="G61" s="49"/>
    </row>
    <row r="62" spans="1:26" x14ac:dyDescent="0.25">
      <c r="A62" s="1">
        <v>1</v>
      </c>
      <c r="B62" s="1">
        <f>(M41*M41)-(2*M41*$Q$42)+($Q$42*$Q$42)</f>
        <v>6.400000000003625E-5</v>
      </c>
      <c r="C62" s="1">
        <f>(N41*N41)-(2*N41*$R$42)+($R$42*$R$42)</f>
        <v>9.9999999999988987E-5</v>
      </c>
      <c r="E62" s="1">
        <v>1</v>
      </c>
      <c r="F62" s="1">
        <f>(M52*M52)-(2*M52*$Q$53)+($Q$53*$Q$53)</f>
        <v>3.0276000000000025E-2</v>
      </c>
      <c r="G62" s="1">
        <f>(N52*N52)-(2*N52*$R$53)+($R$53*$R$53)</f>
        <v>4.9000000000000155E-3</v>
      </c>
    </row>
    <row r="63" spans="1:26" x14ac:dyDescent="0.25">
      <c r="A63" s="1">
        <v>2</v>
      </c>
      <c r="B63" s="1">
        <f t="shared" ref="B63:B66" si="19">(M42*M42)-(2*M42*$Q$42)+($Q$42*$Q$42)</f>
        <v>8.4639999999999993E-3</v>
      </c>
      <c r="C63" s="1">
        <f>(N42*N42)-(2*N42*$R$42)+($R$42*$R$42)</f>
        <v>2.5000000000000577E-3</v>
      </c>
      <c r="E63" s="1">
        <v>2</v>
      </c>
      <c r="F63" s="1">
        <f t="shared" ref="F63:F66" si="20">(M53*M53)-(2*M53*$Q$53)+($Q$53*$Q$53)</f>
        <v>6.0516000000000014E-2</v>
      </c>
      <c r="G63" s="1">
        <f t="shared" ref="G63:G66" si="21">(N53*N53)-(2*N53*$R$53)+($R$53*$R$53)</f>
        <v>1.21E-2</v>
      </c>
    </row>
    <row r="64" spans="1:26" x14ac:dyDescent="0.25">
      <c r="A64" s="1">
        <v>3</v>
      </c>
      <c r="B64" s="1">
        <f t="shared" si="19"/>
        <v>1.0239999999999971E-3</v>
      </c>
      <c r="C64" s="1">
        <f>(N43*N43)-(2*N43*$R$42)+($R$42*$R$42)</f>
        <v>3.9999999999995595E-4</v>
      </c>
      <c r="E64" s="1">
        <v>3</v>
      </c>
      <c r="F64" s="1">
        <f t="shared" si="20"/>
        <v>2.5600000000000622E-4</v>
      </c>
      <c r="G64" s="1">
        <f>(N54*N54)-(2*N54*$R$53)+($R$53*$R$53)</f>
        <v>0</v>
      </c>
    </row>
    <row r="65" spans="1:7" x14ac:dyDescent="0.25">
      <c r="A65" s="1">
        <v>4</v>
      </c>
      <c r="B65" s="1">
        <f t="shared" si="19"/>
        <v>5.1839999999999942E-3</v>
      </c>
      <c r="C65" s="1">
        <f>(N44*N44)-(2*N44*$R$42)+($R$42*$R$42)</f>
        <v>1.6000000000000458E-3</v>
      </c>
      <c r="E65" s="1">
        <v>4</v>
      </c>
      <c r="F65" s="1">
        <f t="shared" si="20"/>
        <v>3.6000000000008248E-5</v>
      </c>
      <c r="G65" s="1">
        <f t="shared" si="21"/>
        <v>0</v>
      </c>
    </row>
    <row r="66" spans="1:7" x14ac:dyDescent="0.25">
      <c r="A66" s="4">
        <v>5</v>
      </c>
      <c r="B66" s="1">
        <f t="shared" si="19"/>
        <v>3.5344000000000014E-2</v>
      </c>
      <c r="C66" s="1">
        <f>(N45*N45)-(2*N45*$R$42)+($R$42*$R$42)</f>
        <v>1.0000000000000009E-2</v>
      </c>
      <c r="E66" s="4">
        <v>5</v>
      </c>
      <c r="F66" s="1">
        <f t="shared" si="20"/>
        <v>8.8360000000000105E-3</v>
      </c>
      <c r="G66" s="1">
        <f t="shared" si="21"/>
        <v>1.5999999999999348E-3</v>
      </c>
    </row>
  </sheetData>
  <mergeCells count="61">
    <mergeCell ref="Z52:Z56"/>
    <mergeCell ref="A50:E50"/>
    <mergeCell ref="A39:E39"/>
    <mergeCell ref="A14:F14"/>
    <mergeCell ref="A1:F1"/>
    <mergeCell ref="Z41:Z45"/>
    <mergeCell ref="U39:Z39"/>
    <mergeCell ref="U50:Z50"/>
    <mergeCell ref="T14:Y14"/>
    <mergeCell ref="T15:T16"/>
    <mergeCell ref="U15:U16"/>
    <mergeCell ref="V15:V16"/>
    <mergeCell ref="W15:W16"/>
    <mergeCell ref="X15:X16"/>
    <mergeCell ref="Y15:Y16"/>
    <mergeCell ref="V2:V3"/>
    <mergeCell ref="W2:W3"/>
    <mergeCell ref="X2:X3"/>
    <mergeCell ref="Y2:Y3"/>
    <mergeCell ref="T1:Y1"/>
    <mergeCell ref="O2:O3"/>
    <mergeCell ref="B3:B7"/>
    <mergeCell ref="C3:C7"/>
    <mergeCell ref="T2:T3"/>
    <mergeCell ref="U2:U3"/>
    <mergeCell ref="J2:J3"/>
    <mergeCell ref="K2:K3"/>
    <mergeCell ref="L2:L3"/>
    <mergeCell ref="M2:M3"/>
    <mergeCell ref="N2:N3"/>
    <mergeCell ref="A28:A29"/>
    <mergeCell ref="B28:B29"/>
    <mergeCell ref="C28:C29"/>
    <mergeCell ref="E28:E29"/>
    <mergeCell ref="F28:F29"/>
    <mergeCell ref="N15:N16"/>
    <mergeCell ref="O15:O16"/>
    <mergeCell ref="B16:B20"/>
    <mergeCell ref="C16:C20"/>
    <mergeCell ref="E25:F25"/>
    <mergeCell ref="M15:M16"/>
    <mergeCell ref="J15:J16"/>
    <mergeCell ref="K15:K16"/>
    <mergeCell ref="L15:L16"/>
    <mergeCell ref="G28:G29"/>
    <mergeCell ref="B41:B45"/>
    <mergeCell ref="C41:C45"/>
    <mergeCell ref="O41:O45"/>
    <mergeCell ref="R41:S41"/>
    <mergeCell ref="R42:S42"/>
    <mergeCell ref="A60:A61"/>
    <mergeCell ref="B60:B61"/>
    <mergeCell ref="C60:C61"/>
    <mergeCell ref="E60:E61"/>
    <mergeCell ref="F60:F61"/>
    <mergeCell ref="G60:G61"/>
    <mergeCell ref="B52:B56"/>
    <mergeCell ref="C52:C56"/>
    <mergeCell ref="O52:O56"/>
    <mergeCell ref="R52:S52"/>
    <mergeCell ref="R53:S5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ADEE-5815-48ED-8F4D-B3C771724ED9}">
  <dimension ref="B2:R58"/>
  <sheetViews>
    <sheetView tabSelected="1" topLeftCell="N10" workbookViewId="0">
      <selection activeCell="T16" sqref="T16"/>
    </sheetView>
  </sheetViews>
  <sheetFormatPr defaultRowHeight="15" x14ac:dyDescent="0.25"/>
  <cols>
    <col min="3" max="3" width="18.7109375" customWidth="1"/>
    <col min="15" max="15" width="10.140625" bestFit="1" customWidth="1"/>
  </cols>
  <sheetData>
    <row r="2" spans="2:18" ht="18.75" x14ac:dyDescent="0.3">
      <c r="B2" s="83" t="s">
        <v>0</v>
      </c>
      <c r="C2" s="83"/>
      <c r="D2" s="84" t="s">
        <v>88</v>
      </c>
      <c r="E2" s="85"/>
      <c r="F2" s="14">
        <v>47</v>
      </c>
      <c r="I2" s="81" t="s">
        <v>14</v>
      </c>
      <c r="J2" s="81"/>
      <c r="K2" s="81"/>
      <c r="L2" s="81"/>
    </row>
    <row r="3" spans="2:18" ht="15.75" customHeight="1" x14ac:dyDescent="0.25"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I3" s="43" t="s">
        <v>17</v>
      </c>
      <c r="J3" s="43" t="s">
        <v>85</v>
      </c>
      <c r="K3" s="43" t="s">
        <v>87</v>
      </c>
      <c r="L3" s="43" t="s">
        <v>86</v>
      </c>
      <c r="O3" s="86" t="s">
        <v>105</v>
      </c>
      <c r="P3" s="86" t="s">
        <v>106</v>
      </c>
      <c r="Q3" s="86" t="s">
        <v>107</v>
      </c>
      <c r="R3" s="86" t="s">
        <v>108</v>
      </c>
    </row>
    <row r="4" spans="2:18" x14ac:dyDescent="0.25">
      <c r="B4" s="14">
        <v>1</v>
      </c>
      <c r="C4" s="14" t="s">
        <v>6</v>
      </c>
      <c r="D4" s="14">
        <v>1.8</v>
      </c>
      <c r="E4" s="14">
        <v>0.26</v>
      </c>
      <c r="F4" s="14">
        <v>0.5</v>
      </c>
      <c r="I4" s="43">
        <v>1</v>
      </c>
      <c r="J4" s="14">
        <v>1.8</v>
      </c>
      <c r="K4" s="14">
        <f>ROUND((F4*F4-E4*E4)/(2*0.65),2)</f>
        <v>0.14000000000000001</v>
      </c>
      <c r="L4" s="14">
        <f>ROUND(J4*(9.82-K4),2)</f>
        <v>17.420000000000002</v>
      </c>
      <c r="O4">
        <v>10.15</v>
      </c>
      <c r="P4">
        <v>46.45</v>
      </c>
      <c r="Q4">
        <v>0.2</v>
      </c>
      <c r="R4">
        <f>P4*Q4+O4</f>
        <v>19.440000000000001</v>
      </c>
    </row>
    <row r="5" spans="2:18" x14ac:dyDescent="0.25">
      <c r="B5" s="14">
        <v>2</v>
      </c>
      <c r="C5" s="14" t="s">
        <v>7</v>
      </c>
      <c r="D5" s="14">
        <v>2.6</v>
      </c>
      <c r="E5" s="14">
        <v>0.35</v>
      </c>
      <c r="F5" s="14">
        <v>0.69</v>
      </c>
      <c r="I5" s="43">
        <v>2</v>
      </c>
      <c r="J5" s="14">
        <v>2.6</v>
      </c>
      <c r="K5" s="14">
        <f>ROUND((F5*F5-E5*E5)/(2*0.65),2)</f>
        <v>0.27</v>
      </c>
      <c r="L5" s="14">
        <f t="shared" ref="L5:L10" si="0">ROUND(J5*(9.82-K5),2)</f>
        <v>24.83</v>
      </c>
      <c r="O5">
        <v>10.15</v>
      </c>
      <c r="P5">
        <v>46.45</v>
      </c>
      <c r="Q5">
        <v>0.4</v>
      </c>
      <c r="R5">
        <f t="shared" ref="R5:R20" si="1">P5*Q5+O5</f>
        <v>28.730000000000004</v>
      </c>
    </row>
    <row r="6" spans="2:18" x14ac:dyDescent="0.25">
      <c r="B6" s="14">
        <v>3</v>
      </c>
      <c r="C6" s="14" t="s">
        <v>8</v>
      </c>
      <c r="D6" s="14">
        <v>3.5</v>
      </c>
      <c r="E6" s="14">
        <v>0.38</v>
      </c>
      <c r="F6" s="14">
        <v>0.91</v>
      </c>
      <c r="I6" s="43">
        <v>3</v>
      </c>
      <c r="J6" s="14">
        <v>3.5</v>
      </c>
      <c r="K6" s="14">
        <f t="shared" ref="K6:K10" si="2">ROUND((F6*F6-E6*E6)/(2*0.65),2)</f>
        <v>0.53</v>
      </c>
      <c r="L6" s="14">
        <f t="shared" si="0"/>
        <v>32.520000000000003</v>
      </c>
      <c r="O6">
        <v>10.15</v>
      </c>
      <c r="P6">
        <v>46.45</v>
      </c>
      <c r="Q6">
        <v>0.6</v>
      </c>
      <c r="R6">
        <f t="shared" si="1"/>
        <v>38.020000000000003</v>
      </c>
    </row>
    <row r="7" spans="2:18" x14ac:dyDescent="0.25">
      <c r="B7" s="14">
        <v>4</v>
      </c>
      <c r="C7" s="14" t="s">
        <v>9</v>
      </c>
      <c r="D7" s="14">
        <v>4.3</v>
      </c>
      <c r="E7" s="14">
        <v>0.45</v>
      </c>
      <c r="F7" s="14">
        <v>1.04</v>
      </c>
      <c r="I7" s="43">
        <v>4</v>
      </c>
      <c r="J7" s="14">
        <v>4.3</v>
      </c>
      <c r="K7" s="14">
        <f t="shared" si="2"/>
        <v>0.68</v>
      </c>
      <c r="L7" s="14">
        <f t="shared" si="0"/>
        <v>39.299999999999997</v>
      </c>
      <c r="O7">
        <v>10.15</v>
      </c>
      <c r="P7">
        <v>46.45</v>
      </c>
      <c r="Q7">
        <v>0.8</v>
      </c>
      <c r="R7">
        <f t="shared" si="1"/>
        <v>47.31</v>
      </c>
    </row>
    <row r="8" spans="2:18" x14ac:dyDescent="0.25">
      <c r="B8" s="14">
        <v>5</v>
      </c>
      <c r="C8" s="14" t="s">
        <v>10</v>
      </c>
      <c r="D8" s="14">
        <v>5.2</v>
      </c>
      <c r="E8" s="14">
        <v>0.48</v>
      </c>
      <c r="F8" s="14">
        <v>1.1499999999999999</v>
      </c>
      <c r="I8" s="43">
        <v>5</v>
      </c>
      <c r="J8" s="14">
        <v>5.2</v>
      </c>
      <c r="K8" s="14">
        <f t="shared" si="2"/>
        <v>0.84</v>
      </c>
      <c r="L8" s="14">
        <f t="shared" si="0"/>
        <v>46.7</v>
      </c>
      <c r="O8">
        <v>10.15</v>
      </c>
      <c r="P8">
        <v>46.45</v>
      </c>
      <c r="Q8">
        <v>1</v>
      </c>
      <c r="R8">
        <f t="shared" si="1"/>
        <v>56.6</v>
      </c>
    </row>
    <row r="9" spans="2:18" x14ac:dyDescent="0.25">
      <c r="B9" s="14">
        <v>6</v>
      </c>
      <c r="C9" s="14" t="s">
        <v>11</v>
      </c>
      <c r="D9" s="14">
        <v>6</v>
      </c>
      <c r="E9" s="14">
        <v>0.52</v>
      </c>
      <c r="F9" s="14">
        <v>1.22</v>
      </c>
      <c r="I9" s="43">
        <v>6</v>
      </c>
      <c r="J9" s="14">
        <v>6</v>
      </c>
      <c r="K9" s="14">
        <f t="shared" si="2"/>
        <v>0.94</v>
      </c>
      <c r="L9" s="14">
        <f t="shared" si="0"/>
        <v>53.28</v>
      </c>
      <c r="O9">
        <v>10.15</v>
      </c>
      <c r="P9">
        <v>46.45</v>
      </c>
      <c r="Q9">
        <v>1.2</v>
      </c>
      <c r="R9">
        <f t="shared" si="1"/>
        <v>65.89</v>
      </c>
    </row>
    <row r="10" spans="2:18" x14ac:dyDescent="0.25">
      <c r="B10" s="14">
        <v>7</v>
      </c>
      <c r="C10" s="14" t="s">
        <v>12</v>
      </c>
      <c r="D10" s="14">
        <v>6.9</v>
      </c>
      <c r="E10" s="14">
        <v>0.56999999999999995</v>
      </c>
      <c r="F10" s="14">
        <v>1.27</v>
      </c>
      <c r="I10" s="43">
        <v>7</v>
      </c>
      <c r="J10" s="14">
        <v>6.9</v>
      </c>
      <c r="K10" s="14">
        <f t="shared" si="2"/>
        <v>0.99</v>
      </c>
      <c r="L10" s="14">
        <f t="shared" si="0"/>
        <v>60.93</v>
      </c>
      <c r="O10">
        <v>10.15</v>
      </c>
      <c r="P10">
        <v>46.45</v>
      </c>
      <c r="Q10">
        <v>1.4</v>
      </c>
      <c r="R10">
        <f t="shared" si="1"/>
        <v>75.180000000000007</v>
      </c>
    </row>
    <row r="11" spans="2:18" x14ac:dyDescent="0.25">
      <c r="B11" s="11"/>
      <c r="C11" s="11"/>
      <c r="D11" s="11"/>
      <c r="E11" s="11"/>
      <c r="F11" s="11"/>
      <c r="H11" s="3"/>
      <c r="I11" s="3"/>
      <c r="J11" s="3"/>
      <c r="K11" s="3"/>
      <c r="L11" s="3"/>
    </row>
    <row r="12" spans="2:18" ht="18.75" x14ac:dyDescent="0.3">
      <c r="B12" s="83" t="s">
        <v>13</v>
      </c>
      <c r="C12" s="83"/>
      <c r="D12" s="84" t="s">
        <v>89</v>
      </c>
      <c r="E12" s="85"/>
      <c r="F12" s="14">
        <v>98.8</v>
      </c>
      <c r="I12" s="81" t="s">
        <v>15</v>
      </c>
      <c r="J12" s="81"/>
      <c r="K12" s="81"/>
      <c r="L12" s="81"/>
    </row>
    <row r="13" spans="2:18" x14ac:dyDescent="0.25"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I13" s="43" t="s">
        <v>17</v>
      </c>
      <c r="J13" s="43" t="s">
        <v>85</v>
      </c>
      <c r="K13" s="43" t="s">
        <v>87</v>
      </c>
      <c r="L13" s="43" t="s">
        <v>86</v>
      </c>
      <c r="O13" s="86" t="s">
        <v>105</v>
      </c>
      <c r="P13" s="86" t="s">
        <v>106</v>
      </c>
      <c r="Q13" s="86" t="s">
        <v>107</v>
      </c>
      <c r="R13" t="s">
        <v>108</v>
      </c>
    </row>
    <row r="14" spans="2:18" x14ac:dyDescent="0.25">
      <c r="B14" s="14">
        <v>1</v>
      </c>
      <c r="C14" s="14" t="s">
        <v>6</v>
      </c>
      <c r="D14" s="14">
        <v>1.8</v>
      </c>
      <c r="E14" s="14">
        <v>0.1</v>
      </c>
      <c r="F14" s="14">
        <v>0.25</v>
      </c>
      <c r="I14" s="43">
        <v>1</v>
      </c>
      <c r="J14" s="14">
        <v>1.8</v>
      </c>
      <c r="K14" s="14">
        <f>ROUND((F14*F14-E14*E14)/(2*0.65),2)</f>
        <v>0.04</v>
      </c>
      <c r="L14" s="14">
        <f>ROUND(J14*(9.82-K14),2)</f>
        <v>17.600000000000001</v>
      </c>
      <c r="O14">
        <v>9.9600000000000009</v>
      </c>
      <c r="P14">
        <v>92.19</v>
      </c>
      <c r="Q14">
        <v>0.2</v>
      </c>
      <c r="R14">
        <f>P14*Q14+O14</f>
        <v>28.398</v>
      </c>
    </row>
    <row r="15" spans="2:18" x14ac:dyDescent="0.25">
      <c r="B15" s="14">
        <v>2</v>
      </c>
      <c r="C15" s="14" t="s">
        <v>7</v>
      </c>
      <c r="D15" s="14">
        <v>2.6</v>
      </c>
      <c r="E15" s="14">
        <v>0.24</v>
      </c>
      <c r="F15" s="14">
        <v>0.57999999999999996</v>
      </c>
      <c r="I15" s="43">
        <v>2</v>
      </c>
      <c r="J15" s="14">
        <v>2.6</v>
      </c>
      <c r="K15" s="14">
        <f t="shared" ref="K15:K20" si="3">ROUND((F15*F15-E15*E15)/(2*0.65),2)</f>
        <v>0.21</v>
      </c>
      <c r="L15" s="14">
        <f t="shared" ref="L15:L20" si="4">ROUND(J15*(9.82-K15),2)</f>
        <v>24.99</v>
      </c>
      <c r="O15">
        <v>9.9600000000000009</v>
      </c>
      <c r="P15">
        <v>92.19</v>
      </c>
      <c r="Q15">
        <v>0.4</v>
      </c>
      <c r="R15">
        <f t="shared" si="1"/>
        <v>46.835999999999999</v>
      </c>
    </row>
    <row r="16" spans="2:18" x14ac:dyDescent="0.25">
      <c r="B16" s="14">
        <v>3</v>
      </c>
      <c r="C16" s="14" t="s">
        <v>8</v>
      </c>
      <c r="D16" s="14">
        <v>3.5</v>
      </c>
      <c r="E16" s="14">
        <v>0.27</v>
      </c>
      <c r="F16" s="14">
        <v>0.66</v>
      </c>
      <c r="I16" s="43">
        <v>3</v>
      </c>
      <c r="J16" s="14">
        <v>3.5</v>
      </c>
      <c r="K16" s="14">
        <f t="shared" si="3"/>
        <v>0.28000000000000003</v>
      </c>
      <c r="L16" s="14">
        <f t="shared" si="4"/>
        <v>33.39</v>
      </c>
      <c r="O16">
        <v>9.9600000000000009</v>
      </c>
      <c r="P16">
        <v>92.19</v>
      </c>
      <c r="Q16">
        <v>0.6</v>
      </c>
      <c r="R16">
        <f t="shared" si="1"/>
        <v>65.274000000000001</v>
      </c>
    </row>
    <row r="17" spans="2:18" x14ac:dyDescent="0.25">
      <c r="B17" s="14">
        <v>4</v>
      </c>
      <c r="C17" s="14" t="s">
        <v>9</v>
      </c>
      <c r="D17" s="14">
        <v>4.3</v>
      </c>
      <c r="E17" s="14">
        <v>0.32</v>
      </c>
      <c r="F17" s="14">
        <v>0.75</v>
      </c>
      <c r="I17" s="43">
        <v>4</v>
      </c>
      <c r="J17" s="14">
        <v>4.3</v>
      </c>
      <c r="K17" s="14">
        <f t="shared" si="3"/>
        <v>0.35</v>
      </c>
      <c r="L17" s="14">
        <f t="shared" si="4"/>
        <v>40.72</v>
      </c>
      <c r="O17">
        <v>9.9600000000000009</v>
      </c>
      <c r="P17">
        <v>92.19</v>
      </c>
      <c r="Q17">
        <v>0.8</v>
      </c>
      <c r="R17">
        <f t="shared" si="1"/>
        <v>83.711999999999989</v>
      </c>
    </row>
    <row r="18" spans="2:18" x14ac:dyDescent="0.25">
      <c r="B18" s="14">
        <v>5</v>
      </c>
      <c r="C18" s="14" t="s">
        <v>10</v>
      </c>
      <c r="D18" s="14">
        <v>5.2</v>
      </c>
      <c r="E18" s="14">
        <v>0.35</v>
      </c>
      <c r="F18" s="14">
        <v>0.82</v>
      </c>
      <c r="I18" s="43">
        <v>5</v>
      </c>
      <c r="J18" s="14">
        <v>5.2</v>
      </c>
      <c r="K18" s="14">
        <f t="shared" si="3"/>
        <v>0.42</v>
      </c>
      <c r="L18" s="14">
        <f t="shared" si="4"/>
        <v>48.88</v>
      </c>
      <c r="O18">
        <v>9.9600000000000009</v>
      </c>
      <c r="P18">
        <v>92.19</v>
      </c>
      <c r="Q18">
        <v>1</v>
      </c>
      <c r="R18">
        <f t="shared" si="1"/>
        <v>102.15</v>
      </c>
    </row>
    <row r="19" spans="2:18" x14ac:dyDescent="0.25">
      <c r="B19" s="14">
        <v>6</v>
      </c>
      <c r="C19" s="14" t="s">
        <v>11</v>
      </c>
      <c r="D19" s="14">
        <v>6</v>
      </c>
      <c r="E19" s="14">
        <v>0.38</v>
      </c>
      <c r="F19" s="14">
        <v>0.89</v>
      </c>
      <c r="I19" s="43">
        <v>6</v>
      </c>
      <c r="J19" s="14">
        <v>6</v>
      </c>
      <c r="K19" s="14">
        <f t="shared" si="3"/>
        <v>0.5</v>
      </c>
      <c r="L19" s="14">
        <f t="shared" si="4"/>
        <v>55.92</v>
      </c>
      <c r="O19">
        <v>9.9600000000000009</v>
      </c>
      <c r="P19">
        <v>92.19</v>
      </c>
      <c r="Q19">
        <v>1.2</v>
      </c>
      <c r="R19">
        <f t="shared" si="1"/>
        <v>120.58799999999999</v>
      </c>
    </row>
    <row r="20" spans="2:18" x14ac:dyDescent="0.25">
      <c r="B20" s="14">
        <v>7</v>
      </c>
      <c r="C20" s="14" t="s">
        <v>12</v>
      </c>
      <c r="D20" s="14">
        <v>6.9</v>
      </c>
      <c r="E20" s="14">
        <v>0.4</v>
      </c>
      <c r="F20" s="14">
        <v>0.94</v>
      </c>
      <c r="I20" s="43">
        <v>7</v>
      </c>
      <c r="J20" s="14">
        <v>6.9</v>
      </c>
      <c r="K20" s="14">
        <f t="shared" si="3"/>
        <v>0.56000000000000005</v>
      </c>
      <c r="L20" s="14">
        <f t="shared" si="4"/>
        <v>63.89</v>
      </c>
      <c r="O20">
        <v>9.9600000000000009</v>
      </c>
      <c r="P20">
        <v>92.19</v>
      </c>
      <c r="Q20">
        <v>1.4</v>
      </c>
      <c r="R20">
        <f t="shared" si="1"/>
        <v>139.02600000000001</v>
      </c>
    </row>
    <row r="39" spans="3:15" x14ac:dyDescent="0.25">
      <c r="C39" t="s">
        <v>90</v>
      </c>
    </row>
    <row r="40" spans="3:15" x14ac:dyDescent="0.25">
      <c r="N40" s="82" t="s">
        <v>102</v>
      </c>
      <c r="O40" s="82"/>
    </row>
    <row r="41" spans="3:15" x14ac:dyDescent="0.25">
      <c r="C41" t="s">
        <v>99</v>
      </c>
      <c r="D41" s="14" t="s">
        <v>91</v>
      </c>
      <c r="E41" s="44" t="s">
        <v>92</v>
      </c>
      <c r="F41" s="14" t="s">
        <v>93</v>
      </c>
      <c r="G41" s="13" t="s">
        <v>94</v>
      </c>
      <c r="H41" s="14" t="s">
        <v>95</v>
      </c>
      <c r="I41" s="44" t="s">
        <v>96</v>
      </c>
      <c r="J41" s="14" t="s">
        <v>103</v>
      </c>
      <c r="K41" s="14" t="s">
        <v>98</v>
      </c>
      <c r="N41" s="14" t="s">
        <v>97</v>
      </c>
      <c r="O41" s="45">
        <f>47-J42</f>
        <v>0.54999999999999716</v>
      </c>
    </row>
    <row r="42" spans="3:15" x14ac:dyDescent="0.25">
      <c r="D42" s="14">
        <f>K4*L4</f>
        <v>2.4388000000000005</v>
      </c>
      <c r="E42" s="44">
        <f>SUM(D42:D48)</f>
        <v>202.73439999999999</v>
      </c>
      <c r="F42" s="14">
        <f>SUM(K4:K10)</f>
        <v>4.3899999999999997</v>
      </c>
      <c r="G42" s="13">
        <f>SUM(L4:L10)</f>
        <v>274.98</v>
      </c>
      <c r="H42" s="14">
        <f>K4^2</f>
        <v>1.9600000000000003E-2</v>
      </c>
      <c r="I42" s="44">
        <f>SUM(H42:H48)</f>
        <v>3.4051</v>
      </c>
      <c r="J42" s="14">
        <f>ROUND((7*E42-G42*F42)/(7*I42-F42*F42),2)</f>
        <v>46.45</v>
      </c>
      <c r="K42" s="14">
        <f>ROUND((G42*I42-F42*E42)/(7*I42-F42*F42),2)</f>
        <v>10.15</v>
      </c>
      <c r="N42" s="14" t="s">
        <v>101</v>
      </c>
      <c r="O42" s="46">
        <f>O41/47</f>
        <v>1.1702127659574407E-2</v>
      </c>
    </row>
    <row r="43" spans="3:15" x14ac:dyDescent="0.25">
      <c r="D43" s="14">
        <f t="shared" ref="D43:D48" si="5">K5*L5</f>
        <v>6.7041000000000004</v>
      </c>
      <c r="E43" s="11"/>
      <c r="F43" s="11"/>
      <c r="G43" s="11"/>
      <c r="H43" s="14">
        <f t="shared" ref="H43:H48" si="6">K5^2</f>
        <v>7.2900000000000006E-2</v>
      </c>
      <c r="I43" s="11"/>
      <c r="J43" s="11"/>
      <c r="K43" s="11"/>
    </row>
    <row r="44" spans="3:15" x14ac:dyDescent="0.25">
      <c r="D44" s="14">
        <f t="shared" si="5"/>
        <v>17.235600000000002</v>
      </c>
      <c r="E44" s="11"/>
      <c r="F44" s="11"/>
      <c r="G44" s="11"/>
      <c r="H44" s="14">
        <f t="shared" si="6"/>
        <v>0.28090000000000004</v>
      </c>
      <c r="I44" s="11"/>
      <c r="J44" s="11"/>
      <c r="K44" s="11"/>
    </row>
    <row r="45" spans="3:15" x14ac:dyDescent="0.25">
      <c r="D45" s="14">
        <f t="shared" si="5"/>
        <v>26.724</v>
      </c>
      <c r="E45" s="11"/>
      <c r="F45" s="11"/>
      <c r="G45" s="11"/>
      <c r="H45" s="14">
        <f t="shared" si="6"/>
        <v>0.46240000000000009</v>
      </c>
      <c r="I45" s="11"/>
      <c r="J45" s="11"/>
      <c r="K45" s="11"/>
    </row>
    <row r="46" spans="3:15" x14ac:dyDescent="0.25">
      <c r="D46" s="14">
        <f t="shared" si="5"/>
        <v>39.228000000000002</v>
      </c>
      <c r="E46" s="11"/>
      <c r="F46" s="11"/>
      <c r="G46" s="11"/>
      <c r="H46" s="14">
        <f t="shared" si="6"/>
        <v>0.70559999999999989</v>
      </c>
      <c r="I46" s="11"/>
      <c r="J46" s="11"/>
      <c r="K46" s="11"/>
    </row>
    <row r="47" spans="3:15" x14ac:dyDescent="0.25">
      <c r="D47" s="14">
        <f t="shared" si="5"/>
        <v>50.083199999999998</v>
      </c>
      <c r="E47" s="11"/>
      <c r="F47" s="11"/>
      <c r="G47" s="11"/>
      <c r="H47" s="14">
        <f t="shared" si="6"/>
        <v>0.88359999999999994</v>
      </c>
      <c r="I47" s="11"/>
      <c r="J47" s="11"/>
      <c r="K47" s="11"/>
    </row>
    <row r="48" spans="3:15" x14ac:dyDescent="0.25">
      <c r="D48" s="14">
        <f t="shared" si="5"/>
        <v>60.320700000000002</v>
      </c>
      <c r="E48" s="11"/>
      <c r="F48" s="11"/>
      <c r="G48" s="11"/>
      <c r="H48" s="14">
        <f t="shared" si="6"/>
        <v>0.98009999999999997</v>
      </c>
      <c r="I48" s="11"/>
      <c r="J48" s="11"/>
      <c r="K48" s="11"/>
    </row>
    <row r="51" spans="3:15" x14ac:dyDescent="0.25">
      <c r="C51" t="s">
        <v>100</v>
      </c>
      <c r="D51" s="14" t="s">
        <v>91</v>
      </c>
      <c r="E51" s="44" t="s">
        <v>92</v>
      </c>
      <c r="F51" s="14" t="s">
        <v>93</v>
      </c>
      <c r="G51" s="13" t="s">
        <v>94</v>
      </c>
      <c r="H51" s="14" t="s">
        <v>95</v>
      </c>
      <c r="I51" s="44" t="s">
        <v>96</v>
      </c>
      <c r="J51" s="14" t="s">
        <v>104</v>
      </c>
      <c r="K51" s="14" t="s">
        <v>98</v>
      </c>
      <c r="N51" s="82" t="s">
        <v>102</v>
      </c>
      <c r="O51" s="82"/>
    </row>
    <row r="52" spans="3:15" x14ac:dyDescent="0.25">
      <c r="D52" s="14">
        <f>K14*L14</f>
        <v>0.70400000000000007</v>
      </c>
      <c r="E52" s="44">
        <f>SUM(D52:D58)</f>
        <v>113.8211</v>
      </c>
      <c r="F52" s="14">
        <f>SUM(K14:K20)</f>
        <v>2.3600000000000003</v>
      </c>
      <c r="G52" s="13">
        <f>SUM(L14:L20)</f>
        <v>285.39</v>
      </c>
      <c r="H52" s="14">
        <f>K14^2</f>
        <v>1.6000000000000001E-3</v>
      </c>
      <c r="I52" s="44">
        <f>SUM(H52:H58)</f>
        <v>0.98659999999999992</v>
      </c>
      <c r="J52" s="14">
        <f>ROUND((7*E52-G52*F52)/(7*I52-F52*F52),2)</f>
        <v>92.19</v>
      </c>
      <c r="K52" s="14">
        <f>ROUND((G52*I52-F52*E52)/(7*I52-F52*F52),2)</f>
        <v>9.69</v>
      </c>
      <c r="N52" s="14" t="s">
        <v>97</v>
      </c>
      <c r="O52" s="45">
        <f>F12-J52</f>
        <v>6.6099999999999994</v>
      </c>
    </row>
    <row r="53" spans="3:15" x14ac:dyDescent="0.25">
      <c r="D53" s="14">
        <f t="shared" ref="D53:D57" si="7">K15*L15</f>
        <v>5.2478999999999996</v>
      </c>
      <c r="E53" s="11"/>
      <c r="F53" s="11"/>
      <c r="G53" s="11"/>
      <c r="H53" s="14">
        <f t="shared" ref="H53:H57" si="8">K15^2</f>
        <v>4.4099999999999993E-2</v>
      </c>
      <c r="I53" s="11"/>
      <c r="J53" s="11"/>
      <c r="K53" s="11"/>
      <c r="N53" s="14" t="s">
        <v>101</v>
      </c>
      <c r="O53" s="46">
        <v>0.14899999999999999</v>
      </c>
    </row>
    <row r="54" spans="3:15" x14ac:dyDescent="0.25">
      <c r="D54" s="14">
        <f t="shared" si="7"/>
        <v>9.3492000000000015</v>
      </c>
      <c r="E54" s="11"/>
      <c r="F54" s="11"/>
      <c r="G54" s="11"/>
      <c r="H54" s="14">
        <f t="shared" si="8"/>
        <v>7.8400000000000011E-2</v>
      </c>
      <c r="I54" s="11"/>
      <c r="J54" s="11"/>
      <c r="K54" s="11"/>
    </row>
    <row r="55" spans="3:15" x14ac:dyDescent="0.25">
      <c r="D55" s="14">
        <f t="shared" si="7"/>
        <v>14.251999999999999</v>
      </c>
      <c r="E55" s="11"/>
      <c r="F55" s="11"/>
      <c r="G55" s="11"/>
      <c r="H55" s="14">
        <f t="shared" si="8"/>
        <v>0.12249999999999998</v>
      </c>
      <c r="I55" s="11"/>
      <c r="J55" s="11"/>
      <c r="K55" s="11"/>
    </row>
    <row r="56" spans="3:15" x14ac:dyDescent="0.25">
      <c r="D56" s="14">
        <f t="shared" si="7"/>
        <v>20.529600000000002</v>
      </c>
      <c r="E56" s="11"/>
      <c r="F56" s="11"/>
      <c r="G56" s="11"/>
      <c r="H56" s="14">
        <f t="shared" si="8"/>
        <v>0.17639999999999997</v>
      </c>
      <c r="I56" s="11"/>
      <c r="J56" s="11"/>
      <c r="K56" s="11"/>
    </row>
    <row r="57" spans="3:15" x14ac:dyDescent="0.25">
      <c r="D57" s="14">
        <f t="shared" si="7"/>
        <v>27.96</v>
      </c>
      <c r="E57" s="11"/>
      <c r="F57" s="11"/>
      <c r="G57" s="11"/>
      <c r="H57" s="14">
        <f t="shared" si="8"/>
        <v>0.25</v>
      </c>
      <c r="I57" s="11"/>
      <c r="J57" s="11"/>
      <c r="K57" s="11"/>
    </row>
    <row r="58" spans="3:15" x14ac:dyDescent="0.25">
      <c r="D58" s="14">
        <f>K20*L20</f>
        <v>35.778400000000005</v>
      </c>
      <c r="E58" s="11"/>
      <c r="F58" s="11"/>
      <c r="G58" s="11"/>
      <c r="H58" s="14">
        <f>K20^2</f>
        <v>0.31360000000000005</v>
      </c>
      <c r="I58" s="11"/>
      <c r="J58" s="11"/>
      <c r="K58" s="11"/>
    </row>
  </sheetData>
  <mergeCells count="8">
    <mergeCell ref="I2:L2"/>
    <mergeCell ref="I12:L12"/>
    <mergeCell ref="N40:O40"/>
    <mergeCell ref="N51:O51"/>
    <mergeCell ref="B2:C2"/>
    <mergeCell ref="B12:C12"/>
    <mergeCell ref="D12:E1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Александр Филиппов</cp:lastModifiedBy>
  <dcterms:created xsi:type="dcterms:W3CDTF">2015-06-05T18:19:34Z</dcterms:created>
  <dcterms:modified xsi:type="dcterms:W3CDTF">2022-06-30T12:11:44Z</dcterms:modified>
</cp:coreProperties>
</file>