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f421\Desktop\"/>
    </mc:Choice>
  </mc:AlternateContent>
  <xr:revisionPtr revIDLastSave="0" documentId="13_ncr:1_{8B1137DA-5F80-43C2-9707-1879803EBD87}" xr6:coauthVersionLast="47" xr6:coauthVersionMax="47" xr10:uidLastSave="{00000000-0000-0000-0000-000000000000}"/>
  <bookViews>
    <workbookView xWindow="2700" yWindow="3210" windowWidth="15345" windowHeight="1237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1" l="1"/>
  <c r="G23" i="1" l="1"/>
  <c r="K23" i="1" s="1"/>
  <c r="M23" i="1" s="1"/>
  <c r="S24" i="1" s="1"/>
  <c r="T24" i="1" s="1"/>
  <c r="G24" i="1"/>
  <c r="D103" i="1"/>
  <c r="D102" i="1"/>
  <c r="R53" i="1"/>
  <c r="K53" i="1"/>
  <c r="L53" i="1"/>
  <c r="M58" i="1" s="1"/>
  <c r="D94" i="1"/>
  <c r="D90" i="1"/>
  <c r="F86" i="1"/>
  <c r="C88" i="1"/>
  <c r="C87" i="1"/>
  <c r="C86" i="1"/>
  <c r="I53" i="1"/>
  <c r="J58" i="1" s="1"/>
  <c r="C63" i="1"/>
  <c r="C64" i="1"/>
  <c r="C65" i="1"/>
  <c r="C66" i="1"/>
  <c r="C67" i="1"/>
  <c r="C62" i="1"/>
  <c r="B63" i="1"/>
  <c r="B64" i="1"/>
  <c r="B65" i="1"/>
  <c r="B66" i="1"/>
  <c r="B67" i="1"/>
  <c r="B62" i="1"/>
  <c r="D54" i="1"/>
  <c r="D55" i="1"/>
  <c r="D56" i="1"/>
  <c r="D57" i="1"/>
  <c r="D58" i="1"/>
  <c r="D53" i="1"/>
  <c r="C54" i="1"/>
  <c r="C55" i="1"/>
  <c r="C56" i="1"/>
  <c r="C57" i="1"/>
  <c r="C58" i="1"/>
  <c r="C53" i="1"/>
  <c r="S46" i="1"/>
  <c r="T46" i="1" s="1"/>
  <c r="R46" i="1"/>
  <c r="V46" i="1" s="1"/>
  <c r="S45" i="1"/>
  <c r="T45" i="1" s="1"/>
  <c r="R45" i="1"/>
  <c r="V45" i="1" s="1"/>
  <c r="V44" i="1"/>
  <c r="S44" i="1"/>
  <c r="T44" i="1" s="1"/>
  <c r="R44" i="1"/>
  <c r="S43" i="1"/>
  <c r="T43" i="1" s="1"/>
  <c r="R43" i="1"/>
  <c r="V43" i="1" s="1"/>
  <c r="W43" i="1" s="1"/>
  <c r="S42" i="1"/>
  <c r="T42" i="1" s="1"/>
  <c r="R42" i="1"/>
  <c r="V42" i="1" s="1"/>
  <c r="V41" i="1"/>
  <c r="T41" i="1"/>
  <c r="S41" i="1"/>
  <c r="R41" i="1"/>
  <c r="V40" i="1"/>
  <c r="S40" i="1"/>
  <c r="T40" i="1" s="1"/>
  <c r="R40" i="1"/>
  <c r="S39" i="1"/>
  <c r="T39" i="1" s="1"/>
  <c r="R39" i="1"/>
  <c r="V39" i="1" s="1"/>
  <c r="V38" i="1"/>
  <c r="S38" i="1"/>
  <c r="T38" i="1" s="1"/>
  <c r="R38" i="1"/>
  <c r="S37" i="1"/>
  <c r="T37" i="1" s="1"/>
  <c r="R37" i="1"/>
  <c r="V37" i="1" s="1"/>
  <c r="V36" i="1"/>
  <c r="S36" i="1"/>
  <c r="T36" i="1" s="1"/>
  <c r="R36" i="1"/>
  <c r="S35" i="1"/>
  <c r="T35" i="1" s="1"/>
  <c r="R35" i="1"/>
  <c r="V35" i="1" s="1"/>
  <c r="S34" i="1"/>
  <c r="T34" i="1" s="1"/>
  <c r="R34" i="1"/>
  <c r="V34" i="1" s="1"/>
  <c r="V33" i="1"/>
  <c r="T33" i="1"/>
  <c r="S33" i="1"/>
  <c r="R33" i="1"/>
  <c r="V32" i="1"/>
  <c r="S32" i="1"/>
  <c r="T32" i="1" s="1"/>
  <c r="R32" i="1"/>
  <c r="S31" i="1"/>
  <c r="T31" i="1" s="1"/>
  <c r="R31" i="1"/>
  <c r="V31" i="1" s="1"/>
  <c r="V30" i="1"/>
  <c r="S30" i="1"/>
  <c r="T30" i="1" s="1"/>
  <c r="R30" i="1"/>
  <c r="S29" i="1"/>
  <c r="T29" i="1" s="1"/>
  <c r="R29" i="1"/>
  <c r="V29" i="1" s="1"/>
  <c r="V28" i="1"/>
  <c r="S28" i="1"/>
  <c r="T28" i="1" s="1"/>
  <c r="R28" i="1"/>
  <c r="S27" i="1"/>
  <c r="T27" i="1" s="1"/>
  <c r="R27" i="1"/>
  <c r="V27" i="1" s="1"/>
  <c r="R26" i="1"/>
  <c r="V26" i="1" s="1"/>
  <c r="V25" i="1"/>
  <c r="R25" i="1"/>
  <c r="V24" i="1"/>
  <c r="R24" i="1"/>
  <c r="R23" i="1"/>
  <c r="V23" i="1" s="1"/>
  <c r="K46" i="1"/>
  <c r="J46" i="1"/>
  <c r="K45" i="1"/>
  <c r="J45" i="1"/>
  <c r="K44" i="1"/>
  <c r="J44" i="1"/>
  <c r="L43" i="1"/>
  <c r="K43" i="1"/>
  <c r="M43" i="1" s="1"/>
  <c r="J43" i="1"/>
  <c r="K42" i="1"/>
  <c r="J42" i="1"/>
  <c r="K41" i="1"/>
  <c r="J41" i="1"/>
  <c r="K40" i="1"/>
  <c r="J40" i="1"/>
  <c r="L39" i="1"/>
  <c r="K39" i="1"/>
  <c r="M39" i="1" s="1"/>
  <c r="J39" i="1"/>
  <c r="K38" i="1"/>
  <c r="J38" i="1"/>
  <c r="K37" i="1"/>
  <c r="J37" i="1"/>
  <c r="K36" i="1"/>
  <c r="J36" i="1"/>
  <c r="L35" i="1"/>
  <c r="K35" i="1"/>
  <c r="M35" i="1" s="1"/>
  <c r="J35" i="1"/>
  <c r="K34" i="1"/>
  <c r="J34" i="1"/>
  <c r="K33" i="1"/>
  <c r="J33" i="1"/>
  <c r="K32" i="1"/>
  <c r="J32" i="1"/>
  <c r="L31" i="1"/>
  <c r="K31" i="1"/>
  <c r="M31" i="1" s="1"/>
  <c r="J31" i="1"/>
  <c r="K30" i="1"/>
  <c r="J30" i="1"/>
  <c r="K29" i="1"/>
  <c r="J29" i="1"/>
  <c r="K28" i="1"/>
  <c r="J28" i="1"/>
  <c r="L27" i="1"/>
  <c r="K27" i="1"/>
  <c r="M27" i="1" s="1"/>
  <c r="J27" i="1"/>
  <c r="K26" i="1"/>
  <c r="J26" i="1"/>
  <c r="K25" i="1"/>
  <c r="J25" i="1"/>
  <c r="K24" i="1"/>
  <c r="J24" i="1"/>
  <c r="L23" i="1"/>
  <c r="J23" i="1"/>
  <c r="E23" i="1"/>
  <c r="D26" i="1"/>
  <c r="C23" i="1"/>
  <c r="D46" i="1"/>
  <c r="E46" i="1" s="1"/>
  <c r="F46" i="1" s="1"/>
  <c r="C46" i="1"/>
  <c r="D45" i="1"/>
  <c r="E45" i="1" s="1"/>
  <c r="F45" i="1" s="1"/>
  <c r="C45" i="1"/>
  <c r="D44" i="1"/>
  <c r="E44" i="1" s="1"/>
  <c r="C44" i="1"/>
  <c r="D43" i="1"/>
  <c r="E43" i="1" s="1"/>
  <c r="F43" i="1" s="1"/>
  <c r="C43" i="1"/>
  <c r="G43" i="1" s="1"/>
  <c r="E42" i="1"/>
  <c r="F42" i="1" s="1"/>
  <c r="D42" i="1"/>
  <c r="C42" i="1"/>
  <c r="D41" i="1"/>
  <c r="E41" i="1" s="1"/>
  <c r="C41" i="1"/>
  <c r="D40" i="1"/>
  <c r="E40" i="1" s="1"/>
  <c r="F40" i="1" s="1"/>
  <c r="C40" i="1"/>
  <c r="D39" i="1"/>
  <c r="E39" i="1" s="1"/>
  <c r="C39" i="1"/>
  <c r="D38" i="1"/>
  <c r="E38" i="1" s="1"/>
  <c r="F38" i="1" s="1"/>
  <c r="C38" i="1"/>
  <c r="G38" i="1" s="1"/>
  <c r="G37" i="1"/>
  <c r="F37" i="1"/>
  <c r="E37" i="1"/>
  <c r="D37" i="1"/>
  <c r="C37" i="1"/>
  <c r="E36" i="1"/>
  <c r="F36" i="1" s="1"/>
  <c r="D36" i="1"/>
  <c r="C36" i="1"/>
  <c r="G36" i="1" s="1"/>
  <c r="D35" i="1"/>
  <c r="E35" i="1" s="1"/>
  <c r="F35" i="1" s="1"/>
  <c r="C35" i="1"/>
  <c r="D34" i="1"/>
  <c r="E34" i="1" s="1"/>
  <c r="F34" i="1" s="1"/>
  <c r="C34" i="1"/>
  <c r="G34" i="1" s="1"/>
  <c r="D33" i="1"/>
  <c r="E33" i="1" s="1"/>
  <c r="F33" i="1" s="1"/>
  <c r="C33" i="1"/>
  <c r="D32" i="1"/>
  <c r="E32" i="1" s="1"/>
  <c r="C32" i="1"/>
  <c r="D31" i="1"/>
  <c r="E31" i="1" s="1"/>
  <c r="F31" i="1" s="1"/>
  <c r="C31" i="1"/>
  <c r="E30" i="1"/>
  <c r="F30" i="1" s="1"/>
  <c r="D30" i="1"/>
  <c r="C30" i="1"/>
  <c r="D29" i="1"/>
  <c r="E29" i="1" s="1"/>
  <c r="C29" i="1"/>
  <c r="D28" i="1"/>
  <c r="E28" i="1" s="1"/>
  <c r="F28" i="1" s="1"/>
  <c r="C28" i="1"/>
  <c r="G28" i="1" s="1"/>
  <c r="D27" i="1"/>
  <c r="E27" i="1" s="1"/>
  <c r="C27" i="1"/>
  <c r="E26" i="1"/>
  <c r="F26" i="1" s="1"/>
  <c r="C26" i="1"/>
  <c r="G26" i="1" s="1"/>
  <c r="E25" i="1"/>
  <c r="G25" i="1" s="1"/>
  <c r="D25" i="1"/>
  <c r="C25" i="1"/>
  <c r="E24" i="1"/>
  <c r="D24" i="1"/>
  <c r="C24" i="1"/>
  <c r="D23" i="1"/>
  <c r="F23" i="1" s="1"/>
  <c r="D19" i="1"/>
  <c r="E19" i="1"/>
  <c r="F19" i="1"/>
  <c r="G19" i="1"/>
  <c r="H19" i="1"/>
  <c r="I19" i="1"/>
  <c r="E15" i="1"/>
  <c r="F15" i="1"/>
  <c r="G15" i="1"/>
  <c r="H15" i="1"/>
  <c r="I15" i="1"/>
  <c r="D15" i="1"/>
  <c r="E11" i="1"/>
  <c r="F11" i="1"/>
  <c r="G11" i="1"/>
  <c r="H11" i="1"/>
  <c r="I11" i="1"/>
  <c r="D11" i="1"/>
  <c r="D7" i="1"/>
  <c r="E7" i="1"/>
  <c r="F7" i="1"/>
  <c r="G7" i="1"/>
  <c r="H7" i="1"/>
  <c r="I7" i="1"/>
  <c r="S23" i="1" l="1"/>
  <c r="T23" i="1" s="1"/>
  <c r="S25" i="1"/>
  <c r="T25" i="1" s="1"/>
  <c r="S26" i="1"/>
  <c r="T26" i="1" s="1"/>
  <c r="J56" i="1"/>
  <c r="J55" i="1"/>
  <c r="J57" i="1"/>
  <c r="J54" i="1"/>
  <c r="J53" i="1"/>
  <c r="P58" i="1"/>
  <c r="N58" i="1"/>
  <c r="M56" i="1"/>
  <c r="M54" i="1"/>
  <c r="M57" i="1"/>
  <c r="M55" i="1"/>
  <c r="M53" i="1"/>
  <c r="W39" i="1"/>
  <c r="U43" i="1"/>
  <c r="N43" i="1" s="1"/>
  <c r="U39" i="1"/>
  <c r="N39" i="1" s="1"/>
  <c r="O39" i="1" s="1"/>
  <c r="U35" i="1"/>
  <c r="N35" i="1" s="1"/>
  <c r="W35" i="1"/>
  <c r="W31" i="1"/>
  <c r="U31" i="1"/>
  <c r="W27" i="1"/>
  <c r="W23" i="1"/>
  <c r="U27" i="1"/>
  <c r="N27" i="1" s="1"/>
  <c r="O27" i="1" s="1"/>
  <c r="O35" i="1"/>
  <c r="O43" i="1"/>
  <c r="G40" i="1"/>
  <c r="G33" i="1"/>
  <c r="G35" i="1"/>
  <c r="G45" i="1"/>
  <c r="F25" i="1"/>
  <c r="G32" i="1"/>
  <c r="F32" i="1"/>
  <c r="F27" i="1"/>
  <c r="G27" i="1"/>
  <c r="G41" i="1"/>
  <c r="F41" i="1"/>
  <c r="G29" i="1"/>
  <c r="F29" i="1"/>
  <c r="G44" i="1"/>
  <c r="F44" i="1"/>
  <c r="F39" i="1"/>
  <c r="G39" i="1"/>
  <c r="G46" i="1"/>
  <c r="G31" i="1"/>
  <c r="G30" i="1"/>
  <c r="G42" i="1"/>
  <c r="F24" i="1"/>
  <c r="U23" i="1" l="1"/>
  <c r="N23" i="1" s="1"/>
  <c r="N53" i="1"/>
  <c r="P53" i="1"/>
  <c r="P57" i="1"/>
  <c r="N57" i="1"/>
  <c r="N54" i="1"/>
  <c r="P54" i="1"/>
  <c r="P56" i="1"/>
  <c r="N56" i="1"/>
  <c r="N55" i="1"/>
  <c r="P55" i="1"/>
  <c r="N31" i="1"/>
  <c r="O31" i="1" s="1"/>
  <c r="O23" i="1" l="1"/>
  <c r="B98" i="1"/>
  <c r="B99" i="1" s="1"/>
  <c r="O53" i="1"/>
  <c r="Q53" i="1"/>
  <c r="S53" i="1" l="1"/>
</calcChain>
</file>

<file path=xl/sharedStrings.xml><?xml version="1.0" encoding="utf-8"?>
<sst xmlns="http://schemas.openxmlformats.org/spreadsheetml/2006/main" count="92" uniqueCount="71">
  <si>
    <t>m, г</t>
  </si>
  <si>
    <t>t, c</t>
  </si>
  <si>
    <t>1 риска</t>
  </si>
  <si>
    <t>2 риска</t>
  </si>
  <si>
    <t xml:space="preserve">3 риска </t>
  </si>
  <si>
    <t>4 риска</t>
  </si>
  <si>
    <t xml:space="preserve">5 риска </t>
  </si>
  <si>
    <t>6 риска</t>
  </si>
  <si>
    <t>Положение утяжелителей</t>
  </si>
  <si>
    <t>t1</t>
  </si>
  <si>
    <t>t2</t>
  </si>
  <si>
    <t>t3</t>
  </si>
  <si>
    <t>tcp</t>
  </si>
  <si>
    <t>№ риски</t>
  </si>
  <si>
    <t>m, кг</t>
  </si>
  <si>
    <t>tср, c</t>
  </si>
  <si>
    <t>a, м/с^2</t>
  </si>
  <si>
    <t>E, рад/с^2</t>
  </si>
  <si>
    <t>М, Н*м</t>
  </si>
  <si>
    <t>h, м</t>
  </si>
  <si>
    <t>∆h, м</t>
  </si>
  <si>
    <t>d, м</t>
  </si>
  <si>
    <t>∆d, м</t>
  </si>
  <si>
    <r>
      <t>l</t>
    </r>
    <r>
      <rPr>
        <sz val="10"/>
        <color theme="1"/>
        <rFont val="Calibri (Основной текст)"/>
        <charset val="204"/>
      </rPr>
      <t>1</t>
    </r>
    <r>
      <rPr>
        <sz val="11"/>
        <color theme="1"/>
        <rFont val="Calibri"/>
        <family val="2"/>
        <scheme val="minor"/>
      </rPr>
      <t>, м</t>
    </r>
  </si>
  <si>
    <r>
      <t>∆l</t>
    </r>
    <r>
      <rPr>
        <sz val="10"/>
        <color theme="1"/>
        <rFont val="Calibri (Основной текст)"/>
        <charset val="204"/>
      </rPr>
      <t>1</t>
    </r>
    <r>
      <rPr>
        <sz val="11"/>
        <color theme="1"/>
        <rFont val="Calibri"/>
        <family val="2"/>
        <scheme val="minor"/>
      </rPr>
      <t>, м</t>
    </r>
  </si>
  <si>
    <r>
      <t>l</t>
    </r>
    <r>
      <rPr>
        <sz val="10"/>
        <color theme="1"/>
        <rFont val="Calibri (Основной текст)"/>
        <charset val="204"/>
      </rPr>
      <t>0</t>
    </r>
    <r>
      <rPr>
        <sz val="11"/>
        <color theme="1"/>
        <rFont val="Calibri"/>
        <family val="2"/>
        <scheme val="minor"/>
      </rPr>
      <t>, м</t>
    </r>
  </si>
  <si>
    <r>
      <t>∆l</t>
    </r>
    <r>
      <rPr>
        <sz val="10"/>
        <color theme="1"/>
        <rFont val="Calibri (Основной текст)"/>
        <charset val="204"/>
      </rPr>
      <t>0, м</t>
    </r>
  </si>
  <si>
    <t>dгр, м</t>
  </si>
  <si>
    <t>hгр, м</t>
  </si>
  <si>
    <t>∆d = ∆h, м</t>
  </si>
  <si>
    <t>Eср, рад/с^2</t>
  </si>
  <si>
    <t>Мср, Н*м</t>
  </si>
  <si>
    <t>I, кг*м^2</t>
  </si>
  <si>
    <t>Мтр, Н*м</t>
  </si>
  <si>
    <t>расчёт I</t>
  </si>
  <si>
    <t>ei-еср</t>
  </si>
  <si>
    <t>мi-мср</t>
  </si>
  <si>
    <t>*</t>
  </si>
  <si>
    <t>∑</t>
  </si>
  <si>
    <t>^2</t>
  </si>
  <si>
    <t>R, м</t>
  </si>
  <si>
    <t>R^2, м^2</t>
  </si>
  <si>
    <t>I, м^2</t>
  </si>
  <si>
    <t>R^2, м^2*10^-2</t>
  </si>
  <si>
    <t>I, м^2*10^-2</t>
  </si>
  <si>
    <t>Icp</t>
  </si>
  <si>
    <t>I-Icp</t>
  </si>
  <si>
    <t>R cp</t>
  </si>
  <si>
    <t>R^2 cp</t>
  </si>
  <si>
    <t>R^2-R^2cp</t>
  </si>
  <si>
    <t>СУММ</t>
  </si>
  <si>
    <t>(m52)^2</t>
  </si>
  <si>
    <t>I0, кг*м^2</t>
  </si>
  <si>
    <t>СКО tcp</t>
  </si>
  <si>
    <t>случ погр</t>
  </si>
  <si>
    <t>Абс погр</t>
  </si>
  <si>
    <t>абс погр a</t>
  </si>
  <si>
    <t>относит погр ускорения</t>
  </si>
  <si>
    <t>абс погр углового ускорения</t>
  </si>
  <si>
    <t>относит погр углового ускорения</t>
  </si>
  <si>
    <t>абс пог момента натяжения нити</t>
  </si>
  <si>
    <t>относит погрешность</t>
  </si>
  <si>
    <t>1.1%</t>
  </si>
  <si>
    <t>D</t>
  </si>
  <si>
    <t>di</t>
  </si>
  <si>
    <t>di^2</t>
  </si>
  <si>
    <t>СКО момента инерции</t>
  </si>
  <si>
    <t>Абс погрешность</t>
  </si>
  <si>
    <t>Относит погр</t>
  </si>
  <si>
    <t>Ско массы груза</t>
  </si>
  <si>
    <t>отн погр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</si>
</sst>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 (Основной текст)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 зависимости </a:t>
            </a:r>
            <a:r>
              <a:rPr lang="en-US"/>
              <a:t>M=M</a:t>
            </a:r>
            <a:r>
              <a:rPr lang="ru-RU"/>
              <a:t>т</a:t>
            </a:r>
            <a:r>
              <a:rPr lang="en-US"/>
              <a:t>p + 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643076666726113E-2"/>
          <c:y val="8.8546677509354826E-2"/>
          <c:w val="0.82083358478202395"/>
          <c:h val="0.838870097151839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Лист1!$J$23:$J$26</c:f>
              <c:numCache>
                <c:formatCode>0.00</c:formatCode>
                <c:ptCount val="4"/>
                <c:pt idx="0">
                  <c:v>2.5984207541062472</c:v>
                </c:pt>
                <c:pt idx="1">
                  <c:v>5.3916494133885431</c:v>
                </c:pt>
                <c:pt idx="2">
                  <c:v>6.9473115889097095</c:v>
                </c:pt>
                <c:pt idx="3">
                  <c:v>8.3497345977217137</c:v>
                </c:pt>
              </c:numCache>
            </c:numRef>
          </c:xVal>
          <c:yVal>
            <c:numRef>
              <c:f>Лист1!$K$23:$K$26</c:f>
              <c:numCache>
                <c:formatCode>0.00</c:formatCode>
                <c:ptCount val="4"/>
                <c:pt idx="0">
                  <c:v>5.9937611257427775E-2</c:v>
                </c:pt>
                <c:pt idx="1">
                  <c:v>0.10860480710317459</c:v>
                </c:pt>
                <c:pt idx="2">
                  <c:v>0.15708470462381299</c:v>
                </c:pt>
                <c:pt idx="3">
                  <c:v>0.20527765209876545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6-43AE-9855-F08889F57944}"/>
            </c:ext>
          </c:extLst>
        </c:ser>
        <c:ser>
          <c:idx val="1"/>
          <c:order val="1"/>
          <c:tx>
            <c:v>ряд 2 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Лист1!$J$27:$J$30</c:f>
              <c:numCache>
                <c:formatCode>0.00</c:formatCode>
                <c:ptCount val="4"/>
                <c:pt idx="0">
                  <c:v>1.5095682365277776</c:v>
                </c:pt>
                <c:pt idx="1">
                  <c:v>3.3541385757560951</c:v>
                </c:pt>
                <c:pt idx="2">
                  <c:v>4.9406713595986487</c:v>
                </c:pt>
                <c:pt idx="3">
                  <c:v>6.0957343792452425</c:v>
                </c:pt>
              </c:numCache>
            </c:numRef>
          </c:xVal>
          <c:yVal>
            <c:numRef>
              <c:f>Лист1!$K$27:$K$30</c:f>
              <c:numCache>
                <c:formatCode>0.00</c:formatCode>
                <c:ptCount val="4"/>
                <c:pt idx="0">
                  <c:v>6.0091404053568116E-2</c:v>
                </c:pt>
                <c:pt idx="1">
                  <c:v>0.10912971675769798</c:v>
                </c:pt>
                <c:pt idx="2">
                  <c:v>0.15783519408949601</c:v>
                </c:pt>
                <c:pt idx="3">
                  <c:v>0.2063829754879026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6-43AE-9855-F08889F57944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Лист1!$J$31:$J$34</c:f>
              <c:numCache>
                <c:formatCode>0.00</c:formatCode>
                <c:ptCount val="4"/>
                <c:pt idx="0">
                  <c:v>1.3359575356354745</c:v>
                </c:pt>
                <c:pt idx="1">
                  <c:v>2.4842185579998488</c:v>
                </c:pt>
                <c:pt idx="2">
                  <c:v>3.7109931545429848</c:v>
                </c:pt>
                <c:pt idx="3">
                  <c:v>4.8572859983873808</c:v>
                </c:pt>
              </c:numCache>
            </c:numRef>
          </c:xVal>
          <c:yVal>
            <c:numRef>
              <c:f>Лист1!$K$31:$K$34</c:f>
              <c:numCache>
                <c:formatCode>0.00</c:formatCode>
                <c:ptCount val="4"/>
                <c:pt idx="0">
                  <c:v>6.011592534979425E-2</c:v>
                </c:pt>
                <c:pt idx="1">
                  <c:v>0.10935382816243239</c:v>
                </c:pt>
                <c:pt idx="2">
                  <c:v>0.15829509742722145</c:v>
                </c:pt>
                <c:pt idx="3">
                  <c:v>0.20699028952025281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B6-43AE-9855-F08889F57944}"/>
            </c:ext>
          </c:extLst>
        </c:ser>
        <c:ser>
          <c:idx val="3"/>
          <c:order val="3"/>
          <c:tx>
            <c:v>ряд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Лист1!$J$35:$J$38</c:f>
              <c:numCache>
                <c:formatCode>0.00</c:formatCode>
                <c:ptCount val="4"/>
                <c:pt idx="0">
                  <c:v>1.0937612794131939</c:v>
                </c:pt>
                <c:pt idx="1">
                  <c:v>2.0644318012742557</c:v>
                </c:pt>
                <c:pt idx="2">
                  <c:v>2.8641670807774893</c:v>
                </c:pt>
                <c:pt idx="3">
                  <c:v>3.8426785445690324</c:v>
                </c:pt>
              </c:numCache>
            </c:numRef>
          </c:xVal>
          <c:yVal>
            <c:numRef>
              <c:f>Лист1!$K$35:$K$38</c:f>
              <c:numCache>
                <c:formatCode>0.00</c:formatCode>
                <c:ptCount val="4"/>
                <c:pt idx="0">
                  <c:v>6.0150133875611848E-2</c:v>
                </c:pt>
                <c:pt idx="1">
                  <c:v>0.10946197488606031</c:v>
                </c:pt>
                <c:pt idx="2">
                  <c:v>0.15861181291928797</c:v>
                </c:pt>
                <c:pt idx="3">
                  <c:v>0.20748783576727861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B6-43AE-9855-F08889F57944}"/>
            </c:ext>
          </c:extLst>
        </c:ser>
        <c:ser>
          <c:idx val="4"/>
          <c:order val="4"/>
          <c:tx>
            <c:v>ряд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Лист1!$J$39:$J$42</c:f>
              <c:numCache>
                <c:formatCode>0.00</c:formatCode>
                <c:ptCount val="4"/>
                <c:pt idx="0">
                  <c:v>0.84846391970816226</c:v>
                </c:pt>
                <c:pt idx="1">
                  <c:v>1.5239335948113106</c:v>
                </c:pt>
                <c:pt idx="2">
                  <c:v>2.1587937770610583</c:v>
                </c:pt>
                <c:pt idx="3">
                  <c:v>3.1728678101682255</c:v>
                </c:pt>
              </c:numCache>
            </c:numRef>
          </c:xVal>
          <c:yVal>
            <c:numRef>
              <c:f>Лист1!$K$39:$K$42</c:f>
              <c:numCache>
                <c:formatCode>0.00</c:formatCode>
                <c:ptCount val="4"/>
                <c:pt idx="0">
                  <c:v>6.0184780410588661E-2</c:v>
                </c:pt>
                <c:pt idx="1">
                  <c:v>0.10960121965550391</c:v>
                </c:pt>
                <c:pt idx="2">
                  <c:v>0.1588756246509978</c:v>
                </c:pt>
                <c:pt idx="3">
                  <c:v>0.20781629956464628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B6-43AE-9855-F08889F57944}"/>
            </c:ext>
          </c:extLst>
        </c:ser>
        <c:ser>
          <c:idx val="5"/>
          <c:order val="5"/>
          <c:tx>
            <c:v>ряд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Лист1!$J$43:$J$46</c:f>
              <c:numCache>
                <c:formatCode>0.00</c:formatCode>
                <c:ptCount val="4"/>
                <c:pt idx="0">
                  <c:v>0.63899956767114963</c:v>
                </c:pt>
                <c:pt idx="1">
                  <c:v>1.1676852774570352</c:v>
                </c:pt>
                <c:pt idx="2">
                  <c:v>1.847465831119453</c:v>
                </c:pt>
                <c:pt idx="3">
                  <c:v>2.4250726179334468</c:v>
                </c:pt>
              </c:numCache>
            </c:numRef>
          </c:xVal>
          <c:yVal>
            <c:numRef>
              <c:f>Лист1!$K$43:$K$46</c:f>
              <c:numCache>
                <c:formatCode>0.00</c:formatCode>
                <c:ptCount val="4"/>
                <c:pt idx="0">
                  <c:v>6.0214365784063438E-2</c:v>
                </c:pt>
                <c:pt idx="1">
                  <c:v>0.10969299741576569</c:v>
                </c:pt>
                <c:pt idx="2">
                  <c:v>0.15899206223676379</c:v>
                </c:pt>
                <c:pt idx="3">
                  <c:v>0.20818300561439995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B6-43AE-9855-F08889F5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663327"/>
        <c:axId val="1539482511"/>
      </c:scatterChart>
      <c:valAx>
        <c:axId val="153666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E, </a:t>
                </a:r>
                <a:r>
                  <a:rPr lang="ru-RU" sz="1100"/>
                  <a:t>рад</a:t>
                </a:r>
                <a:r>
                  <a:rPr lang="en-US" sz="1100"/>
                  <a:t>/</a:t>
                </a:r>
                <a:r>
                  <a:rPr lang="ru-RU" sz="1100"/>
                  <a:t>с</a:t>
                </a:r>
                <a:r>
                  <a:rPr lang="en-US" sz="1100"/>
                  <a:t>^2</a:t>
                </a:r>
                <a:endParaRPr lang="ru-R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482511"/>
        <c:crosses val="autoZero"/>
        <c:crossBetween val="midCat"/>
      </c:valAx>
      <c:valAx>
        <c:axId val="15394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M, H*</a:t>
                </a:r>
                <a:r>
                  <a:rPr lang="ru-RU" sz="1100"/>
                  <a:t>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66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5.0718983202449018E-2"/>
          <c:y val="0.96072120046249943"/>
          <c:w val="0.28321560111696614"/>
          <c:h val="2.9781803825634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I=I0+4mR^2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Лист1!$B$62:$B$67</c:f>
              <c:numCache>
                <c:formatCode>General</c:formatCode>
                <c:ptCount val="6"/>
                <c:pt idx="0">
                  <c:v>0.6</c:v>
                </c:pt>
                <c:pt idx="1">
                  <c:v>1.0999999999999999</c:v>
                </c:pt>
                <c:pt idx="2">
                  <c:v>1.6</c:v>
                </c:pt>
                <c:pt idx="3">
                  <c:v>2.2999999999999998</c:v>
                </c:pt>
                <c:pt idx="4">
                  <c:v>3.2</c:v>
                </c:pt>
                <c:pt idx="5">
                  <c:v>4.1000000000000005</c:v>
                </c:pt>
              </c:numCache>
            </c:numRef>
          </c:xVal>
          <c:yVal>
            <c:numRef>
              <c:f>Лист1!$C$62:$C$67</c:f>
              <c:numCache>
                <c:formatCode>General</c:formatCode>
                <c:ptCount val="6"/>
                <c:pt idx="0">
                  <c:v>2.5</c:v>
                </c:pt>
                <c:pt idx="1">
                  <c:v>3.2</c:v>
                </c:pt>
                <c:pt idx="2">
                  <c:v>4.2</c:v>
                </c:pt>
                <c:pt idx="3">
                  <c:v>5.4</c:v>
                </c:pt>
                <c:pt idx="4">
                  <c:v>6.4</c:v>
                </c:pt>
                <c:pt idx="5">
                  <c:v>8.2000000000000011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8-4ACD-9D38-E7795250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66671"/>
        <c:axId val="1705768751"/>
      </c:scatterChart>
      <c:valAx>
        <c:axId val="170576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R^2, </a:t>
                </a:r>
                <a:r>
                  <a:rPr lang="ru-RU" sz="1000"/>
                  <a:t>м^2*10^-2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768751"/>
        <c:crosses val="autoZero"/>
        <c:crossBetween val="midCat"/>
      </c:valAx>
      <c:valAx>
        <c:axId val="17057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I, </a:t>
                </a:r>
                <a:r>
                  <a:rPr lang="ru-RU" sz="1000"/>
                  <a:t>м^2*10^-2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76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454398</xdr:colOff>
      <xdr:row>9</xdr:row>
      <xdr:rowOff>132507</xdr:rowOff>
    </xdr:from>
    <xdr:to>
      <xdr:col>34</xdr:col>
      <xdr:colOff>11206</xdr:colOff>
      <xdr:row>47</xdr:row>
      <xdr:rowOff>89646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E1F09B-8F18-8FB6-9372-38546AF50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330572</xdr:colOff>
      <xdr:row>61</xdr:row>
      <xdr:rowOff>79559</xdr:rowOff>
    </xdr:from>
    <xdr:to>
      <xdr:col>10</xdr:col>
      <xdr:colOff>526675</xdr:colOff>
      <xdr:row>79</xdr:row>
      <xdr:rowOff>134470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6B2A7C-C13A-C010-03D3-8B4EFEDCA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16"/>
  <sheetViews>
    <sheetView tabSelected="1" topLeftCell="A85" zoomScaleNormal="100" workbookViewId="0">
      <selection activeCell="B98" sqref="B98"/>
    </sheetView>
  </sheetViews>
  <sheetFormatPr defaultRowHeight="15"/>
  <cols>
    <col min="2" max="2" width="11.7109375" customWidth="1"/>
    <col min="5" max="5" width="10" customWidth="1"/>
    <col min="6" max="6" width="12.28515625" bestFit="1" customWidth="1"/>
  </cols>
  <sheetData>
    <row r="2" spans="2:9">
      <c r="B2" s="18" t="s">
        <v>0</v>
      </c>
      <c r="C2" s="18" t="s">
        <v>1</v>
      </c>
      <c r="D2" s="15" t="s">
        <v>8</v>
      </c>
      <c r="E2" s="16"/>
      <c r="F2" s="16"/>
      <c r="G2" s="16"/>
      <c r="H2" s="16"/>
      <c r="I2" s="17"/>
    </row>
    <row r="3" spans="2:9">
      <c r="B3" s="19"/>
      <c r="C3" s="19"/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>
      <c r="B4" s="18">
        <v>267</v>
      </c>
      <c r="C4" s="2" t="s">
        <v>9</v>
      </c>
      <c r="D4" s="2">
        <v>4.88</v>
      </c>
      <c r="E4" s="2">
        <v>6.51</v>
      </c>
      <c r="F4" s="2">
        <v>6.6</v>
      </c>
      <c r="G4" s="2">
        <v>7.55</v>
      </c>
      <c r="H4" s="2">
        <v>8.24</v>
      </c>
      <c r="I4" s="2">
        <v>9.76</v>
      </c>
    </row>
    <row r="5" spans="2:9">
      <c r="B5" s="20"/>
      <c r="C5" s="2" t="s">
        <v>10</v>
      </c>
      <c r="D5" s="2">
        <v>4.76</v>
      </c>
      <c r="E5" s="2">
        <v>6.23</v>
      </c>
      <c r="F5" s="2">
        <v>6.75</v>
      </c>
      <c r="G5" s="2">
        <v>7.51</v>
      </c>
      <c r="H5" s="2">
        <v>8.5500000000000007</v>
      </c>
      <c r="I5" s="2">
        <v>9.86</v>
      </c>
    </row>
    <row r="6" spans="2:9">
      <c r="B6" s="20"/>
      <c r="C6" s="2" t="s">
        <v>11</v>
      </c>
      <c r="D6" s="2">
        <v>4.87</v>
      </c>
      <c r="E6" s="2">
        <v>6.31</v>
      </c>
      <c r="F6" s="2">
        <v>6.89</v>
      </c>
      <c r="G6" s="2">
        <v>7.33</v>
      </c>
      <c r="H6" s="2">
        <v>8.6300000000000008</v>
      </c>
      <c r="I6" s="2">
        <v>9.65</v>
      </c>
    </row>
    <row r="7" spans="2:9">
      <c r="B7" s="19"/>
      <c r="C7" s="2" t="s">
        <v>12</v>
      </c>
      <c r="D7" s="3">
        <f>ROUND(AVERAGE(D4:D6),2)</f>
        <v>4.84</v>
      </c>
      <c r="E7" s="3">
        <f t="shared" ref="E7:I7" si="0">ROUND(AVERAGE(E4:E6),2)</f>
        <v>6.35</v>
      </c>
      <c r="F7" s="3">
        <f t="shared" si="0"/>
        <v>6.75</v>
      </c>
      <c r="G7" s="3">
        <f t="shared" si="0"/>
        <v>7.46</v>
      </c>
      <c r="H7" s="3">
        <f t="shared" si="0"/>
        <v>8.4700000000000006</v>
      </c>
      <c r="I7" s="3">
        <f t="shared" si="0"/>
        <v>9.76</v>
      </c>
    </row>
    <row r="8" spans="2:9">
      <c r="B8" s="18">
        <v>487</v>
      </c>
      <c r="C8" s="2" t="s">
        <v>9</v>
      </c>
      <c r="D8" s="2">
        <v>3.34</v>
      </c>
      <c r="E8" s="2">
        <v>4.09</v>
      </c>
      <c r="F8" s="2">
        <v>4.75</v>
      </c>
      <c r="G8" s="2">
        <v>5.37</v>
      </c>
      <c r="H8" s="2">
        <v>6.34</v>
      </c>
      <c r="I8" s="2">
        <v>7.22</v>
      </c>
    </row>
    <row r="9" spans="2:9">
      <c r="B9" s="20"/>
      <c r="C9" s="2" t="s">
        <v>10</v>
      </c>
      <c r="D9" s="2">
        <v>3.42</v>
      </c>
      <c r="E9" s="2">
        <v>4.3099999999999996</v>
      </c>
      <c r="F9" s="2">
        <v>5.25</v>
      </c>
      <c r="G9" s="2">
        <v>5.53</v>
      </c>
      <c r="H9" s="2">
        <v>6.3</v>
      </c>
      <c r="I9" s="2">
        <v>7.24</v>
      </c>
    </row>
    <row r="10" spans="2:9">
      <c r="B10" s="20"/>
      <c r="C10" s="2" t="s">
        <v>11</v>
      </c>
      <c r="D10" s="2">
        <v>3.33</v>
      </c>
      <c r="E10" s="2">
        <v>4.37</v>
      </c>
      <c r="F10" s="2">
        <v>4.84</v>
      </c>
      <c r="G10" s="2">
        <v>5.38</v>
      </c>
      <c r="H10" s="2">
        <v>6.32</v>
      </c>
      <c r="I10" s="2">
        <v>7.2</v>
      </c>
    </row>
    <row r="11" spans="2:9">
      <c r="B11" s="19"/>
      <c r="C11" s="2" t="s">
        <v>12</v>
      </c>
      <c r="D11" s="3">
        <f>ROUND(AVERAGE(D8:D10),2)</f>
        <v>3.36</v>
      </c>
      <c r="E11" s="3">
        <f t="shared" ref="E11:I11" si="1">ROUND(AVERAGE(E8:E10),2)</f>
        <v>4.26</v>
      </c>
      <c r="F11" s="3">
        <f t="shared" si="1"/>
        <v>4.95</v>
      </c>
      <c r="G11" s="3">
        <f t="shared" si="1"/>
        <v>5.43</v>
      </c>
      <c r="H11" s="3">
        <f t="shared" si="1"/>
        <v>6.32</v>
      </c>
      <c r="I11" s="3">
        <f t="shared" si="1"/>
        <v>7.22</v>
      </c>
    </row>
    <row r="12" spans="2:9">
      <c r="B12" s="18">
        <v>707</v>
      </c>
      <c r="C12" s="2" t="s">
        <v>9</v>
      </c>
      <c r="D12" s="2">
        <v>2.98</v>
      </c>
      <c r="E12" s="2">
        <v>3.59</v>
      </c>
      <c r="F12" s="2">
        <v>3.78</v>
      </c>
      <c r="G12" s="2">
        <v>4.28</v>
      </c>
      <c r="H12" s="2">
        <v>5.1100000000000003</v>
      </c>
      <c r="I12" s="2">
        <v>5.64</v>
      </c>
    </row>
    <row r="13" spans="2:9">
      <c r="B13" s="20"/>
      <c r="C13" s="2" t="s">
        <v>10</v>
      </c>
      <c r="D13" s="2">
        <v>2.88</v>
      </c>
      <c r="E13" s="2">
        <v>3.48</v>
      </c>
      <c r="F13" s="2">
        <v>4.26</v>
      </c>
      <c r="G13" s="2">
        <v>4.84</v>
      </c>
      <c r="H13" s="2">
        <v>5.19</v>
      </c>
      <c r="I13" s="2">
        <v>5.78</v>
      </c>
    </row>
    <row r="14" spans="2:9">
      <c r="B14" s="20"/>
      <c r="C14" s="2" t="s">
        <v>11</v>
      </c>
      <c r="D14" s="2">
        <v>3.03</v>
      </c>
      <c r="E14" s="2">
        <v>3.45</v>
      </c>
      <c r="F14" s="2">
        <v>4.12</v>
      </c>
      <c r="G14" s="2">
        <v>4.72</v>
      </c>
      <c r="H14" s="2">
        <v>5.62</v>
      </c>
      <c r="I14" s="2">
        <v>5.81</v>
      </c>
    </row>
    <row r="15" spans="2:9">
      <c r="B15" s="19"/>
      <c r="C15" s="2" t="s">
        <v>12</v>
      </c>
      <c r="D15" s="3">
        <f>ROUND(AVERAGE(D12:D14),2)</f>
        <v>2.96</v>
      </c>
      <c r="E15" s="3">
        <f t="shared" ref="E15:I15" si="2">ROUND(AVERAGE(E12:E14),2)</f>
        <v>3.51</v>
      </c>
      <c r="F15" s="3">
        <f t="shared" si="2"/>
        <v>4.05</v>
      </c>
      <c r="G15" s="3">
        <f t="shared" si="2"/>
        <v>4.6100000000000003</v>
      </c>
      <c r="H15" s="3">
        <f t="shared" si="2"/>
        <v>5.31</v>
      </c>
      <c r="I15" s="3">
        <f t="shared" si="2"/>
        <v>5.74</v>
      </c>
    </row>
    <row r="16" spans="2:9">
      <c r="B16" s="18">
        <v>927</v>
      </c>
      <c r="C16" s="2" t="s">
        <v>9</v>
      </c>
      <c r="D16" s="2">
        <v>2.67</v>
      </c>
      <c r="E16" s="2">
        <v>3.16</v>
      </c>
      <c r="F16" s="2">
        <v>3.53</v>
      </c>
      <c r="G16" s="2">
        <v>4.05</v>
      </c>
      <c r="H16" s="2">
        <v>4.41</v>
      </c>
      <c r="I16" s="2">
        <v>5.01</v>
      </c>
    </row>
    <row r="17" spans="2:23">
      <c r="B17" s="20"/>
      <c r="C17" s="2" t="s">
        <v>10</v>
      </c>
      <c r="D17" s="2">
        <v>2.69</v>
      </c>
      <c r="E17" s="2">
        <v>3.13</v>
      </c>
      <c r="F17" s="2">
        <v>3.81</v>
      </c>
      <c r="G17" s="2">
        <v>3.9</v>
      </c>
      <c r="H17" s="2">
        <v>4.38</v>
      </c>
      <c r="I17" s="2">
        <v>4.96</v>
      </c>
    </row>
    <row r="18" spans="2:23">
      <c r="B18" s="20"/>
      <c r="C18" s="2" t="s">
        <v>11</v>
      </c>
      <c r="D18" s="2">
        <v>2.75</v>
      </c>
      <c r="E18" s="2">
        <v>3.2</v>
      </c>
      <c r="F18" s="2">
        <v>3.28</v>
      </c>
      <c r="G18" s="2">
        <v>3.98</v>
      </c>
      <c r="H18" s="2">
        <v>4.3600000000000003</v>
      </c>
      <c r="I18" s="2">
        <v>5.0599999999999996</v>
      </c>
    </row>
    <row r="19" spans="2:23">
      <c r="B19" s="19"/>
      <c r="C19" s="2" t="s">
        <v>12</v>
      </c>
      <c r="D19" s="3">
        <f>ROUND(AVERAGE(D16:D18),2)</f>
        <v>2.7</v>
      </c>
      <c r="E19" s="3">
        <f t="shared" ref="E19:I19" si="3">ROUND(AVERAGE(E16:E18),2)</f>
        <v>3.16</v>
      </c>
      <c r="F19" s="3">
        <f t="shared" si="3"/>
        <v>3.54</v>
      </c>
      <c r="G19" s="3">
        <f t="shared" si="3"/>
        <v>3.98</v>
      </c>
      <c r="H19" s="3">
        <f t="shared" si="3"/>
        <v>4.38</v>
      </c>
      <c r="I19" s="3">
        <f t="shared" si="3"/>
        <v>5.01</v>
      </c>
    </row>
    <row r="21" spans="2:23">
      <c r="B21" s="1"/>
      <c r="C21" s="1"/>
      <c r="D21" s="1"/>
      <c r="E21" s="1"/>
      <c r="F21" s="1"/>
      <c r="G21" s="1"/>
      <c r="H21" s="1"/>
      <c r="I21" s="1"/>
      <c r="R21" t="s">
        <v>34</v>
      </c>
    </row>
    <row r="22" spans="2:23">
      <c r="B22" s="2" t="s">
        <v>13</v>
      </c>
      <c r="C22" s="2" t="s">
        <v>14</v>
      </c>
      <c r="D22" s="2" t="s">
        <v>15</v>
      </c>
      <c r="E22" s="2" t="s">
        <v>16</v>
      </c>
      <c r="F22" s="2" t="s">
        <v>17</v>
      </c>
      <c r="G22" s="2" t="s">
        <v>18</v>
      </c>
      <c r="I22" s="2" t="s">
        <v>13</v>
      </c>
      <c r="J22" s="2" t="s">
        <v>17</v>
      </c>
      <c r="K22" s="2" t="s">
        <v>18</v>
      </c>
      <c r="L22" s="2" t="s">
        <v>30</v>
      </c>
      <c r="M22" s="2" t="s">
        <v>31</v>
      </c>
      <c r="N22" s="2" t="s">
        <v>32</v>
      </c>
      <c r="O22" s="2" t="s">
        <v>33</v>
      </c>
      <c r="R22" s="1" t="s">
        <v>35</v>
      </c>
      <c r="S22" s="1" t="s">
        <v>36</v>
      </c>
      <c r="T22" s="1" t="s">
        <v>37</v>
      </c>
      <c r="U22" s="1" t="s">
        <v>38</v>
      </c>
      <c r="V22" s="1" t="s">
        <v>39</v>
      </c>
      <c r="W22" s="1" t="s">
        <v>38</v>
      </c>
    </row>
    <row r="23" spans="2:23">
      <c r="B23" s="13">
        <v>1</v>
      </c>
      <c r="C23" s="2">
        <f>B4/1000</f>
        <v>0.26700000000000002</v>
      </c>
      <c r="D23" s="4">
        <f>D7</f>
        <v>4.84</v>
      </c>
      <c r="E23" s="5">
        <f>2*$B$49/D23/D23</f>
        <v>5.9763677344443683E-2</v>
      </c>
      <c r="F23" s="4">
        <f>2*E23/$D$49</f>
        <v>2.5984207541062472</v>
      </c>
      <c r="G23" s="6">
        <f>C23*$D$49/2*(9.82-E23)</f>
        <v>5.9937611257427775E-2</v>
      </c>
      <c r="I23" s="13">
        <v>1</v>
      </c>
      <c r="J23" s="4">
        <f>F23</f>
        <v>2.5984207541062472</v>
      </c>
      <c r="K23" s="4">
        <f>G23</f>
        <v>5.9937611257427775E-2</v>
      </c>
      <c r="L23" s="14">
        <f>AVERAGE(J23:J26)</f>
        <v>5.821779088531553</v>
      </c>
      <c r="M23" s="14">
        <f>AVERAGE(K23:K26)</f>
        <v>0.1327261937707952</v>
      </c>
      <c r="N23" s="14">
        <f>U23/W23</f>
        <v>2.5000621904256719E-2</v>
      </c>
      <c r="O23" s="14">
        <f>M23-N23*L23</f>
        <v>-1.2821904031690451E-2</v>
      </c>
      <c r="R23" s="7">
        <f>J23-$L$23</f>
        <v>-3.2233583344253058</v>
      </c>
      <c r="S23" s="7">
        <f>K23-$M$23</f>
        <v>-7.2788582513367422E-2</v>
      </c>
      <c r="T23">
        <f>S23*R23</f>
        <v>0.23462368409546697</v>
      </c>
      <c r="U23">
        <f>SUM(T23:T26)</f>
        <v>0.4558221627126679</v>
      </c>
      <c r="V23">
        <f>R23*R23</f>
        <v>10.390038952109082</v>
      </c>
      <c r="W23">
        <f>SUM(V23:V26)</f>
        <v>18.232432955400103</v>
      </c>
    </row>
    <row r="24" spans="2:23">
      <c r="B24" s="13"/>
      <c r="C24" s="2">
        <f>B8/1000</f>
        <v>0.48699999999999999</v>
      </c>
      <c r="D24" s="4">
        <f>D11</f>
        <v>3.36</v>
      </c>
      <c r="E24" s="4">
        <f t="shared" ref="E24:E46" si="4">2*$B$49/D24/D24</f>
        <v>0.1240079365079365</v>
      </c>
      <c r="F24" s="4">
        <f t="shared" ref="F24:F46" si="5">2*E24/$D$49</f>
        <v>5.3916494133885431</v>
      </c>
      <c r="G24" s="4">
        <f t="shared" ref="G24:G46" si="6">C24*$D$49/2*(9.82-E24)</f>
        <v>0.10860480710317459</v>
      </c>
      <c r="I24" s="13"/>
      <c r="J24" s="4">
        <f t="shared" ref="J24:K46" si="7">F24</f>
        <v>5.3916494133885431</v>
      </c>
      <c r="K24" s="4">
        <f t="shared" si="7"/>
        <v>0.10860480710317459</v>
      </c>
      <c r="L24" s="14"/>
      <c r="M24" s="14"/>
      <c r="N24" s="14"/>
      <c r="O24" s="14"/>
      <c r="R24" s="7">
        <f>J24-$L$23</f>
        <v>-0.43012967514300993</v>
      </c>
      <c r="S24" s="7">
        <f>K24-$M$23</f>
        <v>-2.4121386667620606E-2</v>
      </c>
      <c r="T24">
        <f t="shared" ref="T24:T46" si="8">S24*R24</f>
        <v>1.0375324211342582E-2</v>
      </c>
      <c r="V24">
        <f t="shared" ref="V24:V46" si="9">R24*R24</f>
        <v>0.18501153743863125</v>
      </c>
    </row>
    <row r="25" spans="2:23">
      <c r="B25" s="13"/>
      <c r="C25" s="2">
        <f>B12/1000</f>
        <v>0.70699999999999996</v>
      </c>
      <c r="D25" s="4">
        <f>D15</f>
        <v>2.96</v>
      </c>
      <c r="E25" s="4">
        <f t="shared" si="4"/>
        <v>0.15978816654492331</v>
      </c>
      <c r="F25" s="4">
        <f t="shared" si="5"/>
        <v>6.9473115889097095</v>
      </c>
      <c r="G25" s="4">
        <f t="shared" si="6"/>
        <v>0.15708470462381299</v>
      </c>
      <c r="I25" s="13"/>
      <c r="J25" s="4">
        <f t="shared" si="7"/>
        <v>6.9473115889097095</v>
      </c>
      <c r="K25" s="4">
        <f t="shared" si="7"/>
        <v>0.15708470462381299</v>
      </c>
      <c r="L25" s="14"/>
      <c r="M25" s="14"/>
      <c r="N25" s="14"/>
      <c r="O25" s="14"/>
      <c r="R25" s="7">
        <f>J25-$L$23</f>
        <v>1.1255325003781564</v>
      </c>
      <c r="S25">
        <f t="shared" ref="S25:S26" si="10">K25-$M$23</f>
        <v>2.4358510853017795E-2</v>
      </c>
      <c r="T25">
        <f t="shared" si="8"/>
        <v>2.741629562588558E-2</v>
      </c>
      <c r="V25">
        <f t="shared" si="9"/>
        <v>1.2668234094075048</v>
      </c>
    </row>
    <row r="26" spans="2:23">
      <c r="B26" s="13"/>
      <c r="C26" s="2">
        <f>B16/1000</f>
        <v>0.92700000000000005</v>
      </c>
      <c r="D26" s="4">
        <f>D19</f>
        <v>2.7</v>
      </c>
      <c r="E26" s="4">
        <f t="shared" si="4"/>
        <v>0.19204389574759942</v>
      </c>
      <c r="F26" s="4">
        <f t="shared" si="5"/>
        <v>8.3497345977217137</v>
      </c>
      <c r="G26" s="4">
        <f t="shared" si="6"/>
        <v>0.20527765209876545</v>
      </c>
      <c r="I26" s="13"/>
      <c r="J26" s="4">
        <f t="shared" si="7"/>
        <v>8.3497345977217137</v>
      </c>
      <c r="K26" s="4">
        <f t="shared" si="7"/>
        <v>0.20527765209876545</v>
      </c>
      <c r="L26" s="14"/>
      <c r="M26" s="14"/>
      <c r="N26" s="14"/>
      <c r="O26" s="14"/>
      <c r="R26" s="7">
        <f>J26-$L$23</f>
        <v>2.5279555091901607</v>
      </c>
      <c r="S26">
        <f t="shared" si="10"/>
        <v>7.2551458327970247E-2</v>
      </c>
      <c r="T26">
        <f t="shared" si="8"/>
        <v>0.18340685877997276</v>
      </c>
      <c r="V26">
        <f t="shared" si="9"/>
        <v>6.3905590564448849</v>
      </c>
    </row>
    <row r="27" spans="2:23">
      <c r="B27" s="13">
        <v>2</v>
      </c>
      <c r="C27" s="2">
        <f>B4/1000</f>
        <v>0.26700000000000002</v>
      </c>
      <c r="D27" s="4">
        <f>E7</f>
        <v>6.35</v>
      </c>
      <c r="E27" s="4">
        <f t="shared" si="4"/>
        <v>3.4720069440138883E-2</v>
      </c>
      <c r="F27" s="4">
        <f t="shared" si="5"/>
        <v>1.5095682365277776</v>
      </c>
      <c r="G27" s="4">
        <f t="shared" si="6"/>
        <v>6.0091404053568116E-2</v>
      </c>
      <c r="I27" s="13">
        <v>2</v>
      </c>
      <c r="J27" s="4">
        <f t="shared" si="7"/>
        <v>1.5095682365277776</v>
      </c>
      <c r="K27" s="4">
        <f t="shared" si="7"/>
        <v>6.0091404053568116E-2</v>
      </c>
      <c r="L27" s="14">
        <f>AVERAGE(J27:J30)</f>
        <v>3.9750281377819414</v>
      </c>
      <c r="M27" s="14">
        <f>AVERAGE(K27:K30)</f>
        <v>0.13335982259716617</v>
      </c>
      <c r="N27" s="14">
        <f>U27/W27</f>
        <v>3.1459909406608713E-2</v>
      </c>
      <c r="O27" s="14">
        <f t="shared" ref="O27" si="11">M27-N27*L27</f>
        <v>8.3057974938257617E-3</v>
      </c>
      <c r="R27" s="7">
        <f>J27-$L$27</f>
        <v>-2.4654599012541638</v>
      </c>
      <c r="S27">
        <f>K27-$M$27</f>
        <v>-7.3268418543598057E-2</v>
      </c>
      <c r="T27">
        <f t="shared" si="8"/>
        <v>0.18064034794754802</v>
      </c>
      <c r="U27">
        <f>SUM(T27:T30)</f>
        <v>0.37417970043978316</v>
      </c>
      <c r="V27">
        <f t="shared" si="9"/>
        <v>6.0784925246921908</v>
      </c>
      <c r="W27">
        <f>SUM(V27:V30)</f>
        <v>11.89385816734679</v>
      </c>
    </row>
    <row r="28" spans="2:23">
      <c r="B28" s="13"/>
      <c r="C28" s="2">
        <f>B8/1000</f>
        <v>0.48699999999999999</v>
      </c>
      <c r="D28" s="4">
        <f>E11</f>
        <v>4.26</v>
      </c>
      <c r="E28" s="4">
        <f t="shared" si="4"/>
        <v>7.7145187242390181E-2</v>
      </c>
      <c r="F28" s="4">
        <f t="shared" si="5"/>
        <v>3.3541385757560951</v>
      </c>
      <c r="G28" s="4">
        <f t="shared" si="6"/>
        <v>0.10912971675769798</v>
      </c>
      <c r="I28" s="13"/>
      <c r="J28" s="4">
        <f t="shared" si="7"/>
        <v>3.3541385757560951</v>
      </c>
      <c r="K28" s="4">
        <f t="shared" si="7"/>
        <v>0.10912971675769798</v>
      </c>
      <c r="L28" s="14"/>
      <c r="M28" s="14"/>
      <c r="N28" s="14"/>
      <c r="O28" s="14"/>
      <c r="R28">
        <f t="shared" ref="R28:R30" si="12">J28-$L$27</f>
        <v>-0.62088956202584633</v>
      </c>
      <c r="S28">
        <f t="shared" ref="S28:S30" si="13">K28-$M$27</f>
        <v>-2.4230105839468191E-2</v>
      </c>
      <c r="T28">
        <f t="shared" si="8"/>
        <v>1.5044219802507306E-2</v>
      </c>
      <c r="V28">
        <f t="shared" si="9"/>
        <v>0.38550384823264727</v>
      </c>
    </row>
    <row r="29" spans="2:23">
      <c r="B29" s="13"/>
      <c r="C29" s="2">
        <f>B12/1000</f>
        <v>0.70699999999999996</v>
      </c>
      <c r="D29" s="4">
        <f>E15</f>
        <v>3.51</v>
      </c>
      <c r="E29" s="4">
        <f t="shared" si="4"/>
        <v>0.11363544127076891</v>
      </c>
      <c r="F29" s="4">
        <f t="shared" si="5"/>
        <v>4.9406713595986487</v>
      </c>
      <c r="G29" s="4">
        <f t="shared" si="6"/>
        <v>0.15783519408949601</v>
      </c>
      <c r="I29" s="13"/>
      <c r="J29" s="4">
        <f t="shared" si="7"/>
        <v>4.9406713595986487</v>
      </c>
      <c r="K29" s="4">
        <f t="shared" si="7"/>
        <v>0.15783519408949601</v>
      </c>
      <c r="L29" s="14"/>
      <c r="M29" s="14"/>
      <c r="N29" s="14"/>
      <c r="O29" s="14"/>
      <c r="R29">
        <f t="shared" si="12"/>
        <v>0.96564322181670725</v>
      </c>
      <c r="S29">
        <f t="shared" si="13"/>
        <v>2.4475371492329839E-2</v>
      </c>
      <c r="T29">
        <f t="shared" si="8"/>
        <v>2.3634476583014177E-2</v>
      </c>
      <c r="V29">
        <f t="shared" si="9"/>
        <v>0.93246683184055046</v>
      </c>
    </row>
    <row r="30" spans="2:23">
      <c r="B30" s="13"/>
      <c r="C30" s="2">
        <f>B16/1000</f>
        <v>0.92700000000000005</v>
      </c>
      <c r="D30" s="4">
        <f>E19</f>
        <v>3.16</v>
      </c>
      <c r="E30" s="4">
        <f t="shared" si="4"/>
        <v>0.14020189072264058</v>
      </c>
      <c r="F30" s="4">
        <f t="shared" si="5"/>
        <v>6.0957343792452425</v>
      </c>
      <c r="G30" s="4">
        <f t="shared" si="6"/>
        <v>0.2063829754879026</v>
      </c>
      <c r="I30" s="13"/>
      <c r="J30" s="4">
        <f t="shared" si="7"/>
        <v>6.0957343792452425</v>
      </c>
      <c r="K30" s="4">
        <f t="shared" si="7"/>
        <v>0.2063829754879026</v>
      </c>
      <c r="L30" s="14"/>
      <c r="M30" s="14"/>
      <c r="N30" s="14"/>
      <c r="O30" s="14"/>
      <c r="R30">
        <f t="shared" si="12"/>
        <v>2.1207062414633011</v>
      </c>
      <c r="S30">
        <f t="shared" si="13"/>
        <v>7.3023152890736437E-2</v>
      </c>
      <c r="T30">
        <f t="shared" si="8"/>
        <v>0.15486065610671365</v>
      </c>
      <c r="V30">
        <f t="shared" si="9"/>
        <v>4.4973949625814011</v>
      </c>
    </row>
    <row r="31" spans="2:23">
      <c r="B31" s="13">
        <v>3</v>
      </c>
      <c r="C31" s="2">
        <f>B4/1000</f>
        <v>0.26700000000000002</v>
      </c>
      <c r="D31" s="4">
        <f>F7</f>
        <v>6.75</v>
      </c>
      <c r="E31" s="4">
        <f t="shared" si="4"/>
        <v>3.0727023319615913E-2</v>
      </c>
      <c r="F31" s="4">
        <f t="shared" si="5"/>
        <v>1.3359575356354745</v>
      </c>
      <c r="G31" s="4">
        <f t="shared" si="6"/>
        <v>6.011592534979425E-2</v>
      </c>
      <c r="I31" s="13">
        <v>3</v>
      </c>
      <c r="J31" s="4">
        <f t="shared" si="7"/>
        <v>1.3359575356354745</v>
      </c>
      <c r="K31" s="4">
        <f t="shared" si="7"/>
        <v>6.011592534979425E-2</v>
      </c>
      <c r="L31" s="14">
        <f>AVERAGE(J31:J34)</f>
        <v>3.0971138116414223</v>
      </c>
      <c r="M31" s="14">
        <f>AVERAGE(K31:K34)</f>
        <v>0.13368878511492521</v>
      </c>
      <c r="N31" s="14">
        <f>U31/W31</f>
        <v>4.1513444440523004E-2</v>
      </c>
      <c r="O31" s="14">
        <f t="shared" ref="O31" si="14">M31-N31*L31</f>
        <v>5.1169229693726059E-3</v>
      </c>
      <c r="R31">
        <f>J31-$L$31</f>
        <v>-1.7611562760059478</v>
      </c>
      <c r="S31">
        <f>K31-$M$31</f>
        <v>-7.3572859765130963E-2</v>
      </c>
      <c r="T31">
        <f t="shared" si="8"/>
        <v>0.12957330371906589</v>
      </c>
      <c r="U31">
        <f>SUM(T31:T34)</f>
        <v>0.28861665946721776</v>
      </c>
      <c r="V31">
        <f t="shared" si="9"/>
        <v>3.1016714285151381</v>
      </c>
      <c r="W31">
        <f>SUM(V31:V34)</f>
        <v>6.9523659950868106</v>
      </c>
    </row>
    <row r="32" spans="2:23">
      <c r="B32" s="13"/>
      <c r="C32" s="2">
        <f>B8/1000</f>
        <v>0.48699999999999999</v>
      </c>
      <c r="D32" s="4">
        <f>F11</f>
        <v>4.95</v>
      </c>
      <c r="E32" s="4">
        <f t="shared" si="4"/>
        <v>5.7137026833996525E-2</v>
      </c>
      <c r="F32" s="4">
        <f t="shared" si="5"/>
        <v>2.4842185579998488</v>
      </c>
      <c r="G32" s="4">
        <f t="shared" si="6"/>
        <v>0.10935382816243239</v>
      </c>
      <c r="I32" s="13"/>
      <c r="J32" s="4">
        <f t="shared" si="7"/>
        <v>2.4842185579998488</v>
      </c>
      <c r="K32" s="4">
        <f t="shared" si="7"/>
        <v>0.10935382816243239</v>
      </c>
      <c r="L32" s="14"/>
      <c r="M32" s="14"/>
      <c r="N32" s="14"/>
      <c r="O32" s="14"/>
      <c r="R32">
        <f t="shared" ref="R32:R34" si="15">J32-$L$31</f>
        <v>-0.61289525364157349</v>
      </c>
      <c r="S32">
        <f t="shared" ref="S32:S34" si="16">K32-$M$31</f>
        <v>-2.4334956952492826E-2</v>
      </c>
      <c r="T32">
        <f t="shared" si="8"/>
        <v>1.4914779613754862E-2</v>
      </c>
      <c r="V32">
        <f t="shared" si="9"/>
        <v>0.37564059193636873</v>
      </c>
    </row>
    <row r="33" spans="2:23">
      <c r="B33" s="13"/>
      <c r="C33" s="2">
        <f>B12/1000</f>
        <v>0.70699999999999996</v>
      </c>
      <c r="D33" s="4">
        <f>F15</f>
        <v>4.05</v>
      </c>
      <c r="E33" s="4">
        <f t="shared" si="4"/>
        <v>8.5352842554488648E-2</v>
      </c>
      <c r="F33" s="4">
        <f t="shared" si="5"/>
        <v>3.7109931545429848</v>
      </c>
      <c r="G33" s="4">
        <f t="shared" si="6"/>
        <v>0.15829509742722145</v>
      </c>
      <c r="I33" s="13"/>
      <c r="J33" s="4">
        <f t="shared" si="7"/>
        <v>3.7109931545429848</v>
      </c>
      <c r="K33" s="4">
        <f t="shared" si="7"/>
        <v>0.15829509742722145</v>
      </c>
      <c r="L33" s="14"/>
      <c r="M33" s="14"/>
      <c r="N33" s="14"/>
      <c r="O33" s="14"/>
      <c r="R33">
        <f t="shared" si="15"/>
        <v>0.61387934290156254</v>
      </c>
      <c r="S33">
        <f t="shared" si="16"/>
        <v>2.4606312312296236E-2</v>
      </c>
      <c r="T33">
        <f t="shared" si="8"/>
        <v>1.5105306833503042E-2</v>
      </c>
      <c r="V33">
        <f t="shared" si="9"/>
        <v>0.37684784764125423</v>
      </c>
    </row>
    <row r="34" spans="2:23">
      <c r="B34" s="13"/>
      <c r="C34" s="2">
        <f>B16/1000</f>
        <v>0.92700000000000005</v>
      </c>
      <c r="D34" s="4">
        <f>F19</f>
        <v>3.54</v>
      </c>
      <c r="E34" s="4">
        <f t="shared" si="4"/>
        <v>0.11171757796290975</v>
      </c>
      <c r="F34" s="4">
        <f t="shared" si="5"/>
        <v>4.8572859983873808</v>
      </c>
      <c r="G34" s="4">
        <f t="shared" si="6"/>
        <v>0.20699028952025281</v>
      </c>
      <c r="I34" s="13"/>
      <c r="J34" s="4">
        <f t="shared" si="7"/>
        <v>4.8572859983873808</v>
      </c>
      <c r="K34" s="4">
        <f t="shared" si="7"/>
        <v>0.20699028952025281</v>
      </c>
      <c r="L34" s="14"/>
      <c r="M34" s="14"/>
      <c r="N34" s="14"/>
      <c r="O34" s="14"/>
      <c r="R34">
        <f t="shared" si="15"/>
        <v>1.7601721867459585</v>
      </c>
      <c r="S34">
        <f t="shared" si="16"/>
        <v>7.3301504405327594E-2</v>
      </c>
      <c r="T34">
        <f t="shared" si="8"/>
        <v>0.12902326930089397</v>
      </c>
      <c r="V34">
        <f t="shared" si="9"/>
        <v>3.0982061269940497</v>
      </c>
    </row>
    <row r="35" spans="2:23">
      <c r="B35" s="13">
        <v>4</v>
      </c>
      <c r="C35" s="2">
        <f>B4/1000</f>
        <v>0.26700000000000002</v>
      </c>
      <c r="D35" s="4">
        <f>G7</f>
        <v>7.46</v>
      </c>
      <c r="E35" s="4">
        <f t="shared" si="4"/>
        <v>2.5156509426503458E-2</v>
      </c>
      <c r="F35" s="4">
        <f t="shared" si="5"/>
        <v>1.0937612794131939</v>
      </c>
      <c r="G35" s="4">
        <f t="shared" si="6"/>
        <v>6.0150133875611848E-2</v>
      </c>
      <c r="I35" s="13">
        <v>4</v>
      </c>
      <c r="J35" s="4">
        <f t="shared" si="7"/>
        <v>1.0937612794131939</v>
      </c>
      <c r="K35" s="4">
        <f t="shared" si="7"/>
        <v>6.0150133875611848E-2</v>
      </c>
      <c r="L35" s="14">
        <f>AVERAGE(J35:J38)</f>
        <v>2.4662596765084928</v>
      </c>
      <c r="M35" s="14">
        <f>AVERAGE(K35:K38)</f>
        <v>0.13392793936205968</v>
      </c>
      <c r="N35" s="14">
        <f>U35/W35</f>
        <v>5.4211321133395232E-2</v>
      </c>
      <c r="O35" s="14">
        <f t="shared" ref="O35" si="17">M35-N35*L35</f>
        <v>2.2874404051434483E-4</v>
      </c>
      <c r="R35">
        <f>J35-$L$35</f>
        <v>-1.3724983970952989</v>
      </c>
      <c r="S35">
        <f>K35-$M$35</f>
        <v>-7.3777805486447828E-2</v>
      </c>
      <c r="T35">
        <f t="shared" si="8"/>
        <v>0.10125991977135838</v>
      </c>
      <c r="U35">
        <f>SUM(T35:T38)</f>
        <v>0.22216215169148837</v>
      </c>
      <c r="V35">
        <f t="shared" si="9"/>
        <v>1.8837518500291648</v>
      </c>
      <c r="W35">
        <f>SUM(V35:V38)</f>
        <v>4.0980766940695741</v>
      </c>
    </row>
    <row r="36" spans="2:23">
      <c r="B36" s="13"/>
      <c r="C36" s="2">
        <f>B8/1000</f>
        <v>0.48699999999999999</v>
      </c>
      <c r="D36" s="4">
        <f>G11</f>
        <v>5.43</v>
      </c>
      <c r="E36" s="4">
        <f t="shared" si="4"/>
        <v>4.7481931429307886E-2</v>
      </c>
      <c r="F36" s="4">
        <f t="shared" si="5"/>
        <v>2.0644318012742557</v>
      </c>
      <c r="G36" s="4">
        <f t="shared" si="6"/>
        <v>0.10946197488606031</v>
      </c>
      <c r="I36" s="13"/>
      <c r="J36" s="4">
        <f t="shared" si="7"/>
        <v>2.0644318012742557</v>
      </c>
      <c r="K36" s="4">
        <f t="shared" si="7"/>
        <v>0.10946197488606031</v>
      </c>
      <c r="L36" s="14"/>
      <c r="M36" s="14"/>
      <c r="N36" s="14"/>
      <c r="O36" s="14"/>
      <c r="R36">
        <f t="shared" ref="R36:R38" si="18">J36-$L$35</f>
        <v>-0.40182787523423702</v>
      </c>
      <c r="S36">
        <f t="shared" ref="S36:S38" si="19">K36-$M$35</f>
        <v>-2.4465964475999372E-2</v>
      </c>
      <c r="T36">
        <f t="shared" si="8"/>
        <v>9.8311065209471509E-3</v>
      </c>
      <c r="V36">
        <f t="shared" si="9"/>
        <v>0.16146564131526156</v>
      </c>
    </row>
    <row r="37" spans="2:23">
      <c r="B37" s="13"/>
      <c r="C37" s="2">
        <f>B12/1000</f>
        <v>0.70699999999999996</v>
      </c>
      <c r="D37" s="4">
        <f>G15</f>
        <v>4.6100000000000003</v>
      </c>
      <c r="E37" s="4">
        <f t="shared" si="4"/>
        <v>6.5875842857882255E-2</v>
      </c>
      <c r="F37" s="4">
        <f t="shared" si="5"/>
        <v>2.8641670807774893</v>
      </c>
      <c r="G37" s="4">
        <f t="shared" si="6"/>
        <v>0.15861181291928797</v>
      </c>
      <c r="I37" s="13"/>
      <c r="J37" s="4">
        <f t="shared" si="7"/>
        <v>2.8641670807774893</v>
      </c>
      <c r="K37" s="4">
        <f t="shared" si="7"/>
        <v>0.15861181291928797</v>
      </c>
      <c r="L37" s="14"/>
      <c r="M37" s="14"/>
      <c r="N37" s="14"/>
      <c r="O37" s="14"/>
      <c r="R37">
        <f t="shared" si="18"/>
        <v>0.39790740426899651</v>
      </c>
      <c r="S37">
        <f t="shared" si="19"/>
        <v>2.4683873557228286E-2</v>
      </c>
      <c r="T37">
        <f t="shared" si="8"/>
        <v>9.8218960544608283E-3</v>
      </c>
      <c r="V37">
        <f t="shared" si="9"/>
        <v>0.15833030237209061</v>
      </c>
    </row>
    <row r="38" spans="2:23">
      <c r="B38" s="13"/>
      <c r="C38" s="2">
        <f>B16/1000</f>
        <v>0.92700000000000005</v>
      </c>
      <c r="D38" s="4">
        <f>G19</f>
        <v>3.98</v>
      </c>
      <c r="E38" s="4">
        <f t="shared" si="4"/>
        <v>8.8381606525087739E-2</v>
      </c>
      <c r="F38" s="4">
        <f t="shared" si="5"/>
        <v>3.8426785445690324</v>
      </c>
      <c r="G38" s="4">
        <f t="shared" si="6"/>
        <v>0.20748783576727861</v>
      </c>
      <c r="I38" s="13"/>
      <c r="J38" s="4">
        <f t="shared" si="7"/>
        <v>3.8426785445690324</v>
      </c>
      <c r="K38" s="4">
        <f t="shared" si="7"/>
        <v>0.20748783576727861</v>
      </c>
      <c r="L38" s="14"/>
      <c r="M38" s="14"/>
      <c r="N38" s="14"/>
      <c r="O38" s="14"/>
      <c r="R38">
        <f t="shared" si="18"/>
        <v>1.3764188680605396</v>
      </c>
      <c r="S38">
        <f t="shared" si="19"/>
        <v>7.3559896405218927E-2</v>
      </c>
      <c r="T38">
        <f t="shared" si="8"/>
        <v>0.101249229344722</v>
      </c>
      <c r="V38">
        <f t="shared" si="9"/>
        <v>1.894528900353057</v>
      </c>
    </row>
    <row r="39" spans="2:23">
      <c r="B39" s="13">
        <v>5</v>
      </c>
      <c r="C39" s="2">
        <f>B4/1000</f>
        <v>0.26700000000000002</v>
      </c>
      <c r="D39" s="4">
        <f>H7</f>
        <v>8.4700000000000006</v>
      </c>
      <c r="E39" s="4">
        <f t="shared" si="4"/>
        <v>1.9514670153287731E-2</v>
      </c>
      <c r="F39" s="4">
        <f t="shared" si="5"/>
        <v>0.84846391970816226</v>
      </c>
      <c r="G39" s="4">
        <f t="shared" si="6"/>
        <v>6.0184780410588661E-2</v>
      </c>
      <c r="I39" s="13">
        <v>5</v>
      </c>
      <c r="J39" s="4">
        <f t="shared" si="7"/>
        <v>0.84846391970816226</v>
      </c>
      <c r="K39" s="4">
        <f t="shared" si="7"/>
        <v>6.0184780410588661E-2</v>
      </c>
      <c r="L39" s="14">
        <f>AVERAGE(J39:J42)</f>
        <v>1.926014775437189</v>
      </c>
      <c r="M39" s="14">
        <f>AVERAGE(K39:K42)</f>
        <v>0.13411948107043417</v>
      </c>
      <c r="N39" s="14">
        <f>U39/W39</f>
        <v>6.3848298003750609E-2</v>
      </c>
      <c r="O39" s="14">
        <f t="shared" ref="O39" si="20">M39-N39*L39</f>
        <v>1.1146715728693718E-2</v>
      </c>
      <c r="R39">
        <f>J39-$L$39</f>
        <v>-1.0775508557290268</v>
      </c>
      <c r="S39">
        <f>K39-$M$39</f>
        <v>-7.3934700659845504E-2</v>
      </c>
      <c r="T39">
        <f t="shared" si="8"/>
        <v>7.9668399964085965E-2</v>
      </c>
      <c r="U39">
        <f>SUM(T39:T42)</f>
        <v>0.18717854363696657</v>
      </c>
      <c r="V39">
        <f t="shared" si="9"/>
        <v>1.1611158466823579</v>
      </c>
      <c r="W39">
        <f>SUM(V39:V42)</f>
        <v>2.9316136763108585</v>
      </c>
    </row>
    <row r="40" spans="2:23">
      <c r="B40" s="13"/>
      <c r="C40" s="2">
        <f>B8/1000</f>
        <v>0.48699999999999999</v>
      </c>
      <c r="D40" s="4">
        <f>H11</f>
        <v>6.32</v>
      </c>
      <c r="E40" s="4">
        <f t="shared" si="4"/>
        <v>3.5050472680660145E-2</v>
      </c>
      <c r="F40" s="4">
        <f t="shared" si="5"/>
        <v>1.5239335948113106</v>
      </c>
      <c r="G40" s="4">
        <f>C40*$D$49/2*(9.82-E40)</f>
        <v>0.10960121965550391</v>
      </c>
      <c r="I40" s="13"/>
      <c r="J40" s="4">
        <f t="shared" si="7"/>
        <v>1.5239335948113106</v>
      </c>
      <c r="K40" s="4">
        <f t="shared" si="7"/>
        <v>0.10960121965550391</v>
      </c>
      <c r="L40" s="14"/>
      <c r="M40" s="14"/>
      <c r="N40" s="14"/>
      <c r="O40" s="14"/>
      <c r="R40">
        <f t="shared" ref="R40:R42" si="21">J40-$L$39</f>
        <v>-0.40208118062587839</v>
      </c>
      <c r="S40">
        <f t="shared" ref="S40:S42" si="22">K40-$M$39</f>
        <v>-2.4518261414930256E-2</v>
      </c>
      <c r="T40">
        <f t="shared" si="8"/>
        <v>9.8583314966090765E-3</v>
      </c>
      <c r="V40">
        <f t="shared" si="9"/>
        <v>0.16166927581350024</v>
      </c>
    </row>
    <row r="41" spans="2:23">
      <c r="B41" s="13"/>
      <c r="C41" s="2">
        <f>B12/1000</f>
        <v>0.70699999999999996</v>
      </c>
      <c r="D41" s="4">
        <f>H15</f>
        <v>5.31</v>
      </c>
      <c r="E41" s="4">
        <f t="shared" si="4"/>
        <v>4.9652256872404342E-2</v>
      </c>
      <c r="F41" s="4">
        <f t="shared" si="5"/>
        <v>2.1587937770610583</v>
      </c>
      <c r="G41" s="4">
        <f t="shared" si="6"/>
        <v>0.1588756246509978</v>
      </c>
      <c r="I41" s="13"/>
      <c r="J41" s="4">
        <f t="shared" si="7"/>
        <v>2.1587937770610583</v>
      </c>
      <c r="K41" s="4">
        <f t="shared" si="7"/>
        <v>0.1588756246509978</v>
      </c>
      <c r="L41" s="14"/>
      <c r="M41" s="14"/>
      <c r="N41" s="14"/>
      <c r="O41" s="14"/>
      <c r="R41">
        <f t="shared" si="21"/>
        <v>0.23277900162386933</v>
      </c>
      <c r="S41">
        <f t="shared" si="22"/>
        <v>2.4756143580563633E-2</v>
      </c>
      <c r="T41">
        <f t="shared" si="8"/>
        <v>5.7627103867407643E-3</v>
      </c>
      <c r="V41">
        <f t="shared" si="9"/>
        <v>5.4186063597005361E-2</v>
      </c>
    </row>
    <row r="42" spans="2:23">
      <c r="B42" s="13"/>
      <c r="C42" s="2">
        <f>B16/1000</f>
        <v>0.92700000000000005</v>
      </c>
      <c r="D42" s="4">
        <f>H19</f>
        <v>4.38</v>
      </c>
      <c r="E42" s="4">
        <f t="shared" si="4"/>
        <v>7.2975959633869186E-2</v>
      </c>
      <c r="F42" s="4">
        <f t="shared" si="5"/>
        <v>3.1728678101682255</v>
      </c>
      <c r="G42" s="4">
        <f t="shared" si="6"/>
        <v>0.20781629956464628</v>
      </c>
      <c r="I42" s="13"/>
      <c r="J42" s="4">
        <f t="shared" si="7"/>
        <v>3.1728678101682255</v>
      </c>
      <c r="K42" s="4">
        <f t="shared" si="7"/>
        <v>0.20781629956464628</v>
      </c>
      <c r="L42" s="14"/>
      <c r="M42" s="14"/>
      <c r="N42" s="14"/>
      <c r="O42" s="14"/>
      <c r="R42">
        <f t="shared" si="21"/>
        <v>1.2468530347310365</v>
      </c>
      <c r="S42">
        <f t="shared" si="22"/>
        <v>7.3696818494212113E-2</v>
      </c>
      <c r="T42">
        <f t="shared" si="8"/>
        <v>9.1889101789530747E-2</v>
      </c>
      <c r="V42">
        <f t="shared" si="9"/>
        <v>1.5546424902179952</v>
      </c>
    </row>
    <row r="43" spans="2:23">
      <c r="B43" s="13">
        <v>6</v>
      </c>
      <c r="C43" s="2">
        <f>B4/1000</f>
        <v>0.26700000000000002</v>
      </c>
      <c r="D43" s="4">
        <f>I7</f>
        <v>9.76</v>
      </c>
      <c r="E43" s="4">
        <f t="shared" si="4"/>
        <v>1.4696990056436441E-2</v>
      </c>
      <c r="F43" s="4">
        <f t="shared" si="5"/>
        <v>0.63899956767114963</v>
      </c>
      <c r="G43" s="4">
        <f t="shared" si="6"/>
        <v>6.0214365784063438E-2</v>
      </c>
      <c r="I43" s="13">
        <v>6</v>
      </c>
      <c r="J43" s="4">
        <f t="shared" si="7"/>
        <v>0.63899956767114963</v>
      </c>
      <c r="K43" s="4">
        <f t="shared" si="7"/>
        <v>6.0214365784063438E-2</v>
      </c>
      <c r="L43" s="14">
        <f>AVERAGE(J43:J46)</f>
        <v>1.5198058235452712</v>
      </c>
      <c r="M43" s="14">
        <f>AVERAGE(K43:K46)</f>
        <v>0.13427060776274821</v>
      </c>
      <c r="N43" s="14">
        <f>U43/W43</f>
        <v>8.1510910917118415E-2</v>
      </c>
      <c r="O43" s="14">
        <f>M43-N43*L43</f>
        <v>1.038985066843183E-2</v>
      </c>
      <c r="R43">
        <f>J43-$L$43</f>
        <v>-0.88080625587412154</v>
      </c>
      <c r="S43">
        <f>K43-$M$43</f>
        <v>-7.4056241978684767E-2</v>
      </c>
      <c r="T43">
        <f t="shared" si="8"/>
        <v>6.522920122135327E-2</v>
      </c>
      <c r="U43">
        <f>SUM(T43:T46)</f>
        <v>0.1488941542271856</v>
      </c>
      <c r="V43">
        <f t="shared" si="9"/>
        <v>0.77581966038698846</v>
      </c>
      <c r="W43">
        <f>SUM(V43:V46)</f>
        <v>1.8266775889498221</v>
      </c>
    </row>
    <row r="44" spans="2:23">
      <c r="B44" s="13"/>
      <c r="C44" s="2">
        <f>B8/1000</f>
        <v>0.48699999999999999</v>
      </c>
      <c r="D44" s="4">
        <f>I11</f>
        <v>7.22</v>
      </c>
      <c r="E44" s="4">
        <f t="shared" si="4"/>
        <v>2.6856761381511808E-2</v>
      </c>
      <c r="F44" s="4">
        <f t="shared" si="5"/>
        <v>1.1676852774570352</v>
      </c>
      <c r="G44" s="4">
        <f t="shared" si="6"/>
        <v>0.10969299741576569</v>
      </c>
      <c r="I44" s="13"/>
      <c r="J44" s="4">
        <f t="shared" si="7"/>
        <v>1.1676852774570352</v>
      </c>
      <c r="K44" s="4">
        <f t="shared" si="7"/>
        <v>0.10969299741576569</v>
      </c>
      <c r="L44" s="14"/>
      <c r="M44" s="14"/>
      <c r="N44" s="14"/>
      <c r="O44" s="14"/>
      <c r="R44">
        <f t="shared" ref="R44:R46" si="23">J44-$L$43</f>
        <v>-0.35212054608823595</v>
      </c>
      <c r="S44">
        <f t="shared" ref="S44:S46" si="24">K44-$M$43</f>
        <v>-2.4577610346982526E-2</v>
      </c>
      <c r="T44">
        <f t="shared" si="8"/>
        <v>8.6542815769233648E-3</v>
      </c>
      <c r="V44">
        <f t="shared" si="9"/>
        <v>0.1239888789774775</v>
      </c>
    </row>
    <row r="45" spans="2:23">
      <c r="B45" s="13"/>
      <c r="C45" s="2">
        <f>B12/1000</f>
        <v>0.70699999999999996</v>
      </c>
      <c r="D45" s="4">
        <f>I15</f>
        <v>5.74</v>
      </c>
      <c r="E45" s="4">
        <f t="shared" si="4"/>
        <v>4.2491714115747418E-2</v>
      </c>
      <c r="F45" s="4">
        <f t="shared" si="5"/>
        <v>1.847465831119453</v>
      </c>
      <c r="G45" s="4">
        <f t="shared" si="6"/>
        <v>0.15899206223676379</v>
      </c>
      <c r="I45" s="13"/>
      <c r="J45" s="4">
        <f t="shared" si="7"/>
        <v>1.847465831119453</v>
      </c>
      <c r="K45" s="4">
        <f t="shared" si="7"/>
        <v>0.15899206223676379</v>
      </c>
      <c r="L45" s="14"/>
      <c r="M45" s="14"/>
      <c r="N45" s="14"/>
      <c r="O45" s="14"/>
      <c r="R45">
        <f t="shared" si="23"/>
        <v>0.32766000757418179</v>
      </c>
      <c r="S45">
        <f t="shared" si="24"/>
        <v>2.4721454474015581E-2</v>
      </c>
      <c r="T45">
        <f t="shared" si="8"/>
        <v>8.100231960200736E-3</v>
      </c>
      <c r="V45">
        <f t="shared" si="9"/>
        <v>0.10736108056351287</v>
      </c>
    </row>
    <row r="46" spans="2:23">
      <c r="B46" s="13"/>
      <c r="C46" s="2">
        <f>B16/1000</f>
        <v>0.92700000000000005</v>
      </c>
      <c r="D46" s="4">
        <f>I19</f>
        <v>5.01</v>
      </c>
      <c r="E46" s="4">
        <f t="shared" si="4"/>
        <v>5.5776670212469279E-2</v>
      </c>
      <c r="F46" s="4">
        <f t="shared" si="5"/>
        <v>2.4250726179334468</v>
      </c>
      <c r="G46" s="4">
        <f t="shared" si="6"/>
        <v>0.20818300561439995</v>
      </c>
      <c r="I46" s="13"/>
      <c r="J46" s="4">
        <f t="shared" si="7"/>
        <v>2.4250726179334468</v>
      </c>
      <c r="K46" s="4">
        <f t="shared" si="7"/>
        <v>0.20818300561439995</v>
      </c>
      <c r="L46" s="14"/>
      <c r="M46" s="14"/>
      <c r="N46" s="14"/>
      <c r="O46" s="14"/>
      <c r="R46">
        <f t="shared" si="23"/>
        <v>0.90526679438817559</v>
      </c>
      <c r="S46">
        <f t="shared" si="24"/>
        <v>7.391239785165174E-2</v>
      </c>
      <c r="T46">
        <f t="shared" si="8"/>
        <v>6.6910439468708241E-2</v>
      </c>
      <c r="V46">
        <f t="shared" si="9"/>
        <v>0.81950796902184342</v>
      </c>
    </row>
    <row r="48" spans="2:23">
      <c r="B48" s="2" t="s">
        <v>19</v>
      </c>
      <c r="C48" s="2" t="s">
        <v>20</v>
      </c>
      <c r="D48" s="2" t="s">
        <v>21</v>
      </c>
      <c r="E48" s="2" t="s">
        <v>22</v>
      </c>
      <c r="F48" s="2" t="s">
        <v>23</v>
      </c>
      <c r="G48" s="2" t="s">
        <v>24</v>
      </c>
      <c r="H48" s="2" t="s">
        <v>25</v>
      </c>
      <c r="I48" s="2" t="s">
        <v>26</v>
      </c>
      <c r="J48" s="2" t="s">
        <v>27</v>
      </c>
      <c r="K48" s="2" t="s">
        <v>28</v>
      </c>
      <c r="L48" s="2" t="s">
        <v>29</v>
      </c>
    </row>
    <row r="49" spans="2:19">
      <c r="B49" s="2">
        <v>0.7</v>
      </c>
      <c r="C49" s="2">
        <v>5.0000000000000001E-4</v>
      </c>
      <c r="D49" s="2">
        <v>4.5999999999999999E-2</v>
      </c>
      <c r="E49" s="2">
        <v>5.0000000000000001E-4</v>
      </c>
      <c r="F49" s="2">
        <v>5.8000000000000003E-2</v>
      </c>
      <c r="G49" s="2">
        <v>5.0000000000000001E-4</v>
      </c>
      <c r="H49" s="2">
        <v>2.5000000000000001E-2</v>
      </c>
      <c r="I49" s="2">
        <v>2E-3</v>
      </c>
      <c r="J49" s="2">
        <v>4.0800000000000003E-2</v>
      </c>
      <c r="K49" s="2">
        <v>0.04</v>
      </c>
      <c r="L49" s="2">
        <v>5.0000000000000001E-4</v>
      </c>
    </row>
    <row r="52" spans="2:19">
      <c r="B52" s="2" t="s">
        <v>13</v>
      </c>
      <c r="C52" s="2" t="s">
        <v>40</v>
      </c>
      <c r="D52" s="2" t="s">
        <v>41</v>
      </c>
      <c r="E52" s="2" t="s">
        <v>42</v>
      </c>
      <c r="I52" t="s">
        <v>45</v>
      </c>
      <c r="J52" t="s">
        <v>46</v>
      </c>
      <c r="K52" t="s">
        <v>47</v>
      </c>
      <c r="L52" t="s">
        <v>48</v>
      </c>
      <c r="M52" t="s">
        <v>49</v>
      </c>
      <c r="N52" t="s">
        <v>37</v>
      </c>
      <c r="O52" t="s">
        <v>50</v>
      </c>
      <c r="P52" t="s">
        <v>51</v>
      </c>
      <c r="Q52" t="s">
        <v>50</v>
      </c>
      <c r="R52" s="8" t="s">
        <v>14</v>
      </c>
      <c r="S52" s="8" t="s">
        <v>52</v>
      </c>
    </row>
    <row r="53" spans="2:19">
      <c r="B53" s="2">
        <v>1</v>
      </c>
      <c r="C53" s="2">
        <f>$F$49+(B53-1)*$H$49+$K$49/2</f>
        <v>7.8E-2</v>
      </c>
      <c r="D53" s="2">
        <f>ROUND(C53^2,3)</f>
        <v>6.0000000000000001E-3</v>
      </c>
      <c r="E53" s="4">
        <v>2.5000000000000001E-2</v>
      </c>
      <c r="I53" s="7">
        <f>AVERAGE(E53:E58)</f>
        <v>4.9833333333333334E-2</v>
      </c>
      <c r="J53" s="7">
        <f>E53-$I$53</f>
        <v>-2.4833333333333332E-2</v>
      </c>
      <c r="K53">
        <f>AVERAGE(C53:C58)</f>
        <v>0.14049999999999999</v>
      </c>
      <c r="L53">
        <f>AVERAGE(D53:D58)</f>
        <v>2.1500000000000002E-2</v>
      </c>
      <c r="M53">
        <f>D53-$L$53</f>
        <v>-1.5500000000000002E-2</v>
      </c>
      <c r="N53">
        <f>J53*M53</f>
        <v>3.8491666666666671E-4</v>
      </c>
      <c r="O53">
        <f>SUM(N53:N58)</f>
        <v>1.3975000000000003E-3</v>
      </c>
      <c r="P53">
        <f>M53^2</f>
        <v>2.4025000000000004E-4</v>
      </c>
      <c r="Q53">
        <f>SUM(P53:P58)</f>
        <v>8.7350000000000014E-4</v>
      </c>
      <c r="R53" s="8">
        <f>ROUND(O53/Q53/4,4)</f>
        <v>0.4</v>
      </c>
      <c r="S53" s="8">
        <f>ROUND(I53-4*R53*L53,3)</f>
        <v>1.4999999999999999E-2</v>
      </c>
    </row>
    <row r="54" spans="2:19">
      <c r="B54" s="2">
        <v>2</v>
      </c>
      <c r="C54" s="2">
        <f t="shared" ref="C54:C58" si="25">$F$49+(B54-1)*$H$49+$K$49/2</f>
        <v>0.10300000000000001</v>
      </c>
      <c r="D54" s="2">
        <f t="shared" ref="D54:D58" si="26">ROUND(C54^2,3)</f>
        <v>1.0999999999999999E-2</v>
      </c>
      <c r="E54" s="4">
        <v>3.2000000000000001E-2</v>
      </c>
      <c r="J54" s="7">
        <f t="shared" ref="J54:J58" si="27">E54-$I$53</f>
        <v>-1.7833333333333333E-2</v>
      </c>
      <c r="M54">
        <f t="shared" ref="M54:M58" si="28">D54-$L$53</f>
        <v>-1.0500000000000002E-2</v>
      </c>
      <c r="N54">
        <f t="shared" ref="N54:N58" si="29">J54*M54</f>
        <v>1.8725000000000005E-4</v>
      </c>
      <c r="P54">
        <f t="shared" ref="P54:P58" si="30">M54^2</f>
        <v>1.1025000000000005E-4</v>
      </c>
    </row>
    <row r="55" spans="2:19">
      <c r="B55" s="2">
        <v>3</v>
      </c>
      <c r="C55" s="2">
        <f t="shared" si="25"/>
        <v>0.128</v>
      </c>
      <c r="D55" s="2">
        <f t="shared" si="26"/>
        <v>1.6E-2</v>
      </c>
      <c r="E55" s="4">
        <v>4.2000000000000003E-2</v>
      </c>
      <c r="J55" s="7">
        <f t="shared" si="27"/>
        <v>-7.833333333333331E-3</v>
      </c>
      <c r="M55">
        <f t="shared" si="28"/>
        <v>-5.5000000000000014E-3</v>
      </c>
      <c r="N55">
        <f t="shared" si="29"/>
        <v>4.3083333333333335E-5</v>
      </c>
      <c r="P55">
        <f t="shared" si="30"/>
        <v>3.0250000000000017E-5</v>
      </c>
    </row>
    <row r="56" spans="2:19">
      <c r="B56" s="2">
        <v>4</v>
      </c>
      <c r="C56" s="2">
        <f t="shared" si="25"/>
        <v>0.153</v>
      </c>
      <c r="D56" s="2">
        <f t="shared" si="26"/>
        <v>2.3E-2</v>
      </c>
      <c r="E56" s="4">
        <v>5.3999999999999999E-2</v>
      </c>
      <c r="J56" s="7">
        <f t="shared" si="27"/>
        <v>4.1666666666666657E-3</v>
      </c>
      <c r="M56">
        <f t="shared" si="28"/>
        <v>1.4999999999999979E-3</v>
      </c>
      <c r="N56">
        <f t="shared" si="29"/>
        <v>6.2499999999999893E-6</v>
      </c>
      <c r="P56">
        <f t="shared" si="30"/>
        <v>2.2499999999999937E-6</v>
      </c>
    </row>
    <row r="57" spans="2:19">
      <c r="B57" s="2">
        <v>5</v>
      </c>
      <c r="C57" s="2">
        <f t="shared" si="25"/>
        <v>0.17799999999999999</v>
      </c>
      <c r="D57" s="2">
        <f t="shared" si="26"/>
        <v>3.2000000000000001E-2</v>
      </c>
      <c r="E57" s="4">
        <v>6.4000000000000001E-2</v>
      </c>
      <c r="J57" s="7">
        <f t="shared" si="27"/>
        <v>1.4166666666666668E-2</v>
      </c>
      <c r="M57">
        <f t="shared" si="28"/>
        <v>1.0499999999999999E-2</v>
      </c>
      <c r="N57">
        <f t="shared" si="29"/>
        <v>1.4874999999999998E-4</v>
      </c>
      <c r="P57">
        <f t="shared" si="30"/>
        <v>1.1024999999999998E-4</v>
      </c>
    </row>
    <row r="58" spans="2:19">
      <c r="B58" s="2">
        <v>6</v>
      </c>
      <c r="C58" s="2">
        <f t="shared" si="25"/>
        <v>0.20299999999999999</v>
      </c>
      <c r="D58" s="2">
        <f t="shared" si="26"/>
        <v>4.1000000000000002E-2</v>
      </c>
      <c r="E58" s="4">
        <v>8.2000000000000003E-2</v>
      </c>
      <c r="J58" s="7">
        <f t="shared" si="27"/>
        <v>3.216666666666667E-2</v>
      </c>
      <c r="M58">
        <f t="shared" si="28"/>
        <v>1.95E-2</v>
      </c>
      <c r="N58">
        <f t="shared" si="29"/>
        <v>6.2725000000000009E-4</v>
      </c>
      <c r="P58">
        <f t="shared" si="30"/>
        <v>3.8025E-4</v>
      </c>
    </row>
    <row r="61" spans="2:19">
      <c r="B61" t="s">
        <v>43</v>
      </c>
      <c r="C61" t="s">
        <v>44</v>
      </c>
    </row>
    <row r="62" spans="2:19">
      <c r="B62">
        <f>D53*100</f>
        <v>0.6</v>
      </c>
      <c r="C62">
        <f>E53*100</f>
        <v>2.5</v>
      </c>
    </row>
    <row r="63" spans="2:19">
      <c r="B63">
        <f t="shared" ref="B63:B67" si="31">D54*100</f>
        <v>1.0999999999999999</v>
      </c>
      <c r="C63">
        <f t="shared" ref="C63:C67" si="32">E54*100</f>
        <v>3.2</v>
      </c>
    </row>
    <row r="64" spans="2:19">
      <c r="B64">
        <f t="shared" si="31"/>
        <v>1.6</v>
      </c>
      <c r="C64">
        <f t="shared" si="32"/>
        <v>4.2</v>
      </c>
    </row>
    <row r="65" spans="2:3">
      <c r="B65">
        <f t="shared" si="31"/>
        <v>2.2999999999999998</v>
      </c>
      <c r="C65">
        <f t="shared" si="32"/>
        <v>5.4</v>
      </c>
    </row>
    <row r="66" spans="2:3">
      <c r="B66">
        <f t="shared" si="31"/>
        <v>3.2</v>
      </c>
      <c r="C66">
        <f t="shared" si="32"/>
        <v>6.4</v>
      </c>
    </row>
    <row r="67" spans="2:3">
      <c r="B67">
        <f t="shared" si="31"/>
        <v>4.1000000000000005</v>
      </c>
      <c r="C67">
        <f t="shared" si="32"/>
        <v>8.2000000000000011</v>
      </c>
    </row>
    <row r="86" spans="1:16">
      <c r="A86" s="1"/>
      <c r="B86" s="1" t="s">
        <v>53</v>
      </c>
      <c r="C86" s="1">
        <f>ROUND(SQRT(((D4-D7)^2+(D5-D7)^2+(D6-D7)^2)/6),2)</f>
        <v>0.04</v>
      </c>
      <c r="D86" s="1"/>
      <c r="E86" s="1" t="s">
        <v>56</v>
      </c>
      <c r="F86" s="1">
        <f>ROUND(SQRT((2*C49/(D7)^2)^2+(-4*B49/(D7)^3*C88)^2),3)</f>
        <v>4.0000000000000001E-3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1"/>
      <c r="B87" s="1" t="s">
        <v>54</v>
      </c>
      <c r="C87" s="1">
        <f>4.3*C86</f>
        <v>0.17199999999999999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"/>
      <c r="B88" s="1" t="s">
        <v>55</v>
      </c>
      <c r="C88" s="1">
        <f>ROUND(SQRT(C87^2+(2/3*0.01)^2),3)</f>
        <v>0.17199999999999999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2" t="s">
        <v>58</v>
      </c>
      <c r="B90" s="12"/>
      <c r="C90" s="12"/>
      <c r="D90" s="1">
        <f>ROUND(SQRT((2/D49*F86)^2+(-2*E23/D49/D49*E49)^2),2)</f>
        <v>0.18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2" t="s">
        <v>57</v>
      </c>
      <c r="B91" s="12"/>
      <c r="C91" s="12"/>
      <c r="D91" s="9">
        <v>7.0000000000000007E-2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2" t="s">
        <v>59</v>
      </c>
      <c r="B92" s="12"/>
      <c r="C92" s="12"/>
      <c r="D92" s="9">
        <v>7.0000000000000007E-2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12" t="s">
        <v>60</v>
      </c>
      <c r="B94" s="12"/>
      <c r="C94" s="12"/>
      <c r="D94" s="1">
        <f>ROUND(SQRT((D49*(9.82-E23)/2*L49)^2+(C23*(9.82-E23)/2*E49)^2+(-C23*D49/2*F86)^2),4)</f>
        <v>6.9999999999999999E-4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2" t="s">
        <v>61</v>
      </c>
      <c r="B95" s="12"/>
      <c r="C95" s="12"/>
      <c r="D95" s="10" t="s">
        <v>62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" t="s">
        <v>63</v>
      </c>
      <c r="B97" s="1">
        <f>ROUND(Q53,4)</f>
        <v>8.9999999999999998E-4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" t="s">
        <v>64</v>
      </c>
      <c r="B98" s="1">
        <f>ROUND(N23-(S53+4*R53*D53),5)</f>
        <v>4.0000000000000002E-4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" t="s">
        <v>65</v>
      </c>
      <c r="B99" s="1">
        <f>B98^2</f>
        <v>1.6E-7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2" t="s">
        <v>66</v>
      </c>
      <c r="B102" s="12"/>
      <c r="C102" s="12"/>
      <c r="D102" s="1">
        <f>0.001</f>
        <v>1E-3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2" t="s">
        <v>67</v>
      </c>
      <c r="B103" s="12"/>
      <c r="C103" s="12"/>
      <c r="D103" s="1">
        <f>2*D102</f>
        <v>2E-3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2" t="s">
        <v>68</v>
      </c>
      <c r="B104" s="12"/>
      <c r="C104" s="12"/>
      <c r="D104" s="9">
        <v>0.13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2" t="s">
        <v>69</v>
      </c>
      <c r="B106" s="12"/>
      <c r="C106" s="12"/>
      <c r="D106" s="1">
        <v>0.01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2" t="s">
        <v>55</v>
      </c>
      <c r="B107" s="12"/>
      <c r="C107" s="12"/>
      <c r="D107" s="1">
        <v>0.02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1" t="s">
        <v>70</v>
      </c>
      <c r="B108" s="11"/>
      <c r="C108" s="11"/>
      <c r="D108" s="9">
        <v>0.05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</sheetData>
  <mergeCells count="54">
    <mergeCell ref="B43:B46"/>
    <mergeCell ref="D2:I2"/>
    <mergeCell ref="C2:C3"/>
    <mergeCell ref="B2:B3"/>
    <mergeCell ref="B4:B7"/>
    <mergeCell ref="B8:B11"/>
    <mergeCell ref="B12:B15"/>
    <mergeCell ref="B16:B19"/>
    <mergeCell ref="B23:B26"/>
    <mergeCell ref="B27:B30"/>
    <mergeCell ref="B31:B34"/>
    <mergeCell ref="B35:B38"/>
    <mergeCell ref="B39:B42"/>
    <mergeCell ref="I27:I30"/>
    <mergeCell ref="L27:L30"/>
    <mergeCell ref="M27:M30"/>
    <mergeCell ref="N27:N30"/>
    <mergeCell ref="O27:O30"/>
    <mergeCell ref="I23:I26"/>
    <mergeCell ref="L23:L26"/>
    <mergeCell ref="M23:M26"/>
    <mergeCell ref="N23:N26"/>
    <mergeCell ref="O23:O26"/>
    <mergeCell ref="I35:I38"/>
    <mergeCell ref="L35:L38"/>
    <mergeCell ref="M35:M38"/>
    <mergeCell ref="N35:N38"/>
    <mergeCell ref="O35:O38"/>
    <mergeCell ref="I31:I34"/>
    <mergeCell ref="L31:L34"/>
    <mergeCell ref="M31:M34"/>
    <mergeCell ref="N31:N34"/>
    <mergeCell ref="O31:O34"/>
    <mergeCell ref="I43:I46"/>
    <mergeCell ref="L43:L46"/>
    <mergeCell ref="M43:M46"/>
    <mergeCell ref="N43:N46"/>
    <mergeCell ref="O43:O46"/>
    <mergeCell ref="I39:I42"/>
    <mergeCell ref="L39:L42"/>
    <mergeCell ref="M39:M42"/>
    <mergeCell ref="N39:N42"/>
    <mergeCell ref="O39:O42"/>
    <mergeCell ref="A90:C90"/>
    <mergeCell ref="A91:C91"/>
    <mergeCell ref="A92:C92"/>
    <mergeCell ref="A94:C94"/>
    <mergeCell ref="A95:C95"/>
    <mergeCell ref="A108:C108"/>
    <mergeCell ref="A102:C102"/>
    <mergeCell ref="A103:C103"/>
    <mergeCell ref="A104:C104"/>
    <mergeCell ref="A106:C106"/>
    <mergeCell ref="A107:C10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Филиппов</dc:creator>
  <cp:lastModifiedBy>Александр Филиппов</cp:lastModifiedBy>
  <dcterms:created xsi:type="dcterms:W3CDTF">2015-06-05T18:19:34Z</dcterms:created>
  <dcterms:modified xsi:type="dcterms:W3CDTF">2022-06-30T11:45:12Z</dcterms:modified>
</cp:coreProperties>
</file>