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f421\OneDrive\Рабочий стол\Физика\"/>
    </mc:Choice>
  </mc:AlternateContent>
  <bookViews>
    <workbookView xWindow="0" yWindow="0" windowWidth="23040" windowHeight="9072" activeTab="1"/>
  </bookViews>
  <sheets>
    <sheet name="3.01" sheetId="3" r:id="rId1"/>
    <sheet name="3.02" sheetId="2" r:id="rId2"/>
    <sheet name="3.06" sheetId="7" r:id="rId3"/>
    <sheet name="3.11" sheetId="8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7" l="1"/>
  <c r="B41" i="7"/>
  <c r="I15" i="7"/>
  <c r="H15" i="7"/>
  <c r="G15" i="7"/>
  <c r="H14" i="7"/>
  <c r="I14" i="7" s="1"/>
  <c r="G14" i="7"/>
  <c r="H13" i="7"/>
  <c r="I13" i="7" s="1"/>
  <c r="G13" i="7"/>
  <c r="L12" i="7"/>
  <c r="H12" i="7"/>
  <c r="I12" i="7" s="1"/>
  <c r="G12" i="7"/>
  <c r="L11" i="7"/>
  <c r="H11" i="7"/>
  <c r="I11" i="7" s="1"/>
  <c r="G11" i="7"/>
  <c r="L10" i="7"/>
  <c r="H10" i="7"/>
  <c r="I10" i="7" s="1"/>
  <c r="G10" i="7"/>
  <c r="L9" i="7"/>
  <c r="L7" i="7" s="1"/>
  <c r="H9" i="7"/>
  <c r="I9" i="7" s="1"/>
  <c r="G9" i="7"/>
  <c r="I8" i="7"/>
  <c r="H8" i="7"/>
  <c r="G8" i="7"/>
  <c r="H7" i="7"/>
  <c r="I7" i="7" s="1"/>
  <c r="G7" i="7"/>
  <c r="O6" i="7"/>
  <c r="L6" i="7"/>
  <c r="L8" i="7" s="1"/>
  <c r="H6" i="7"/>
  <c r="I6" i="7" s="1"/>
  <c r="G6" i="7"/>
  <c r="I5" i="7"/>
  <c r="H5" i="7"/>
  <c r="G5" i="7"/>
  <c r="H4" i="7"/>
  <c r="I4" i="7" s="1"/>
  <c r="G4" i="7"/>
  <c r="H3" i="7"/>
  <c r="I3" i="7" s="1"/>
  <c r="G3" i="7"/>
  <c r="H2" i="7"/>
  <c r="I2" i="7" s="1"/>
  <c r="G2" i="7"/>
  <c r="F22" i="2" l="1"/>
  <c r="M52" i="2"/>
  <c r="M51" i="2"/>
  <c r="M6" i="3"/>
  <c r="M5" i="3"/>
  <c r="M4" i="3"/>
  <c r="F9" i="3"/>
  <c r="F8" i="3"/>
  <c r="F7" i="3"/>
  <c r="F5" i="3"/>
  <c r="F6" i="3"/>
  <c r="F4" i="3"/>
  <c r="B49" i="8" l="1"/>
  <c r="I3" i="8" l="1"/>
  <c r="I4" i="8"/>
  <c r="A30" i="8"/>
  <c r="C30" i="8" s="1"/>
  <c r="D30" i="8"/>
  <c r="A31" i="8"/>
  <c r="C31" i="8" s="1"/>
  <c r="D31" i="8"/>
  <c r="A32" i="8"/>
  <c r="C32" i="8"/>
  <c r="D32" i="8"/>
  <c r="A33" i="8"/>
  <c r="C33" i="8" s="1"/>
  <c r="D33" i="8"/>
  <c r="A34" i="8"/>
  <c r="C34" i="8" s="1"/>
  <c r="D34" i="8"/>
  <c r="A35" i="8"/>
  <c r="C35" i="8" s="1"/>
  <c r="D35" i="8"/>
  <c r="B38" i="8"/>
  <c r="D39" i="8"/>
  <c r="B45" i="8" s="1"/>
  <c r="B41" i="8"/>
  <c r="B44" i="8"/>
  <c r="B46" i="8" l="1"/>
  <c r="B48" i="8" s="1"/>
  <c r="G31" i="2" l="1"/>
  <c r="G32" i="2"/>
  <c r="G33" i="2"/>
  <c r="G34" i="2"/>
  <c r="G35" i="2"/>
  <c r="G36" i="2"/>
  <c r="G37" i="2"/>
  <c r="G38" i="2"/>
  <c r="G39" i="2"/>
  <c r="G40" i="2"/>
  <c r="G41" i="2"/>
  <c r="G42" i="2"/>
  <c r="H49" i="2" l="1"/>
  <c r="I41" i="2"/>
  <c r="J41" i="2" s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31" i="2"/>
  <c r="G49" i="2"/>
  <c r="G43" i="2"/>
  <c r="G44" i="2"/>
  <c r="G45" i="2"/>
  <c r="G46" i="2"/>
  <c r="G47" i="2"/>
  <c r="G48" i="2"/>
  <c r="B52" i="2"/>
  <c r="I42" i="2" s="1"/>
  <c r="J42" i="2" s="1"/>
  <c r="B51" i="2"/>
  <c r="C49" i="2"/>
  <c r="D49" i="2"/>
  <c r="E49" i="2"/>
  <c r="B49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I36" i="2" l="1"/>
  <c r="J36" i="2" s="1"/>
  <c r="I47" i="2"/>
  <c r="J47" i="2" s="1"/>
  <c r="I46" i="2"/>
  <c r="J46" i="2" s="1"/>
  <c r="I34" i="2"/>
  <c r="J34" i="2" s="1"/>
  <c r="I31" i="2"/>
  <c r="I35" i="2"/>
  <c r="J35" i="2" s="1"/>
  <c r="I45" i="2"/>
  <c r="J45" i="2" s="1"/>
  <c r="I33" i="2"/>
  <c r="J33" i="2" s="1"/>
  <c r="I39" i="2"/>
  <c r="J39" i="2" s="1"/>
  <c r="I38" i="2"/>
  <c r="J38" i="2" s="1"/>
  <c r="I37" i="2"/>
  <c r="J37" i="2" s="1"/>
  <c r="I48" i="2"/>
  <c r="J48" i="2" s="1"/>
  <c r="I44" i="2"/>
  <c r="J44" i="2" s="1"/>
  <c r="I32" i="2"/>
  <c r="J32" i="2" s="1"/>
  <c r="I43" i="2"/>
  <c r="J43" i="2" s="1"/>
  <c r="I40" i="2"/>
  <c r="J40" i="2" s="1"/>
  <c r="J31" i="2" l="1"/>
  <c r="J49" i="2" s="1"/>
  <c r="E51" i="2" s="1"/>
  <c r="I49" i="2"/>
  <c r="G8" i="2" l="1"/>
  <c r="G20" i="2"/>
  <c r="G19" i="2"/>
  <c r="G9" i="2"/>
  <c r="G3" i="2"/>
  <c r="G10" i="2"/>
  <c r="G14" i="2"/>
  <c r="G7" i="2"/>
  <c r="G11" i="2"/>
  <c r="G13" i="2"/>
  <c r="G18" i="2"/>
  <c r="G12" i="2"/>
  <c r="G15" i="2"/>
  <c r="G6" i="2"/>
  <c r="G4" i="2"/>
  <c r="G16" i="2"/>
  <c r="G17" i="2"/>
  <c r="G5" i="2"/>
  <c r="E52" i="2"/>
  <c r="L37" i="2" l="1"/>
  <c r="M37" i="2" s="1"/>
  <c r="L38" i="2"/>
  <c r="M38" i="2" s="1"/>
  <c r="L40" i="2"/>
  <c r="M40" i="2" s="1"/>
  <c r="L31" i="2"/>
  <c r="L32" i="2"/>
  <c r="M32" i="2" s="1"/>
  <c r="L33" i="2"/>
  <c r="M33" i="2" s="1"/>
  <c r="L34" i="2"/>
  <c r="M34" i="2" s="1"/>
  <c r="L48" i="2"/>
  <c r="M48" i="2" s="1"/>
  <c r="L39" i="2"/>
  <c r="M39" i="2" s="1"/>
  <c r="L41" i="2"/>
  <c r="M41" i="2" s="1"/>
  <c r="L42" i="2"/>
  <c r="M42" i="2" s="1"/>
  <c r="L44" i="2"/>
  <c r="M44" i="2" s="1"/>
  <c r="L45" i="2"/>
  <c r="M45" i="2" s="1"/>
  <c r="L46" i="2"/>
  <c r="M46" i="2" s="1"/>
  <c r="L35" i="2"/>
  <c r="M35" i="2" s="1"/>
  <c r="L47" i="2"/>
  <c r="M47" i="2" s="1"/>
  <c r="L36" i="2"/>
  <c r="M36" i="2" s="1"/>
  <c r="L43" i="2"/>
  <c r="M43" i="2" s="1"/>
  <c r="H13" i="2"/>
  <c r="H14" i="2"/>
  <c r="H18" i="2"/>
  <c r="H3" i="2"/>
  <c r="H10" i="2"/>
  <c r="H15" i="2"/>
  <c r="H6" i="2"/>
  <c r="H8" i="2"/>
  <c r="H9" i="2"/>
  <c r="H4" i="2"/>
  <c r="H16" i="2"/>
  <c r="H19" i="2"/>
  <c r="H12" i="2"/>
  <c r="H5" i="2"/>
  <c r="H17" i="2"/>
  <c r="H7" i="2"/>
  <c r="H20" i="2"/>
  <c r="H11" i="2"/>
  <c r="I3" i="2" l="1"/>
  <c r="S33" i="2"/>
  <c r="I10" i="2"/>
  <c r="S40" i="2"/>
  <c r="I13" i="2"/>
  <c r="S43" i="2"/>
  <c r="I15" i="2"/>
  <c r="S45" i="2"/>
  <c r="S48" i="2"/>
  <c r="I18" i="2"/>
  <c r="I11" i="2"/>
  <c r="S41" i="2"/>
  <c r="S50" i="2"/>
  <c r="I20" i="2"/>
  <c r="S35" i="2"/>
  <c r="I5" i="2"/>
  <c r="S49" i="2"/>
  <c r="I19" i="2"/>
  <c r="M31" i="2"/>
  <c r="M49" i="2" s="1"/>
  <c r="L49" i="2"/>
  <c r="I7" i="2"/>
  <c r="S37" i="2"/>
  <c r="S47" i="2"/>
  <c r="I17" i="2"/>
  <c r="I14" i="2"/>
  <c r="S44" i="2"/>
  <c r="I12" i="2"/>
  <c r="S42" i="2"/>
  <c r="S46" i="2"/>
  <c r="I16" i="2"/>
  <c r="S34" i="2"/>
  <c r="I4" i="2"/>
  <c r="I9" i="2"/>
  <c r="S39" i="2"/>
  <c r="S38" i="2"/>
  <c r="I8" i="2"/>
  <c r="S36" i="2"/>
  <c r="I6" i="2"/>
</calcChain>
</file>

<file path=xl/sharedStrings.xml><?xml version="1.0" encoding="utf-8"?>
<sst xmlns="http://schemas.openxmlformats.org/spreadsheetml/2006/main" count="113" uniqueCount="96">
  <si>
    <t>No</t>
  </si>
  <si>
    <t>R, Om</t>
  </si>
  <si>
    <t>U, B</t>
  </si>
  <si>
    <t>I, mA</t>
  </si>
  <si>
    <t>P, mBт</t>
  </si>
  <si>
    <r>
      <t>P</t>
    </r>
    <r>
      <rPr>
        <sz val="8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, mBт</t>
    </r>
  </si>
  <si>
    <t>η, %</t>
  </si>
  <si>
    <t>МНК</t>
  </si>
  <si>
    <t>a=r</t>
  </si>
  <si>
    <t>b=E</t>
  </si>
  <si>
    <t>I</t>
  </si>
  <si>
    <t>U</t>
  </si>
  <si>
    <t>x</t>
  </si>
  <si>
    <t>y</t>
  </si>
  <si>
    <t>x^2</t>
  </si>
  <si>
    <t>x*y</t>
  </si>
  <si>
    <t>SUM</t>
  </si>
  <si>
    <t>x̅ =</t>
  </si>
  <si>
    <t>r=b=</t>
  </si>
  <si>
    <t>E=a=</t>
  </si>
  <si>
    <t>(xi-x̅)^2</t>
  </si>
  <si>
    <t>D=</t>
  </si>
  <si>
    <t>(xi-x̅)</t>
  </si>
  <si>
    <t>(yi-y̅ )</t>
  </si>
  <si>
    <t>y̅=</t>
  </si>
  <si>
    <t>(xi-x̅)*(yi-y̅ )</t>
  </si>
  <si>
    <t>Ps, mBт</t>
  </si>
  <si>
    <t>CKO</t>
  </si>
  <si>
    <t>di</t>
  </si>
  <si>
    <t>di^2</t>
  </si>
  <si>
    <t>Sb</t>
  </si>
  <si>
    <t>Sa</t>
  </si>
  <si>
    <t/>
  </si>
  <si>
    <t>hv</t>
  </si>
  <si>
    <t>tg δ</t>
  </si>
  <si>
    <t>Dr</t>
  </si>
  <si>
    <t>UR1</t>
  </si>
  <si>
    <t>UC1</t>
  </si>
  <si>
    <t>Pr</t>
  </si>
  <si>
    <t>Ds</t>
  </si>
  <si>
    <t>e0</t>
  </si>
  <si>
    <t>Ec</t>
  </si>
  <si>
    <t>d, м</t>
  </si>
  <si>
    <t>S, м^2</t>
  </si>
  <si>
    <t>C1, Ф</t>
  </si>
  <si>
    <t>R2, Ом</t>
  </si>
  <si>
    <t>Es</t>
  </si>
  <si>
    <t>R1, Ом</t>
  </si>
  <si>
    <t>ε</t>
  </si>
  <si>
    <t>D, Кл/м^2</t>
  </si>
  <si>
    <t>E, B/м</t>
  </si>
  <si>
    <t>Y, дел</t>
  </si>
  <si>
    <t>X, дел</t>
  </si>
  <si>
    <t>Ky, B/Дел</t>
  </si>
  <si>
    <t>Kx, B/Дел</t>
  </si>
  <si>
    <t>№</t>
  </si>
  <si>
    <t>A=</t>
  </si>
  <si>
    <t>R=</t>
  </si>
  <si>
    <t>Q=</t>
  </si>
  <si>
    <t>омега 0</t>
  </si>
  <si>
    <t>Гн</t>
  </si>
  <si>
    <t>Lнайд</t>
  </si>
  <si>
    <t>мГн</t>
  </si>
  <si>
    <t>Lзад</t>
  </si>
  <si>
    <t>f^2</t>
  </si>
  <si>
    <t>c-1</t>
  </si>
  <si>
    <t>f</t>
  </si>
  <si>
    <t>c</t>
  </si>
  <si>
    <t xml:space="preserve"> </t>
  </si>
  <si>
    <t>f, Гц</t>
  </si>
  <si>
    <t>u, В</t>
  </si>
  <si>
    <t>R по графику</t>
  </si>
  <si>
    <t>Пустая ванна</t>
  </si>
  <si>
    <t>х</t>
  </si>
  <si>
    <t>ф</t>
  </si>
  <si>
    <t>E центр</t>
  </si>
  <si>
    <t>E лево</t>
  </si>
  <si>
    <t>Е право</t>
  </si>
  <si>
    <t>σ лево</t>
  </si>
  <si>
    <t>σ право</t>
  </si>
  <si>
    <t>Флажок/кольцо</t>
  </si>
  <si>
    <t>E max</t>
  </si>
  <si>
    <t>ΔE центр</t>
  </si>
  <si>
    <t>ΔE лево</t>
  </si>
  <si>
    <t>Центр - (14;9)</t>
  </si>
  <si>
    <t>+</t>
  </si>
  <si>
    <t>-</t>
  </si>
  <si>
    <t>R1 =</t>
  </si>
  <si>
    <t>R2 =</t>
  </si>
  <si>
    <t>делDs =</t>
  </si>
  <si>
    <t>C1 =</t>
  </si>
  <si>
    <t>S =</t>
  </si>
  <si>
    <t>А=</t>
  </si>
  <si>
    <t>d =</t>
  </si>
  <si>
    <t>делC1 =</t>
  </si>
  <si>
    <t>делEc=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</si>
</sst>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20212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/>
    <xf numFmtId="2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6" fillId="0" borderId="0" xfId="0" applyFont="1"/>
    <xf numFmtId="2" fontId="5" fillId="0" borderId="0" xfId="0" applyNumberFormat="1" applyFont="1"/>
    <xf numFmtId="0" fontId="5" fillId="0" borderId="0" xfId="0" applyFont="1" applyAlignment="1">
      <alignment horizontal="center"/>
    </xf>
    <xf numFmtId="164" fontId="0" fillId="0" borderId="0" xfId="0" applyNumberFormat="1"/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потенциала 𝜑 от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координаты </a:t>
            </a:r>
            <a:r>
              <a:rPr lang="en-US" sz="1800" b="0" i="0" baseline="0">
                <a:effectLst/>
              </a:rPr>
              <a:t>x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3961727908691746"/>
          <c:y val="2.9090752376542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'3.01'!$B$6:$B$11</c:f>
              <c:numCache>
                <c:formatCode>0.00</c:formatCode>
                <c:ptCount val="6"/>
                <c:pt idx="0">
                  <c:v>3.1</c:v>
                </c:pt>
                <c:pt idx="1">
                  <c:v>7.8</c:v>
                </c:pt>
                <c:pt idx="2">
                  <c:v>12.9</c:v>
                </c:pt>
                <c:pt idx="3">
                  <c:v>17.5</c:v>
                </c:pt>
                <c:pt idx="4">
                  <c:v>22.1</c:v>
                </c:pt>
                <c:pt idx="5">
                  <c:v>26.7</c:v>
                </c:pt>
              </c:numCache>
            </c:numRef>
          </c:xVal>
          <c:yVal>
            <c:numRef>
              <c:f>'3.01'!$C$6:$C$11</c:f>
              <c:numCache>
                <c:formatCode>0.00</c:formatCode>
                <c:ptCount val="6"/>
                <c:pt idx="0">
                  <c:v>1.75</c:v>
                </c:pt>
                <c:pt idx="1">
                  <c:v>3.75</c:v>
                </c:pt>
                <c:pt idx="2">
                  <c:v>5.75</c:v>
                </c:pt>
                <c:pt idx="3">
                  <c:v>7.75</c:v>
                </c:pt>
                <c:pt idx="4">
                  <c:v>9.75</c:v>
                </c:pt>
                <c:pt idx="5">
                  <c:v>11.75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8-4EC6-BC9D-6F26CED9E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21615"/>
        <c:axId val="1158459311"/>
      </c:scatterChart>
      <c:valAx>
        <c:axId val="149122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</a:t>
                </a:r>
                <a:r>
                  <a:rPr lang="ru-RU" baseline="0"/>
                  <a:t> 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459311"/>
        <c:crosses val="autoZero"/>
        <c:crossBetween val="midCat"/>
      </c:valAx>
      <c:valAx>
        <c:axId val="11584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22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потенциала 𝜑 от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координаты </a:t>
            </a:r>
            <a:r>
              <a:rPr lang="en-US" sz="1800" b="0" i="0" baseline="0">
                <a:effectLst/>
              </a:rPr>
              <a:t>x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'3.01'!$I$6:$I$13</c:f>
              <c:numCache>
                <c:formatCode>General</c:formatCode>
                <c:ptCount val="8"/>
                <c:pt idx="0">
                  <c:v>2.8</c:v>
                </c:pt>
                <c:pt idx="1">
                  <c:v>4.4000000000000004</c:v>
                </c:pt>
                <c:pt idx="2">
                  <c:v>6</c:v>
                </c:pt>
                <c:pt idx="3">
                  <c:v>7.3</c:v>
                </c:pt>
                <c:pt idx="4">
                  <c:v>21</c:v>
                </c:pt>
                <c:pt idx="5">
                  <c:v>22.5</c:v>
                </c:pt>
                <c:pt idx="6">
                  <c:v>24.1</c:v>
                </c:pt>
                <c:pt idx="7">
                  <c:v>25.5</c:v>
                </c:pt>
              </c:numCache>
            </c:numRef>
          </c:xVal>
          <c:yVal>
            <c:numRef>
              <c:f>'3.01'!$J$6:$J$13</c:f>
              <c:numCache>
                <c:formatCode>General</c:formatCode>
                <c:ptCount val="8"/>
                <c:pt idx="0">
                  <c:v>2.35</c:v>
                </c:pt>
                <c:pt idx="1">
                  <c:v>3.35</c:v>
                </c:pt>
                <c:pt idx="2">
                  <c:v>4.3499999999999996</c:v>
                </c:pt>
                <c:pt idx="3">
                  <c:v>5.35</c:v>
                </c:pt>
                <c:pt idx="4">
                  <c:v>7.35</c:v>
                </c:pt>
                <c:pt idx="5">
                  <c:v>8.35</c:v>
                </c:pt>
                <c:pt idx="6">
                  <c:v>9.35</c:v>
                </c:pt>
                <c:pt idx="7">
                  <c:v>10.35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6-4EB1-A4E7-C8021570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04911"/>
        <c:axId val="1158471791"/>
      </c:scatterChart>
      <c:valAx>
        <c:axId val="149120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</a:t>
                </a:r>
                <a:r>
                  <a:rPr lang="ru-RU" baseline="0"/>
                  <a:t> 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471791"/>
        <c:crosses val="autoZero"/>
        <c:crossBetween val="midCat"/>
      </c:valAx>
      <c:valAx>
        <c:axId val="11584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2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</a:t>
            </a:r>
            <a:r>
              <a:rPr lang="ru-RU"/>
              <a:t>(</a:t>
            </a:r>
            <a:r>
              <a:rPr lang="en-US"/>
              <a:t>I)</a:t>
            </a:r>
            <a:r>
              <a:rPr lang="el-GR"/>
              <a:t>, %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'3.02'!$R$33:$R$50</c:f>
              <c:numCache>
                <c:formatCode>0.00</c:formatCode>
                <c:ptCount val="18"/>
                <c:pt idx="0">
                  <c:v>14.66</c:v>
                </c:pt>
                <c:pt idx="1">
                  <c:v>13.34</c:v>
                </c:pt>
                <c:pt idx="2">
                  <c:v>12.68</c:v>
                </c:pt>
                <c:pt idx="3">
                  <c:v>12.45</c:v>
                </c:pt>
                <c:pt idx="4">
                  <c:v>11.6</c:v>
                </c:pt>
                <c:pt idx="5">
                  <c:v>10.47</c:v>
                </c:pt>
                <c:pt idx="6">
                  <c:v>9.3800000000000008</c:v>
                </c:pt>
                <c:pt idx="7">
                  <c:v>8.4700000000000006</c:v>
                </c:pt>
                <c:pt idx="8">
                  <c:v>7.77</c:v>
                </c:pt>
                <c:pt idx="9">
                  <c:v>7.14</c:v>
                </c:pt>
                <c:pt idx="10">
                  <c:v>6.58</c:v>
                </c:pt>
                <c:pt idx="11">
                  <c:v>6.15</c:v>
                </c:pt>
                <c:pt idx="12">
                  <c:v>5.75</c:v>
                </c:pt>
                <c:pt idx="13">
                  <c:v>5.4</c:v>
                </c:pt>
                <c:pt idx="14">
                  <c:v>5.07</c:v>
                </c:pt>
                <c:pt idx="15">
                  <c:v>4.75</c:v>
                </c:pt>
                <c:pt idx="16">
                  <c:v>4.63</c:v>
                </c:pt>
                <c:pt idx="17">
                  <c:v>4.51</c:v>
                </c:pt>
              </c:numCache>
            </c:numRef>
          </c:xVal>
          <c:yVal>
            <c:numRef>
              <c:f>'3.02'!$S$33:$S$50</c:f>
              <c:numCache>
                <c:formatCode>General</c:formatCode>
                <c:ptCount val="18"/>
                <c:pt idx="0">
                  <c:v>1.01</c:v>
                </c:pt>
                <c:pt idx="1">
                  <c:v>8.76</c:v>
                </c:pt>
                <c:pt idx="2">
                  <c:v>13.39</c:v>
                </c:pt>
                <c:pt idx="3">
                  <c:v>14.91</c:v>
                </c:pt>
                <c:pt idx="4">
                  <c:v>20.85</c:v>
                </c:pt>
                <c:pt idx="5">
                  <c:v>28.6</c:v>
                </c:pt>
                <c:pt idx="6">
                  <c:v>36.26</c:v>
                </c:pt>
                <c:pt idx="7">
                  <c:v>42.29</c:v>
                </c:pt>
                <c:pt idx="8">
                  <c:v>47.13</c:v>
                </c:pt>
                <c:pt idx="9">
                  <c:v>51.35</c:v>
                </c:pt>
                <c:pt idx="10">
                  <c:v>55.19</c:v>
                </c:pt>
                <c:pt idx="11">
                  <c:v>58.11</c:v>
                </c:pt>
                <c:pt idx="12">
                  <c:v>60.83</c:v>
                </c:pt>
                <c:pt idx="13">
                  <c:v>63.24</c:v>
                </c:pt>
                <c:pt idx="14">
                  <c:v>65.47</c:v>
                </c:pt>
                <c:pt idx="15">
                  <c:v>67.680000000000007</c:v>
                </c:pt>
                <c:pt idx="16">
                  <c:v>68.48</c:v>
                </c:pt>
                <c:pt idx="17">
                  <c:v>69.38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C-4864-9995-51EE93B8C7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'3.02'!$U$33:$U$34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'3.02'!$V$33:$V$34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0-454A-8937-F358184B8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20368"/>
        <c:axId val="898853664"/>
      </c:scatterChart>
      <c:valAx>
        <c:axId val="8959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853664"/>
        <c:crosses val="autoZero"/>
        <c:crossBetween val="midCat"/>
      </c:valAx>
      <c:valAx>
        <c:axId val="8988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9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U(I),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'3.02'!$P$3</c:f>
              <c:strCache>
                <c:ptCount val="1"/>
                <c:pt idx="0">
                  <c:v>U,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66415481250684E-3"/>
                  <c:y val="-0.7217370776218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'3.02'!$O$4:$O$21</c:f>
              <c:numCache>
                <c:formatCode>0.00</c:formatCode>
                <c:ptCount val="18"/>
                <c:pt idx="0">
                  <c:v>14.66</c:v>
                </c:pt>
                <c:pt idx="1">
                  <c:v>13.34</c:v>
                </c:pt>
                <c:pt idx="2">
                  <c:v>12.68</c:v>
                </c:pt>
                <c:pt idx="3">
                  <c:v>12.45</c:v>
                </c:pt>
                <c:pt idx="4">
                  <c:v>11.6</c:v>
                </c:pt>
                <c:pt idx="5">
                  <c:v>10.47</c:v>
                </c:pt>
                <c:pt idx="6">
                  <c:v>9.3800000000000008</c:v>
                </c:pt>
                <c:pt idx="7">
                  <c:v>8.4700000000000006</c:v>
                </c:pt>
                <c:pt idx="8">
                  <c:v>7.77</c:v>
                </c:pt>
                <c:pt idx="9">
                  <c:v>7.14</c:v>
                </c:pt>
                <c:pt idx="10">
                  <c:v>6.58</c:v>
                </c:pt>
                <c:pt idx="11">
                  <c:v>6.15</c:v>
                </c:pt>
                <c:pt idx="12">
                  <c:v>5.75</c:v>
                </c:pt>
                <c:pt idx="13">
                  <c:v>5.4</c:v>
                </c:pt>
                <c:pt idx="14">
                  <c:v>5.07</c:v>
                </c:pt>
                <c:pt idx="15">
                  <c:v>4.75</c:v>
                </c:pt>
                <c:pt idx="16">
                  <c:v>4.63</c:v>
                </c:pt>
                <c:pt idx="17">
                  <c:v>4.51</c:v>
                </c:pt>
              </c:numCache>
            </c:numRef>
          </c:xVal>
          <c:yVal>
            <c:numRef>
              <c:f>'3.02'!$P$4:$P$21</c:f>
              <c:numCache>
                <c:formatCode>0.00</c:formatCode>
                <c:ptCount val="18"/>
                <c:pt idx="0">
                  <c:v>0.1</c:v>
                </c:pt>
                <c:pt idx="1">
                  <c:v>0.87</c:v>
                </c:pt>
                <c:pt idx="2">
                  <c:v>1.33</c:v>
                </c:pt>
                <c:pt idx="3">
                  <c:v>1.48</c:v>
                </c:pt>
                <c:pt idx="4">
                  <c:v>2.0699999999999998</c:v>
                </c:pt>
                <c:pt idx="5">
                  <c:v>2.84</c:v>
                </c:pt>
                <c:pt idx="6">
                  <c:v>3.6</c:v>
                </c:pt>
                <c:pt idx="7">
                  <c:v>4.2</c:v>
                </c:pt>
                <c:pt idx="8">
                  <c:v>4.68</c:v>
                </c:pt>
                <c:pt idx="9">
                  <c:v>5.0999999999999996</c:v>
                </c:pt>
                <c:pt idx="10">
                  <c:v>5.48</c:v>
                </c:pt>
                <c:pt idx="11">
                  <c:v>5.77</c:v>
                </c:pt>
                <c:pt idx="12">
                  <c:v>6.04</c:v>
                </c:pt>
                <c:pt idx="13">
                  <c:v>6.28</c:v>
                </c:pt>
                <c:pt idx="14">
                  <c:v>6.5</c:v>
                </c:pt>
                <c:pt idx="15">
                  <c:v>6.72</c:v>
                </c:pt>
                <c:pt idx="16">
                  <c:v>6.8</c:v>
                </c:pt>
                <c:pt idx="17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8-48C4-A112-6D15004D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05632"/>
        <c:axId val="898955184"/>
      </c:scatterChart>
      <c:valAx>
        <c:axId val="9083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955184"/>
        <c:crosses val="autoZero"/>
        <c:crossBetween val="midCat"/>
      </c:valAx>
      <c:valAx>
        <c:axId val="898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3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мощностей от силы тока</a:t>
            </a:r>
            <a:endParaRPr lang="ru-RU"/>
          </a:p>
        </c:rich>
      </c:tx>
      <c:layout>
        <c:manualLayout>
          <c:xMode val="edge"/>
          <c:yMode val="edge"/>
          <c:x val="0.320569335083114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'3.02'!$E$3:$E$20</c:f>
              <c:numCache>
                <c:formatCode>0.00</c:formatCode>
                <c:ptCount val="18"/>
                <c:pt idx="0">
                  <c:v>14.66</c:v>
                </c:pt>
                <c:pt idx="1">
                  <c:v>13.34</c:v>
                </c:pt>
                <c:pt idx="2">
                  <c:v>12.68</c:v>
                </c:pt>
                <c:pt idx="3">
                  <c:v>12.45</c:v>
                </c:pt>
                <c:pt idx="4">
                  <c:v>11.6</c:v>
                </c:pt>
                <c:pt idx="5">
                  <c:v>10.47</c:v>
                </c:pt>
                <c:pt idx="6">
                  <c:v>9.3800000000000008</c:v>
                </c:pt>
                <c:pt idx="7">
                  <c:v>8.4700000000000006</c:v>
                </c:pt>
                <c:pt idx="8">
                  <c:v>7.77</c:v>
                </c:pt>
                <c:pt idx="9">
                  <c:v>7.14</c:v>
                </c:pt>
                <c:pt idx="10">
                  <c:v>6.58</c:v>
                </c:pt>
                <c:pt idx="11">
                  <c:v>6.15</c:v>
                </c:pt>
                <c:pt idx="12">
                  <c:v>5.75</c:v>
                </c:pt>
                <c:pt idx="13">
                  <c:v>5.4</c:v>
                </c:pt>
                <c:pt idx="14">
                  <c:v>5.07</c:v>
                </c:pt>
                <c:pt idx="15">
                  <c:v>4.75</c:v>
                </c:pt>
                <c:pt idx="16">
                  <c:v>4.63</c:v>
                </c:pt>
                <c:pt idx="17">
                  <c:v>4.51</c:v>
                </c:pt>
              </c:numCache>
            </c:numRef>
          </c:xVal>
          <c:yVal>
            <c:numRef>
              <c:f>'3.02'!$F$3:$F$20</c:f>
              <c:numCache>
                <c:formatCode>0.00</c:formatCode>
                <c:ptCount val="18"/>
                <c:pt idx="0">
                  <c:v>1.47</c:v>
                </c:pt>
                <c:pt idx="1">
                  <c:v>11.61</c:v>
                </c:pt>
                <c:pt idx="2">
                  <c:v>16.86</c:v>
                </c:pt>
                <c:pt idx="3">
                  <c:v>18.43</c:v>
                </c:pt>
                <c:pt idx="4">
                  <c:v>24.01</c:v>
                </c:pt>
                <c:pt idx="5">
                  <c:v>29.73</c:v>
                </c:pt>
                <c:pt idx="6">
                  <c:v>33.770000000000003</c:v>
                </c:pt>
                <c:pt idx="7">
                  <c:v>35.57</c:v>
                </c:pt>
                <c:pt idx="8">
                  <c:v>36.36</c:v>
                </c:pt>
                <c:pt idx="9">
                  <c:v>36.409999999999997</c:v>
                </c:pt>
                <c:pt idx="10">
                  <c:v>36.06</c:v>
                </c:pt>
                <c:pt idx="11">
                  <c:v>35.49</c:v>
                </c:pt>
                <c:pt idx="12">
                  <c:v>34.729999999999997</c:v>
                </c:pt>
                <c:pt idx="13">
                  <c:v>33.909999999999997</c:v>
                </c:pt>
                <c:pt idx="14">
                  <c:v>32.96</c:v>
                </c:pt>
                <c:pt idx="15">
                  <c:v>31.92</c:v>
                </c:pt>
                <c:pt idx="16">
                  <c:v>31.48</c:v>
                </c:pt>
                <c:pt idx="17">
                  <c:v>31.07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1-46D2-B8FF-39BDDBDAC7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'3.02'!$E$3:$E$20</c:f>
              <c:numCache>
                <c:formatCode>0.00</c:formatCode>
                <c:ptCount val="18"/>
                <c:pt idx="0">
                  <c:v>14.66</c:v>
                </c:pt>
                <c:pt idx="1">
                  <c:v>13.34</c:v>
                </c:pt>
                <c:pt idx="2">
                  <c:v>12.68</c:v>
                </c:pt>
                <c:pt idx="3">
                  <c:v>12.45</c:v>
                </c:pt>
                <c:pt idx="4">
                  <c:v>11.6</c:v>
                </c:pt>
                <c:pt idx="5">
                  <c:v>10.47</c:v>
                </c:pt>
                <c:pt idx="6">
                  <c:v>9.3800000000000008</c:v>
                </c:pt>
                <c:pt idx="7">
                  <c:v>8.4700000000000006</c:v>
                </c:pt>
                <c:pt idx="8">
                  <c:v>7.77</c:v>
                </c:pt>
                <c:pt idx="9">
                  <c:v>7.14</c:v>
                </c:pt>
                <c:pt idx="10">
                  <c:v>6.58</c:v>
                </c:pt>
                <c:pt idx="11">
                  <c:v>6.15</c:v>
                </c:pt>
                <c:pt idx="12">
                  <c:v>5.75</c:v>
                </c:pt>
                <c:pt idx="13">
                  <c:v>5.4</c:v>
                </c:pt>
                <c:pt idx="14">
                  <c:v>5.07</c:v>
                </c:pt>
                <c:pt idx="15">
                  <c:v>4.75</c:v>
                </c:pt>
                <c:pt idx="16">
                  <c:v>4.63</c:v>
                </c:pt>
                <c:pt idx="17">
                  <c:v>4.51</c:v>
                </c:pt>
              </c:numCache>
            </c:numRef>
          </c:xVal>
          <c:yVal>
            <c:numRef>
              <c:f>'3.02'!$G$3:$G$20</c:f>
              <c:numCache>
                <c:formatCode>General</c:formatCode>
                <c:ptCount val="18"/>
                <c:pt idx="0">
                  <c:v>145.34</c:v>
                </c:pt>
                <c:pt idx="1">
                  <c:v>120.34</c:v>
                </c:pt>
                <c:pt idx="2">
                  <c:v>108.73</c:v>
                </c:pt>
                <c:pt idx="3">
                  <c:v>104.82</c:v>
                </c:pt>
                <c:pt idx="4">
                  <c:v>91</c:v>
                </c:pt>
                <c:pt idx="5">
                  <c:v>74.13</c:v>
                </c:pt>
                <c:pt idx="6">
                  <c:v>59.5</c:v>
                </c:pt>
                <c:pt idx="7">
                  <c:v>48.52</c:v>
                </c:pt>
                <c:pt idx="8">
                  <c:v>40.83</c:v>
                </c:pt>
                <c:pt idx="9">
                  <c:v>34.479999999999997</c:v>
                </c:pt>
                <c:pt idx="10">
                  <c:v>29.28</c:v>
                </c:pt>
                <c:pt idx="11">
                  <c:v>25.58</c:v>
                </c:pt>
                <c:pt idx="12">
                  <c:v>22.36</c:v>
                </c:pt>
                <c:pt idx="13">
                  <c:v>19.72</c:v>
                </c:pt>
                <c:pt idx="14">
                  <c:v>17.38</c:v>
                </c:pt>
                <c:pt idx="15">
                  <c:v>15.26</c:v>
                </c:pt>
                <c:pt idx="16">
                  <c:v>14.5</c:v>
                </c:pt>
                <c:pt idx="17">
                  <c:v>13.76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1-46D2-B8FF-39BDDBDAC7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'3.02'!$E$3:$E$20</c:f>
              <c:numCache>
                <c:formatCode>0.00</c:formatCode>
                <c:ptCount val="18"/>
                <c:pt idx="0">
                  <c:v>14.66</c:v>
                </c:pt>
                <c:pt idx="1">
                  <c:v>13.34</c:v>
                </c:pt>
                <c:pt idx="2">
                  <c:v>12.68</c:v>
                </c:pt>
                <c:pt idx="3">
                  <c:v>12.45</c:v>
                </c:pt>
                <c:pt idx="4">
                  <c:v>11.6</c:v>
                </c:pt>
                <c:pt idx="5">
                  <c:v>10.47</c:v>
                </c:pt>
                <c:pt idx="6">
                  <c:v>9.3800000000000008</c:v>
                </c:pt>
                <c:pt idx="7">
                  <c:v>8.4700000000000006</c:v>
                </c:pt>
                <c:pt idx="8">
                  <c:v>7.77</c:v>
                </c:pt>
                <c:pt idx="9">
                  <c:v>7.14</c:v>
                </c:pt>
                <c:pt idx="10">
                  <c:v>6.58</c:v>
                </c:pt>
                <c:pt idx="11">
                  <c:v>6.15</c:v>
                </c:pt>
                <c:pt idx="12">
                  <c:v>5.75</c:v>
                </c:pt>
                <c:pt idx="13">
                  <c:v>5.4</c:v>
                </c:pt>
                <c:pt idx="14">
                  <c:v>5.07</c:v>
                </c:pt>
                <c:pt idx="15">
                  <c:v>4.75</c:v>
                </c:pt>
                <c:pt idx="16">
                  <c:v>4.63</c:v>
                </c:pt>
                <c:pt idx="17">
                  <c:v>4.51</c:v>
                </c:pt>
              </c:numCache>
            </c:numRef>
          </c:xVal>
          <c:yVal>
            <c:numRef>
              <c:f>'3.02'!$H$3:$H$20</c:f>
              <c:numCache>
                <c:formatCode>0.00</c:formatCode>
                <c:ptCount val="18"/>
                <c:pt idx="0">
                  <c:v>145.56</c:v>
                </c:pt>
                <c:pt idx="1">
                  <c:v>132.46</c:v>
                </c:pt>
                <c:pt idx="2">
                  <c:v>125.9</c:v>
                </c:pt>
                <c:pt idx="3">
                  <c:v>123.62</c:v>
                </c:pt>
                <c:pt idx="4">
                  <c:v>115.18</c:v>
                </c:pt>
                <c:pt idx="5">
                  <c:v>103.96</c:v>
                </c:pt>
                <c:pt idx="6">
                  <c:v>93.14</c:v>
                </c:pt>
                <c:pt idx="7">
                  <c:v>84.1</c:v>
                </c:pt>
                <c:pt idx="8">
                  <c:v>77.150000000000006</c:v>
                </c:pt>
                <c:pt idx="9">
                  <c:v>70.900000000000006</c:v>
                </c:pt>
                <c:pt idx="10">
                  <c:v>65.34</c:v>
                </c:pt>
                <c:pt idx="11">
                  <c:v>61.07</c:v>
                </c:pt>
                <c:pt idx="12">
                  <c:v>57.09</c:v>
                </c:pt>
                <c:pt idx="13">
                  <c:v>53.62</c:v>
                </c:pt>
                <c:pt idx="14">
                  <c:v>50.34</c:v>
                </c:pt>
                <c:pt idx="15">
                  <c:v>47.16</c:v>
                </c:pt>
                <c:pt idx="16">
                  <c:v>45.97</c:v>
                </c:pt>
                <c:pt idx="17">
                  <c:v>44.78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1-46D2-B8FF-39BDDBDAC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617327"/>
        <c:axId val="1299097599"/>
      </c:scatterChart>
      <c:valAx>
        <c:axId val="143361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097599"/>
        <c:crosses val="autoZero"/>
        <c:crossBetween val="midCat"/>
      </c:valAx>
      <c:valAx>
        <c:axId val="12990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P,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61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График зависимости </a:t>
            </a:r>
            <a:r>
              <a:rPr lang="en-US" sz="1800"/>
              <a:t>D = D(E)</a:t>
            </a:r>
          </a:p>
        </c:rich>
      </c:tx>
      <c:layout>
        <c:manualLayout>
          <c:xMode val="edge"/>
          <c:yMode val="edge"/>
          <c:x val="0.31657000395584078"/>
          <c:y val="2.0860486870623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96102182397936"/>
          <c:y val="0.15499766836472678"/>
          <c:w val="0.823080573641638"/>
          <c:h val="0.6846114039592544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[1]Лист1!$G$2:$G$15</c:f>
              <c:numCache>
                <c:formatCode>General</c:formatCode>
                <c:ptCount val="14"/>
                <c:pt idx="0">
                  <c:v>3080000</c:v>
                </c:pt>
                <c:pt idx="1">
                  <c:v>2750000</c:v>
                </c:pt>
                <c:pt idx="2">
                  <c:v>2420000</c:v>
                </c:pt>
                <c:pt idx="3">
                  <c:v>2090000</c:v>
                </c:pt>
                <c:pt idx="4">
                  <c:v>1650000</c:v>
                </c:pt>
                <c:pt idx="5">
                  <c:v>1320000</c:v>
                </c:pt>
                <c:pt idx="6">
                  <c:v>880000</c:v>
                </c:pt>
                <c:pt idx="7">
                  <c:v>880000</c:v>
                </c:pt>
                <c:pt idx="8">
                  <c:v>770000</c:v>
                </c:pt>
                <c:pt idx="9">
                  <c:v>550000</c:v>
                </c:pt>
                <c:pt idx="10">
                  <c:v>440000</c:v>
                </c:pt>
                <c:pt idx="11">
                  <c:v>330000</c:v>
                </c:pt>
                <c:pt idx="12">
                  <c:v>220000</c:v>
                </c:pt>
                <c:pt idx="13">
                  <c:v>110000</c:v>
                </c:pt>
              </c:numCache>
            </c:numRef>
          </c:xVal>
          <c:yVal>
            <c:numRef>
              <c:f>[1]Лист1!$H$2:$H$15</c:f>
              <c:numCache>
                <c:formatCode>General</c:formatCode>
                <c:ptCount val="14"/>
                <c:pt idx="0">
                  <c:v>0.25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0.21999999999999997</c:v>
                </c:pt>
                <c:pt idx="4">
                  <c:v>0.16</c:v>
                </c:pt>
                <c:pt idx="5">
                  <c:v>0.10999999999999999</c:v>
                </c:pt>
                <c:pt idx="6">
                  <c:v>0.06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9-4E5F-AD99-D09963C0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0016"/>
        <c:axId val="386725440"/>
      </c:scatterChart>
      <c:valAx>
        <c:axId val="184170016"/>
        <c:scaling>
          <c:orientation val="minMax"/>
          <c:max val="30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E, </a:t>
                </a:r>
                <a:r>
                  <a:rPr lang="ru-RU" sz="1800"/>
                  <a:t>В</a:t>
                </a:r>
                <a:r>
                  <a:rPr lang="en-US" sz="1800"/>
                  <a:t>/</a:t>
                </a:r>
                <a:r>
                  <a:rPr lang="ru-RU" sz="1800"/>
                  <a:t>м</a:t>
                </a:r>
              </a:p>
            </c:rich>
          </c:tx>
          <c:layout>
            <c:manualLayout>
              <c:xMode val="edge"/>
              <c:yMode val="edge"/>
              <c:x val="0.87528763193882997"/>
              <c:y val="0.9131680865211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25440"/>
        <c:crosses val="autoZero"/>
        <c:crossBetween val="midCat"/>
      </c:valAx>
      <c:valAx>
        <c:axId val="386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D, </a:t>
                </a:r>
                <a:r>
                  <a:rPr lang="ru-RU" sz="1800"/>
                  <a:t>Кл</a:t>
                </a:r>
                <a:r>
                  <a:rPr lang="en-US" sz="1800"/>
                  <a:t>/</a:t>
                </a:r>
                <a:r>
                  <a:rPr lang="ru-RU" sz="1800"/>
                  <a:t>м</a:t>
                </a:r>
                <a:r>
                  <a:rPr lang="en-US" sz="1800"/>
                  <a:t>^2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5859106672419843E-2"/>
              <c:y val="3.64442560977913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График</a:t>
            </a:r>
            <a:r>
              <a:rPr lang="ru-RU" sz="1800" baseline="0"/>
              <a:t> зависимости </a:t>
            </a:r>
            <a:r>
              <a:rPr lang="el-GR" sz="1800" b="0" i="0" u="none" strike="noStrike" baseline="0"/>
              <a:t>ε = ε(</a:t>
            </a:r>
            <a:r>
              <a:rPr lang="en-US" sz="1800" b="0" i="0" u="none" strike="noStrike" baseline="0"/>
              <a:t>E)</a:t>
            </a:r>
            <a:endParaRPr lang="ru-RU" sz="1800" b="0" i="0" u="none" strike="noStrike" baseline="0"/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25143470638022769"/>
          <c:y val="1.394334937916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79757886144026"/>
          <c:y val="0.16538541558591988"/>
          <c:w val="0.81054495094406154"/>
          <c:h val="0.693304502439262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[1]Лист1!$G$2:$G$15</c:f>
              <c:numCache>
                <c:formatCode>General</c:formatCode>
                <c:ptCount val="14"/>
                <c:pt idx="0">
                  <c:v>3080000</c:v>
                </c:pt>
                <c:pt idx="1">
                  <c:v>2750000</c:v>
                </c:pt>
                <c:pt idx="2">
                  <c:v>2420000</c:v>
                </c:pt>
                <c:pt idx="3">
                  <c:v>2090000</c:v>
                </c:pt>
                <c:pt idx="4">
                  <c:v>1650000</c:v>
                </c:pt>
                <c:pt idx="5">
                  <c:v>1320000</c:v>
                </c:pt>
                <c:pt idx="6">
                  <c:v>880000</c:v>
                </c:pt>
                <c:pt idx="7">
                  <c:v>880000</c:v>
                </c:pt>
                <c:pt idx="8">
                  <c:v>770000</c:v>
                </c:pt>
                <c:pt idx="9">
                  <c:v>550000</c:v>
                </c:pt>
                <c:pt idx="10">
                  <c:v>440000</c:v>
                </c:pt>
                <c:pt idx="11">
                  <c:v>330000</c:v>
                </c:pt>
                <c:pt idx="12">
                  <c:v>220000</c:v>
                </c:pt>
                <c:pt idx="13">
                  <c:v>110000</c:v>
                </c:pt>
              </c:numCache>
            </c:numRef>
          </c:xVal>
          <c:yVal>
            <c:numRef>
              <c:f>[1]Лист1!$I$2:$I$15</c:f>
              <c:numCache>
                <c:formatCode>General</c:formatCode>
                <c:ptCount val="14"/>
                <c:pt idx="0">
                  <c:v>9167.4758492016244</c:v>
                </c:pt>
                <c:pt idx="1">
                  <c:v>11499.681705238519</c:v>
                </c:pt>
                <c:pt idx="2">
                  <c:v>11667.696535347523</c:v>
                </c:pt>
                <c:pt idx="3">
                  <c:v>11888.768680227788</c:v>
                </c:pt>
                <c:pt idx="4">
                  <c:v>10952.077814512875</c:v>
                </c:pt>
                <c:pt idx="5">
                  <c:v>9411.9418718470006</c:v>
                </c:pt>
                <c:pt idx="6">
                  <c:v>7700.679713329363</c:v>
                </c:pt>
                <c:pt idx="7">
                  <c:v>5133.786475552909</c:v>
                </c:pt>
                <c:pt idx="8">
                  <c:v>4400.3884076167797</c:v>
                </c:pt>
                <c:pt idx="9">
                  <c:v>4107.0291804423268</c:v>
                </c:pt>
                <c:pt idx="10">
                  <c:v>5133.786475552909</c:v>
                </c:pt>
                <c:pt idx="11">
                  <c:v>3422.5243170352733</c:v>
                </c:pt>
                <c:pt idx="12">
                  <c:v>5133.786475552909</c:v>
                </c:pt>
                <c:pt idx="13">
                  <c:v>2053.5145902211639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D-48AC-AFEF-647F3E07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63344"/>
        <c:axId val="608369728"/>
      </c:scatterChart>
      <c:valAx>
        <c:axId val="643863344"/>
        <c:scaling>
          <c:orientation val="minMax"/>
          <c:max val="30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E, </a:t>
                </a:r>
                <a:r>
                  <a:rPr lang="ru-RU" sz="1800" b="0" i="0" baseline="0">
                    <a:effectLst/>
                  </a:rPr>
                  <a:t>В</a:t>
                </a:r>
                <a:r>
                  <a:rPr lang="en-US" sz="1800" b="0" i="0" baseline="0">
                    <a:effectLst/>
                  </a:rPr>
                  <a:t>/</a:t>
                </a:r>
                <a:r>
                  <a:rPr lang="ru-RU" sz="1800" b="0" i="0" baseline="0">
                    <a:effectLst/>
                  </a:rPr>
                  <a:t>м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8726843522952058"/>
              <c:y val="0.90854644974328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369728"/>
        <c:crosses val="autoZero"/>
        <c:crossBetween val="midCat"/>
      </c:valAx>
      <c:valAx>
        <c:axId val="6083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u="none" strike="noStrike" baseline="0">
                    <a:effectLst/>
                  </a:rPr>
                  <a:t> </a:t>
                </a:r>
                <a:r>
                  <a:rPr lang="el-GR" sz="1800" b="0" i="0" u="none" strike="noStrike" baseline="0">
                    <a:effectLst/>
                  </a:rPr>
                  <a:t>ε 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2.4024021958334401E-2"/>
              <c:y val="6.22340921433055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8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амплитуды выходного напряжения от частоты входного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'3.11'!$B$3:$B$23</c:f>
              <c:numCache>
                <c:formatCode>General</c:formatCode>
                <c:ptCount val="2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</c:numCache>
            </c:numRef>
          </c:xVal>
          <c:yVal>
            <c:numRef>
              <c:f>'3.11'!$C$3:$C$23</c:f>
              <c:numCache>
                <c:formatCode>General</c:formatCode>
                <c:ptCount val="21"/>
                <c:pt idx="0">
                  <c:v>4.88</c:v>
                </c:pt>
                <c:pt idx="1">
                  <c:v>6.24</c:v>
                </c:pt>
                <c:pt idx="2">
                  <c:v>7.92</c:v>
                </c:pt>
                <c:pt idx="3">
                  <c:v>8.7200000000000006</c:v>
                </c:pt>
                <c:pt idx="4">
                  <c:v>8.7200000000000006</c:v>
                </c:pt>
                <c:pt idx="5">
                  <c:v>8.24</c:v>
                </c:pt>
                <c:pt idx="6">
                  <c:v>7.52</c:v>
                </c:pt>
                <c:pt idx="7">
                  <c:v>6.8</c:v>
                </c:pt>
                <c:pt idx="8">
                  <c:v>6.24</c:v>
                </c:pt>
                <c:pt idx="9">
                  <c:v>5.68</c:v>
                </c:pt>
                <c:pt idx="10">
                  <c:v>5.28</c:v>
                </c:pt>
                <c:pt idx="11">
                  <c:v>4.88</c:v>
                </c:pt>
                <c:pt idx="12">
                  <c:v>4.4800000000000004</c:v>
                </c:pt>
                <c:pt idx="13">
                  <c:v>3.92</c:v>
                </c:pt>
                <c:pt idx="14">
                  <c:v>3.76</c:v>
                </c:pt>
                <c:pt idx="15">
                  <c:v>3.52</c:v>
                </c:pt>
                <c:pt idx="16">
                  <c:v>3.28</c:v>
                </c:pt>
                <c:pt idx="17">
                  <c:v>3.12</c:v>
                </c:pt>
                <c:pt idx="18">
                  <c:v>2.88</c:v>
                </c:pt>
                <c:pt idx="19">
                  <c:v>2.8</c:v>
                </c:pt>
                <c:pt idx="20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9-4364-89D7-A98319C780E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'3.11'!$H$3:$H$4</c:f>
              <c:numCache>
                <c:formatCode>General</c:formatCode>
                <c:ptCount val="2"/>
                <c:pt idx="0">
                  <c:v>1000</c:v>
                </c:pt>
                <c:pt idx="1">
                  <c:v>1500</c:v>
                </c:pt>
              </c:numCache>
            </c:numRef>
          </c:xVal>
          <c:yVal>
            <c:numRef>
              <c:f>'3.11'!$I$3:$I$4</c:f>
              <c:numCache>
                <c:formatCode>General</c:formatCode>
                <c:ptCount val="2"/>
                <c:pt idx="0">
                  <c:v>6.1040000000000001</c:v>
                </c:pt>
                <c:pt idx="1">
                  <c:v>6.1040000000000001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79-4364-89D7-A98319C780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6392591"/>
        <c:axId val="869026751"/>
      </c:scatterChart>
      <c:valAx>
        <c:axId val="876392591"/>
        <c:scaling>
          <c:orientation val="minMax"/>
          <c:max val="2050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026751"/>
        <c:crosses val="autoZero"/>
        <c:crossBetween val="midCat"/>
        <c:majorUnit val="100"/>
        <c:minorUnit val="10"/>
      </c:valAx>
      <c:valAx>
        <c:axId val="8690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39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квадрата резонансной частоты от обратной емкости</a:t>
            </a:r>
          </a:p>
        </c:rich>
      </c:tx>
      <c:layout>
        <c:manualLayout>
          <c:xMode val="edge"/>
          <c:yMode val="edge"/>
          <c:x val="0.10912948180549352"/>
          <c:y val="4.6296337244685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835079048608576"/>
                  <c:y val="-0.18843759113444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'3.11'!$C$30:$C$35</c:f>
              <c:numCache>
                <c:formatCode>General</c:formatCode>
                <c:ptCount val="6"/>
                <c:pt idx="0">
                  <c:v>999999999.99999988</c:v>
                </c:pt>
                <c:pt idx="1">
                  <c:v>333333333.33333331</c:v>
                </c:pt>
                <c:pt idx="2">
                  <c:v>100000000</c:v>
                </c:pt>
                <c:pt idx="3">
                  <c:v>33333333.333333328</c:v>
                </c:pt>
                <c:pt idx="4">
                  <c:v>10000000</c:v>
                </c:pt>
                <c:pt idx="5">
                  <c:v>3333333.333333333</c:v>
                </c:pt>
              </c:numCache>
            </c:numRef>
          </c:xVal>
          <c:yVal>
            <c:numRef>
              <c:f>'3.11'!$D$30:$D$35</c:f>
              <c:numCache>
                <c:formatCode>General</c:formatCode>
                <c:ptCount val="6"/>
                <c:pt idx="0">
                  <c:v>196000000</c:v>
                </c:pt>
                <c:pt idx="1">
                  <c:v>54760000</c:v>
                </c:pt>
                <c:pt idx="2">
                  <c:v>16000000</c:v>
                </c:pt>
                <c:pt idx="3">
                  <c:v>7840000</c:v>
                </c:pt>
                <c:pt idx="4">
                  <c:v>1000000</c:v>
                </c:pt>
                <c:pt idx="5">
                  <c:v>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E-494B-A8AD-54A73156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45615"/>
        <c:axId val="677400671"/>
      </c:scatterChart>
      <c:valAx>
        <c:axId val="7667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400671"/>
        <c:crosses val="autoZero"/>
        <c:crossBetween val="midCat"/>
      </c:valAx>
      <c:valAx>
        <c:axId val="6774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74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15</xdr:row>
      <xdr:rowOff>152399</xdr:rowOff>
    </xdr:from>
    <xdr:to>
      <xdr:col>9</xdr:col>
      <xdr:colOff>609599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D9F618-CC79-E346-FAD1-2AF083C89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52386</xdr:colOff>
      <xdr:row>32</xdr:row>
      <xdr:rowOff>109536</xdr:rowOff>
    </xdr:from>
    <xdr:to>
      <xdr:col>10</xdr:col>
      <xdr:colOff>9525</xdr:colOff>
      <xdr:row>48</xdr:row>
      <xdr:rowOff>152399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C5A823-905D-6865-BDD8-F4B4E09B4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247650</xdr:colOff>
      <xdr:row>11</xdr:row>
      <xdr:rowOff>104775</xdr:rowOff>
    </xdr:from>
    <xdr:to>
      <xdr:col>7</xdr:col>
      <xdr:colOff>469550</xdr:colOff>
      <xdr:row>15</xdr:row>
      <xdr:rowOff>9525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268D5F3-B82D-4A08-AFF9-0157B13EE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2200275"/>
          <a:ext cx="4498625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8164</xdr:colOff>
      <xdr:row>28</xdr:row>
      <xdr:rowOff>162605</xdr:rowOff>
    </xdr:from>
    <xdr:to>
      <xdr:col>26</xdr:col>
      <xdr:colOff>370115</xdr:colOff>
      <xdr:row>51</xdr:row>
      <xdr:rowOff>96612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D063B7-6E54-05E2-0072-59322EBBB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1</xdr:row>
      <xdr:rowOff>33336</xdr:rowOff>
    </xdr:from>
    <xdr:to>
      <xdr:col>25</xdr:col>
      <xdr:colOff>419100</xdr:colOff>
      <xdr:row>23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3FD35F-637D-5165-99FC-D054A4524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52</xdr:row>
      <xdr:rowOff>42861</xdr:rowOff>
    </xdr:from>
    <xdr:to>
      <xdr:col>26</xdr:col>
      <xdr:colOff>352425</xdr:colOff>
      <xdr:row>75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144958-05C4-A0EC-E9FE-F0DD5FAD8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16</xdr:row>
      <xdr:rowOff>4761</xdr:rowOff>
    </xdr:from>
    <xdr:to>
      <xdr:col>9</xdr:col>
      <xdr:colOff>133350</xdr:colOff>
      <xdr:row>35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3BADC0-4E1D-4651-ADC7-DE812AAFB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233361</xdr:colOff>
      <xdr:row>16</xdr:row>
      <xdr:rowOff>4761</xdr:rowOff>
    </xdr:from>
    <xdr:to>
      <xdr:col>18</xdr:col>
      <xdr:colOff>9525</xdr:colOff>
      <xdr:row>35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0823F12-33F9-4193-89E1-3298BD39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542925</xdr:colOff>
      <xdr:row>37</xdr:row>
      <xdr:rowOff>9525</xdr:rowOff>
    </xdr:from>
    <xdr:to>
      <xdr:col>15</xdr:col>
      <xdr:colOff>562486</xdr:colOff>
      <xdr:row>48</xdr:row>
      <xdr:rowOff>143186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42C1716-F233-4207-A60D-000916CEC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6200" y="7058025"/>
          <a:ext cx="3658111" cy="22291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475882</xdr:colOff>
      <xdr:row>0</xdr:row>
      <xdr:rowOff>139576</xdr:rowOff>
    </xdr:from>
    <xdr:to>
      <xdr:col>14</xdr:col>
      <xdr:colOff>95249</xdr:colOff>
      <xdr:row>21</xdr:row>
      <xdr:rowOff>153865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DD00BE-D938-4A71-8B68-06D52B874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363412</xdr:colOff>
      <xdr:row>27</xdr:row>
      <xdr:rowOff>87188</xdr:rowOff>
    </xdr:from>
    <xdr:to>
      <xdr:col>13</xdr:col>
      <xdr:colOff>350959</xdr:colOff>
      <xdr:row>42</xdr:row>
      <xdr:rowOff>169251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43C395-00AC-4F6D-8F6C-C4C5F2966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133350</xdr:colOff>
      <xdr:row>43</xdr:row>
      <xdr:rowOff>76200</xdr:rowOff>
    </xdr:from>
    <xdr:to>
      <xdr:col>4</xdr:col>
      <xdr:colOff>218898</xdr:colOff>
      <xdr:row>47</xdr:row>
      <xdr:rowOff>152295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F80B1EE-21FE-40B6-BB41-90255879E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5950" y="8267700"/>
          <a:ext cx="1419048" cy="8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421/Downloads/Telegram%20Desktop/LAB3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G2">
            <v>3080000</v>
          </cell>
          <cell r="H2">
            <v>0.25</v>
          </cell>
          <cell r="I2">
            <v>9167.4758492016244</v>
          </cell>
        </row>
        <row r="3">
          <cell r="G3">
            <v>2750000</v>
          </cell>
          <cell r="H3">
            <v>0.28000000000000003</v>
          </cell>
          <cell r="I3">
            <v>11499.681705238519</v>
          </cell>
        </row>
        <row r="4">
          <cell r="G4">
            <v>2420000</v>
          </cell>
          <cell r="H4">
            <v>0.25</v>
          </cell>
          <cell r="I4">
            <v>11667.696535347523</v>
          </cell>
        </row>
        <row r="5">
          <cell r="G5">
            <v>2090000</v>
          </cell>
          <cell r="H5">
            <v>0.21999999999999997</v>
          </cell>
          <cell r="I5">
            <v>11888.768680227788</v>
          </cell>
        </row>
        <row r="6">
          <cell r="G6">
            <v>1650000</v>
          </cell>
          <cell r="H6">
            <v>0.16</v>
          </cell>
          <cell r="I6">
            <v>10952.077814512875</v>
          </cell>
        </row>
        <row r="7">
          <cell r="G7">
            <v>1320000</v>
          </cell>
          <cell r="H7">
            <v>0.10999999999999999</v>
          </cell>
          <cell r="I7">
            <v>9411.9418718470006</v>
          </cell>
        </row>
        <row r="8">
          <cell r="G8">
            <v>880000</v>
          </cell>
          <cell r="H8">
            <v>0.06</v>
          </cell>
          <cell r="I8">
            <v>7700.679713329363</v>
          </cell>
        </row>
        <row r="9">
          <cell r="G9">
            <v>880000</v>
          </cell>
          <cell r="H9">
            <v>0.04</v>
          </cell>
          <cell r="I9">
            <v>5133.786475552909</v>
          </cell>
        </row>
        <row r="10">
          <cell r="G10">
            <v>770000</v>
          </cell>
          <cell r="H10">
            <v>0.03</v>
          </cell>
          <cell r="I10">
            <v>4400.3884076167797</v>
          </cell>
        </row>
        <row r="11">
          <cell r="G11">
            <v>550000</v>
          </cell>
          <cell r="H11">
            <v>0.02</v>
          </cell>
          <cell r="I11">
            <v>4107.0291804423268</v>
          </cell>
        </row>
        <row r="12">
          <cell r="G12">
            <v>440000</v>
          </cell>
          <cell r="H12">
            <v>0.02</v>
          </cell>
          <cell r="I12">
            <v>5133.786475552909</v>
          </cell>
        </row>
        <row r="13">
          <cell r="G13">
            <v>330000</v>
          </cell>
          <cell r="H13">
            <v>0.01</v>
          </cell>
          <cell r="I13">
            <v>3422.5243170352733</v>
          </cell>
        </row>
        <row r="14">
          <cell r="G14">
            <v>220000</v>
          </cell>
          <cell r="H14">
            <v>0.01</v>
          </cell>
          <cell r="I14">
            <v>5133.786475552909</v>
          </cell>
        </row>
        <row r="15">
          <cell r="G15">
            <v>110000</v>
          </cell>
          <cell r="H15">
            <v>2E-3</v>
          </cell>
          <cell r="I15">
            <v>2053.5145902211639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M13"/>
  <sheetViews>
    <sheetView workbookViewId="0">
      <selection activeCell="K51" sqref="K51"/>
    </sheetView>
  </sheetViews>
  <sheetFormatPr defaultColWidth="9.109375" defaultRowHeight="13.8" x14ac:dyDescent="0.25"/>
  <cols>
    <col min="1" max="5" width="9.109375" style="22"/>
    <col min="6" max="6" width="9.33203125" style="22" customWidth="1"/>
    <col min="7" max="16384" width="9.109375" style="22"/>
  </cols>
  <sheetData>
    <row r="2" spans="2:13" x14ac:dyDescent="0.25">
      <c r="M2" s="27"/>
    </row>
    <row r="3" spans="2:13" x14ac:dyDescent="0.25">
      <c r="E3" s="32" t="s">
        <v>84</v>
      </c>
      <c r="F3" s="32"/>
      <c r="M3" s="27"/>
    </row>
    <row r="4" spans="2:13" x14ac:dyDescent="0.25">
      <c r="B4" s="31" t="s">
        <v>72</v>
      </c>
      <c r="C4" s="31"/>
      <c r="E4" s="22" t="s">
        <v>75</v>
      </c>
      <c r="F4" s="26">
        <f>(C9-C8)/((B9-B8)*0.01)</f>
        <v>43.478260869565219</v>
      </c>
      <c r="I4" s="31" t="s">
        <v>80</v>
      </c>
      <c r="J4" s="31"/>
      <c r="L4" s="22" t="s">
        <v>81</v>
      </c>
      <c r="M4" s="27">
        <f>(5.35-4.35)/(1.3*0.01)</f>
        <v>76.92307692307692</v>
      </c>
    </row>
    <row r="5" spans="2:13" x14ac:dyDescent="0.25">
      <c r="B5" s="23" t="s">
        <v>73</v>
      </c>
      <c r="C5" s="23" t="s">
        <v>74</v>
      </c>
      <c r="E5" s="22" t="s">
        <v>76</v>
      </c>
      <c r="F5" s="26">
        <f>(C7-C6)/((B7-B6)*0.01)</f>
        <v>42.553191489361708</v>
      </c>
      <c r="I5" s="23" t="s">
        <v>73</v>
      </c>
      <c r="J5" s="23" t="s">
        <v>74</v>
      </c>
      <c r="L5" s="22" t="s">
        <v>82</v>
      </c>
      <c r="M5" s="27">
        <f>ROUND(SQRT(((1/0.045)*0.1)^2+(-0.1/(0.045^2)*0.001)^2),2)</f>
        <v>2.2200000000000002</v>
      </c>
    </row>
    <row r="6" spans="2:13" x14ac:dyDescent="0.25">
      <c r="B6" s="24">
        <v>3.1</v>
      </c>
      <c r="C6" s="24">
        <v>1.75</v>
      </c>
      <c r="E6" s="22" t="s">
        <v>77</v>
      </c>
      <c r="F6" s="26">
        <f>(C11-C10)/((B11-B10)*0.01)</f>
        <v>43.47826086956524</v>
      </c>
      <c r="I6" s="23">
        <v>2.8</v>
      </c>
      <c r="J6" s="23">
        <v>2.35</v>
      </c>
      <c r="L6" s="22" t="s">
        <v>83</v>
      </c>
      <c r="M6" s="27">
        <f>ROUND(SQRT(((1/0.047)*0.1)^2+(-0.1/(0.047^2)*0.001)^2),2)</f>
        <v>2.13</v>
      </c>
    </row>
    <row r="7" spans="2:13" x14ac:dyDescent="0.25">
      <c r="B7" s="24">
        <v>7.8</v>
      </c>
      <c r="C7" s="24">
        <v>3.75</v>
      </c>
      <c r="E7" s="22" t="s">
        <v>40</v>
      </c>
      <c r="F7" s="22">
        <f>8.85*10^(-12)</f>
        <v>8.8499999999999988E-12</v>
      </c>
      <c r="I7" s="23">
        <v>4.4000000000000004</v>
      </c>
      <c r="J7" s="23">
        <v>3.35</v>
      </c>
      <c r="M7" s="27"/>
    </row>
    <row r="8" spans="2:13" x14ac:dyDescent="0.25">
      <c r="B8" s="24">
        <v>12.9</v>
      </c>
      <c r="C8" s="24">
        <v>5.75</v>
      </c>
      <c r="E8" s="25" t="s">
        <v>78</v>
      </c>
      <c r="F8" s="22">
        <f>-F5*F7</f>
        <v>-3.7659574468085107E-10</v>
      </c>
      <c r="I8" s="23">
        <v>6</v>
      </c>
      <c r="J8" s="23">
        <v>4.3499999999999996</v>
      </c>
      <c r="M8" s="27"/>
    </row>
    <row r="9" spans="2:13" x14ac:dyDescent="0.25">
      <c r="B9" s="24">
        <v>17.5</v>
      </c>
      <c r="C9" s="24">
        <v>7.75</v>
      </c>
      <c r="E9" s="22" t="s">
        <v>79</v>
      </c>
      <c r="F9" s="22">
        <f>-F6*F8</f>
        <v>1.6373728029602227E-8</v>
      </c>
      <c r="I9" s="23">
        <v>7.3</v>
      </c>
      <c r="J9" s="23">
        <v>5.35</v>
      </c>
      <c r="M9" s="27"/>
    </row>
    <row r="10" spans="2:13" x14ac:dyDescent="0.25">
      <c r="B10" s="24">
        <v>22.1</v>
      </c>
      <c r="C10" s="24">
        <v>9.75</v>
      </c>
      <c r="I10" s="23">
        <v>21</v>
      </c>
      <c r="J10" s="23">
        <v>7.35</v>
      </c>
    </row>
    <row r="11" spans="2:13" x14ac:dyDescent="0.25">
      <c r="B11" s="24">
        <v>26.7</v>
      </c>
      <c r="C11" s="24">
        <v>11.75</v>
      </c>
      <c r="I11" s="23">
        <v>22.5</v>
      </c>
      <c r="J11" s="23">
        <v>8.35</v>
      </c>
    </row>
    <row r="12" spans="2:13" x14ac:dyDescent="0.25">
      <c r="I12" s="23">
        <v>24.1</v>
      </c>
      <c r="J12" s="23">
        <v>9.35</v>
      </c>
    </row>
    <row r="13" spans="2:13" x14ac:dyDescent="0.25">
      <c r="I13" s="23">
        <v>25.5</v>
      </c>
      <c r="J13" s="23">
        <v>10.35</v>
      </c>
    </row>
  </sheetData>
  <mergeCells count="3">
    <mergeCell ref="B4:C4"/>
    <mergeCell ref="I4:J4"/>
    <mergeCell ref="E3:F3"/>
  </mergeCells>
  <pageMargins left="0.7" right="0.7" top="0.75" bottom="0.75" header="0.3" footer="0.3"/>
  <ignoredErrors>
    <ignoredError sqref="F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AI52"/>
  <sheetViews>
    <sheetView tabSelected="1" topLeftCell="A29" zoomScale="70" zoomScaleNormal="70" workbookViewId="0">
      <selection activeCell="AB48" sqref="AB48"/>
    </sheetView>
  </sheetViews>
  <sheetFormatPr defaultRowHeight="14.4" x14ac:dyDescent="0.3"/>
  <cols>
    <col min="10" max="10" width="11.33203125" customWidth="1"/>
    <col min="12" max="12" width="11" bestFit="1" customWidth="1"/>
    <col min="13" max="13" width="12" bestFit="1" customWidth="1"/>
  </cols>
  <sheetData>
    <row r="2" spans="2:16" x14ac:dyDescent="0.3">
      <c r="B2" s="7" t="s">
        <v>0</v>
      </c>
      <c r="C2" s="7" t="s">
        <v>1</v>
      </c>
      <c r="D2" s="7" t="s">
        <v>2</v>
      </c>
      <c r="E2" s="7" t="s">
        <v>3</v>
      </c>
      <c r="F2" s="7" t="s">
        <v>5</v>
      </c>
      <c r="G2" s="7" t="s">
        <v>26</v>
      </c>
      <c r="H2" s="7" t="s">
        <v>4</v>
      </c>
      <c r="I2" s="7" t="s">
        <v>6</v>
      </c>
      <c r="J2" s="1"/>
    </row>
    <row r="3" spans="2:16" x14ac:dyDescent="0.3">
      <c r="B3" s="7">
        <v>1</v>
      </c>
      <c r="C3" s="7">
        <v>100</v>
      </c>
      <c r="D3" s="2">
        <v>0.1</v>
      </c>
      <c r="E3" s="2">
        <v>14.66</v>
      </c>
      <c r="F3" s="2">
        <f>ROUND(D3*E3,2)</f>
        <v>1.47</v>
      </c>
      <c r="G3" s="7">
        <f>ABS(ROUND(E3^2*$E$51,2))</f>
        <v>145.34</v>
      </c>
      <c r="H3" s="2">
        <f t="shared" ref="H3:H20" si="0">ROUND($E$52*E3,2)</f>
        <v>145.56</v>
      </c>
      <c r="I3" s="2">
        <f>ROUND((F3/H3)*100,2)</f>
        <v>1.01</v>
      </c>
      <c r="J3" s="1"/>
      <c r="O3" s="1" t="s">
        <v>3</v>
      </c>
      <c r="P3" s="1" t="s">
        <v>2</v>
      </c>
    </row>
    <row r="4" spans="2:16" x14ac:dyDescent="0.3">
      <c r="B4" s="7">
        <v>2</v>
      </c>
      <c r="C4" s="7">
        <v>125</v>
      </c>
      <c r="D4" s="2">
        <v>0.87</v>
      </c>
      <c r="E4" s="2">
        <v>13.34</v>
      </c>
      <c r="F4" s="2">
        <f t="shared" ref="F4:F20" si="1">ROUND(D4*E4,2)</f>
        <v>11.61</v>
      </c>
      <c r="G4" s="7">
        <f t="shared" ref="G4:G20" si="2">ABS(ROUND(E4^2*$E$51,2))</f>
        <v>120.34</v>
      </c>
      <c r="H4" s="2">
        <f t="shared" si="0"/>
        <v>132.46</v>
      </c>
      <c r="I4" s="2">
        <f t="shared" ref="I4:I20" si="3">ROUND((F4/H4)*100,2)</f>
        <v>8.76</v>
      </c>
      <c r="J4" s="1"/>
      <c r="O4" s="3">
        <v>14.66</v>
      </c>
      <c r="P4" s="3">
        <v>0.1</v>
      </c>
    </row>
    <row r="5" spans="2:16" x14ac:dyDescent="0.3">
      <c r="B5" s="7">
        <v>3</v>
      </c>
      <c r="C5" s="7">
        <v>150</v>
      </c>
      <c r="D5" s="2">
        <v>1.33</v>
      </c>
      <c r="E5" s="2">
        <v>12.68</v>
      </c>
      <c r="F5" s="2">
        <f t="shared" si="1"/>
        <v>16.86</v>
      </c>
      <c r="G5" s="7">
        <f t="shared" si="2"/>
        <v>108.73</v>
      </c>
      <c r="H5" s="2">
        <f t="shared" si="0"/>
        <v>125.9</v>
      </c>
      <c r="I5" s="2">
        <f t="shared" si="3"/>
        <v>13.39</v>
      </c>
      <c r="J5" s="1"/>
      <c r="O5" s="3">
        <v>13.34</v>
      </c>
      <c r="P5" s="3">
        <v>0.87</v>
      </c>
    </row>
    <row r="6" spans="2:16" x14ac:dyDescent="0.3">
      <c r="B6" s="7">
        <v>4</v>
      </c>
      <c r="C6" s="7">
        <v>175</v>
      </c>
      <c r="D6" s="2">
        <v>1.48</v>
      </c>
      <c r="E6" s="2">
        <v>12.45</v>
      </c>
      <c r="F6" s="2">
        <f t="shared" si="1"/>
        <v>18.43</v>
      </c>
      <c r="G6" s="7">
        <f t="shared" si="2"/>
        <v>104.82</v>
      </c>
      <c r="H6" s="2">
        <f t="shared" si="0"/>
        <v>123.62</v>
      </c>
      <c r="I6" s="2">
        <f t="shared" si="3"/>
        <v>14.91</v>
      </c>
      <c r="J6" s="1"/>
      <c r="O6" s="3">
        <v>12.68</v>
      </c>
      <c r="P6" s="3">
        <v>1.33</v>
      </c>
    </row>
    <row r="7" spans="2:16" x14ac:dyDescent="0.3">
      <c r="B7" s="7">
        <v>5</v>
      </c>
      <c r="C7" s="7">
        <v>200</v>
      </c>
      <c r="D7" s="2">
        <v>2.0699999999999998</v>
      </c>
      <c r="E7" s="2">
        <v>11.6</v>
      </c>
      <c r="F7" s="2">
        <f t="shared" si="1"/>
        <v>24.01</v>
      </c>
      <c r="G7" s="7">
        <f t="shared" si="2"/>
        <v>91</v>
      </c>
      <c r="H7" s="2">
        <f t="shared" si="0"/>
        <v>115.18</v>
      </c>
      <c r="I7" s="2">
        <f t="shared" si="3"/>
        <v>20.85</v>
      </c>
      <c r="J7" s="1"/>
      <c r="O7" s="3">
        <v>12.45</v>
      </c>
      <c r="P7" s="3">
        <v>1.48</v>
      </c>
    </row>
    <row r="8" spans="2:16" x14ac:dyDescent="0.3">
      <c r="B8" s="7">
        <v>6</v>
      </c>
      <c r="C8" s="7">
        <v>300</v>
      </c>
      <c r="D8" s="2">
        <v>2.84</v>
      </c>
      <c r="E8" s="2">
        <v>10.47</v>
      </c>
      <c r="F8" s="2">
        <f t="shared" si="1"/>
        <v>29.73</v>
      </c>
      <c r="G8" s="7">
        <f t="shared" si="2"/>
        <v>74.13</v>
      </c>
      <c r="H8" s="2">
        <f t="shared" si="0"/>
        <v>103.96</v>
      </c>
      <c r="I8" s="2">
        <f t="shared" si="3"/>
        <v>28.6</v>
      </c>
      <c r="J8" s="1"/>
      <c r="O8" s="3">
        <v>11.6</v>
      </c>
      <c r="P8" s="3">
        <v>2.0699999999999998</v>
      </c>
    </row>
    <row r="9" spans="2:16" x14ac:dyDescent="0.3">
      <c r="B9" s="7">
        <v>7</v>
      </c>
      <c r="C9" s="7">
        <v>400</v>
      </c>
      <c r="D9" s="2">
        <v>3.6</v>
      </c>
      <c r="E9" s="2">
        <v>9.3800000000000008</v>
      </c>
      <c r="F9" s="2">
        <f t="shared" si="1"/>
        <v>33.770000000000003</v>
      </c>
      <c r="G9" s="7">
        <f t="shared" si="2"/>
        <v>59.5</v>
      </c>
      <c r="H9" s="2">
        <f t="shared" si="0"/>
        <v>93.14</v>
      </c>
      <c r="I9" s="2">
        <f t="shared" si="3"/>
        <v>36.26</v>
      </c>
      <c r="J9" s="1"/>
      <c r="O9" s="3">
        <v>10.47</v>
      </c>
      <c r="P9" s="3">
        <v>2.84</v>
      </c>
    </row>
    <row r="10" spans="2:16" x14ac:dyDescent="0.3">
      <c r="B10" s="7">
        <v>8</v>
      </c>
      <c r="C10" s="7">
        <v>500</v>
      </c>
      <c r="D10" s="2">
        <v>4.2</v>
      </c>
      <c r="E10" s="2">
        <v>8.4700000000000006</v>
      </c>
      <c r="F10" s="2">
        <f t="shared" si="1"/>
        <v>35.57</v>
      </c>
      <c r="G10" s="7">
        <f t="shared" si="2"/>
        <v>48.52</v>
      </c>
      <c r="H10" s="2">
        <f t="shared" si="0"/>
        <v>84.1</v>
      </c>
      <c r="I10" s="2">
        <f t="shared" si="3"/>
        <v>42.29</v>
      </c>
      <c r="J10" s="1"/>
      <c r="O10" s="3">
        <v>9.3800000000000008</v>
      </c>
      <c r="P10" s="3">
        <v>3.6</v>
      </c>
    </row>
    <row r="11" spans="2:16" x14ac:dyDescent="0.3">
      <c r="B11" s="7">
        <v>9</v>
      </c>
      <c r="C11" s="7">
        <v>600</v>
      </c>
      <c r="D11" s="2">
        <v>4.68</v>
      </c>
      <c r="E11" s="2">
        <v>7.77</v>
      </c>
      <c r="F11" s="2">
        <f t="shared" si="1"/>
        <v>36.36</v>
      </c>
      <c r="G11" s="7">
        <f t="shared" si="2"/>
        <v>40.83</v>
      </c>
      <c r="H11" s="2">
        <f t="shared" si="0"/>
        <v>77.150000000000006</v>
      </c>
      <c r="I11" s="2">
        <f t="shared" si="3"/>
        <v>47.13</v>
      </c>
      <c r="J11" s="1"/>
      <c r="O11" s="3">
        <v>8.4700000000000006</v>
      </c>
      <c r="P11" s="3">
        <v>4.2</v>
      </c>
    </row>
    <row r="12" spans="2:16" x14ac:dyDescent="0.3">
      <c r="B12" s="29">
        <v>10</v>
      </c>
      <c r="C12" s="29">
        <v>700</v>
      </c>
      <c r="D12" s="30">
        <v>5.0999999999999996</v>
      </c>
      <c r="E12" s="30">
        <v>7.14</v>
      </c>
      <c r="F12" s="30">
        <f t="shared" si="1"/>
        <v>36.409999999999997</v>
      </c>
      <c r="G12" s="29">
        <f t="shared" si="2"/>
        <v>34.479999999999997</v>
      </c>
      <c r="H12" s="30">
        <f t="shared" si="0"/>
        <v>70.900000000000006</v>
      </c>
      <c r="I12" s="30">
        <f t="shared" si="3"/>
        <v>51.35</v>
      </c>
      <c r="J12" s="1"/>
      <c r="O12" s="3">
        <v>7.77</v>
      </c>
      <c r="P12" s="3">
        <v>4.68</v>
      </c>
    </row>
    <row r="13" spans="2:16" x14ac:dyDescent="0.3">
      <c r="B13" s="7">
        <v>11</v>
      </c>
      <c r="C13" s="7">
        <v>800</v>
      </c>
      <c r="D13" s="2">
        <v>5.48</v>
      </c>
      <c r="E13" s="2">
        <v>6.58</v>
      </c>
      <c r="F13" s="2">
        <f t="shared" si="1"/>
        <v>36.06</v>
      </c>
      <c r="G13" s="7">
        <f t="shared" si="2"/>
        <v>29.28</v>
      </c>
      <c r="H13" s="2">
        <f t="shared" si="0"/>
        <v>65.34</v>
      </c>
      <c r="I13" s="2">
        <f t="shared" si="3"/>
        <v>55.19</v>
      </c>
      <c r="J13" s="1"/>
      <c r="O13" s="3">
        <v>7.14</v>
      </c>
      <c r="P13" s="3">
        <v>5.0999999999999996</v>
      </c>
    </row>
    <row r="14" spans="2:16" x14ac:dyDescent="0.3">
      <c r="B14" s="7">
        <v>12</v>
      </c>
      <c r="C14" s="7">
        <v>900</v>
      </c>
      <c r="D14" s="2">
        <v>5.77</v>
      </c>
      <c r="E14" s="2">
        <v>6.15</v>
      </c>
      <c r="F14" s="2">
        <f t="shared" si="1"/>
        <v>35.49</v>
      </c>
      <c r="G14" s="7">
        <f t="shared" si="2"/>
        <v>25.58</v>
      </c>
      <c r="H14" s="2">
        <f t="shared" si="0"/>
        <v>61.07</v>
      </c>
      <c r="I14" s="2">
        <f t="shared" si="3"/>
        <v>58.11</v>
      </c>
      <c r="J14" s="1"/>
      <c r="O14" s="3">
        <v>6.58</v>
      </c>
      <c r="P14" s="3">
        <v>5.48</v>
      </c>
    </row>
    <row r="15" spans="2:16" x14ac:dyDescent="0.3">
      <c r="B15" s="7">
        <v>13</v>
      </c>
      <c r="C15" s="7">
        <v>1000</v>
      </c>
      <c r="D15" s="2">
        <v>6.04</v>
      </c>
      <c r="E15" s="2">
        <v>5.75</v>
      </c>
      <c r="F15" s="2">
        <f t="shared" si="1"/>
        <v>34.729999999999997</v>
      </c>
      <c r="G15" s="7">
        <f t="shared" si="2"/>
        <v>22.36</v>
      </c>
      <c r="H15" s="2">
        <f t="shared" si="0"/>
        <v>57.09</v>
      </c>
      <c r="I15" s="2">
        <f t="shared" si="3"/>
        <v>60.83</v>
      </c>
      <c r="J15" s="1"/>
      <c r="O15" s="3">
        <v>6.15</v>
      </c>
      <c r="P15" s="3">
        <v>5.77</v>
      </c>
    </row>
    <row r="16" spans="2:16" x14ac:dyDescent="0.3">
      <c r="B16" s="7">
        <v>14</v>
      </c>
      <c r="C16" s="7">
        <v>1100</v>
      </c>
      <c r="D16" s="2">
        <v>6.28</v>
      </c>
      <c r="E16" s="2">
        <v>5.4</v>
      </c>
      <c r="F16" s="2">
        <f t="shared" si="1"/>
        <v>33.909999999999997</v>
      </c>
      <c r="G16" s="7">
        <f t="shared" si="2"/>
        <v>19.72</v>
      </c>
      <c r="H16" s="2">
        <f t="shared" si="0"/>
        <v>53.62</v>
      </c>
      <c r="I16" s="2">
        <f t="shared" si="3"/>
        <v>63.24</v>
      </c>
      <c r="J16" s="1"/>
      <c r="O16" s="3">
        <v>5.75</v>
      </c>
      <c r="P16" s="3">
        <v>6.04</v>
      </c>
    </row>
    <row r="17" spans="2:35" x14ac:dyDescent="0.3">
      <c r="B17" s="7">
        <v>15</v>
      </c>
      <c r="C17" s="7">
        <v>1200</v>
      </c>
      <c r="D17" s="2">
        <v>6.5</v>
      </c>
      <c r="E17" s="2">
        <v>5.07</v>
      </c>
      <c r="F17" s="2">
        <f t="shared" si="1"/>
        <v>32.96</v>
      </c>
      <c r="G17" s="7">
        <f t="shared" si="2"/>
        <v>17.38</v>
      </c>
      <c r="H17" s="2">
        <f t="shared" si="0"/>
        <v>50.34</v>
      </c>
      <c r="I17" s="2">
        <f t="shared" si="3"/>
        <v>65.47</v>
      </c>
      <c r="J17" s="1"/>
      <c r="O17" s="3">
        <v>5.4</v>
      </c>
      <c r="P17" s="3">
        <v>6.28</v>
      </c>
    </row>
    <row r="18" spans="2:35" x14ac:dyDescent="0.3">
      <c r="B18" s="7">
        <v>16</v>
      </c>
      <c r="C18" s="7">
        <v>1300</v>
      </c>
      <c r="D18" s="2">
        <v>6.72</v>
      </c>
      <c r="E18" s="2">
        <v>4.75</v>
      </c>
      <c r="F18" s="2">
        <f t="shared" si="1"/>
        <v>31.92</v>
      </c>
      <c r="G18" s="7">
        <f t="shared" si="2"/>
        <v>15.26</v>
      </c>
      <c r="H18" s="2">
        <f t="shared" si="0"/>
        <v>47.16</v>
      </c>
      <c r="I18" s="2">
        <f t="shared" si="3"/>
        <v>67.680000000000007</v>
      </c>
      <c r="J18" s="1"/>
      <c r="O18" s="3">
        <v>5.07</v>
      </c>
      <c r="P18" s="3">
        <v>6.5</v>
      </c>
    </row>
    <row r="19" spans="2:35" x14ac:dyDescent="0.3">
      <c r="B19" s="7">
        <v>17</v>
      </c>
      <c r="C19" s="7">
        <v>1400</v>
      </c>
      <c r="D19" s="2">
        <v>6.8</v>
      </c>
      <c r="E19" s="2">
        <v>4.63</v>
      </c>
      <c r="F19" s="2">
        <f t="shared" si="1"/>
        <v>31.48</v>
      </c>
      <c r="G19" s="7">
        <f t="shared" si="2"/>
        <v>14.5</v>
      </c>
      <c r="H19" s="2">
        <f t="shared" si="0"/>
        <v>45.97</v>
      </c>
      <c r="I19" s="2">
        <f t="shared" si="3"/>
        <v>68.48</v>
      </c>
      <c r="J19" s="1"/>
      <c r="O19" s="3">
        <v>4.75</v>
      </c>
      <c r="P19" s="3">
        <v>6.72</v>
      </c>
    </row>
    <row r="20" spans="2:35" x14ac:dyDescent="0.3">
      <c r="B20" s="7">
        <v>18</v>
      </c>
      <c r="C20" s="7">
        <v>1500</v>
      </c>
      <c r="D20" s="2">
        <v>6.89</v>
      </c>
      <c r="E20" s="2">
        <v>4.51</v>
      </c>
      <c r="F20" s="2">
        <f t="shared" si="1"/>
        <v>31.07</v>
      </c>
      <c r="G20" s="7">
        <f t="shared" si="2"/>
        <v>13.76</v>
      </c>
      <c r="H20" s="2">
        <f t="shared" si="0"/>
        <v>44.78</v>
      </c>
      <c r="I20" s="2">
        <f t="shared" si="3"/>
        <v>69.38</v>
      </c>
      <c r="J20" s="1"/>
      <c r="O20" s="3">
        <v>4.63</v>
      </c>
      <c r="P20" s="3">
        <v>6.8</v>
      </c>
    </row>
    <row r="21" spans="2:35" x14ac:dyDescent="0.3">
      <c r="O21" s="3">
        <v>4.51</v>
      </c>
      <c r="P21" s="3">
        <v>6.89</v>
      </c>
    </row>
    <row r="22" spans="2:35" x14ac:dyDescent="0.3">
      <c r="F22" s="4">
        <f>MAX(F3:F20)</f>
        <v>36.409999999999997</v>
      </c>
    </row>
    <row r="26" spans="2:35" x14ac:dyDescent="0.3">
      <c r="AF26" t="s">
        <v>33</v>
      </c>
      <c r="AI26" s="15" t="s">
        <v>32</v>
      </c>
    </row>
    <row r="27" spans="2:35" x14ac:dyDescent="0.3">
      <c r="B27" s="1" t="s">
        <v>7</v>
      </c>
      <c r="C27" s="1"/>
      <c r="D27" s="1" t="s">
        <v>8</v>
      </c>
      <c r="E27" s="1" t="s">
        <v>9</v>
      </c>
      <c r="L27" t="s">
        <v>27</v>
      </c>
    </row>
    <row r="28" spans="2:35" x14ac:dyDescent="0.3">
      <c r="B28" s="1"/>
      <c r="C28" s="1"/>
      <c r="D28" s="1"/>
      <c r="E28" s="1"/>
    </row>
    <row r="29" spans="2:35" x14ac:dyDescent="0.3">
      <c r="B29" s="1" t="s">
        <v>10</v>
      </c>
      <c r="C29" s="1" t="s">
        <v>11</v>
      </c>
      <c r="D29" s="1"/>
      <c r="E29" s="1"/>
    </row>
    <row r="30" spans="2:35" x14ac:dyDescent="0.3">
      <c r="B30" s="7" t="s">
        <v>12</v>
      </c>
      <c r="C30" s="7" t="s">
        <v>13</v>
      </c>
      <c r="D30" s="7" t="s">
        <v>14</v>
      </c>
      <c r="E30" s="7" t="s">
        <v>15</v>
      </c>
      <c r="G30" s="10" t="s">
        <v>20</v>
      </c>
      <c r="H30" t="s">
        <v>22</v>
      </c>
      <c r="I30" t="s">
        <v>23</v>
      </c>
      <c r="J30" t="s">
        <v>25</v>
      </c>
      <c r="L30" t="s">
        <v>28</v>
      </c>
      <c r="M30" t="s">
        <v>29</v>
      </c>
    </row>
    <row r="31" spans="2:35" x14ac:dyDescent="0.3">
      <c r="B31" s="2">
        <v>14.66</v>
      </c>
      <c r="C31" s="2">
        <v>0.1</v>
      </c>
      <c r="D31" s="2">
        <f>B31^2</f>
        <v>214.91560000000001</v>
      </c>
      <c r="E31" s="7">
        <f>B31*C31</f>
        <v>1.4660000000000002</v>
      </c>
      <c r="G31" s="4">
        <f>(B31-$B$51)^2</f>
        <v>39.466316049382755</v>
      </c>
      <c r="H31" s="4">
        <f>(B31-$B$51)</f>
        <v>6.2822222222222255</v>
      </c>
      <c r="I31" s="4">
        <f>C31-$B$52</f>
        <v>-4.1638888888888896</v>
      </c>
      <c r="J31">
        <f>H31*I31</f>
        <v>-26.158475308641993</v>
      </c>
      <c r="L31">
        <f>C31-($E$52+($E$51*B31))</f>
        <v>8.4487368233976318E-2</v>
      </c>
      <c r="M31">
        <f>L31^2</f>
        <v>7.1381153911035103E-3</v>
      </c>
    </row>
    <row r="32" spans="2:35" x14ac:dyDescent="0.3">
      <c r="B32" s="2">
        <v>13.34</v>
      </c>
      <c r="C32" s="2">
        <v>0.87</v>
      </c>
      <c r="D32" s="2">
        <f t="shared" ref="D32:D48" si="4">B32^2</f>
        <v>177.9556</v>
      </c>
      <c r="E32" s="7">
        <f t="shared" ref="E32:E48" si="5">B32*C32</f>
        <v>11.6058</v>
      </c>
      <c r="G32" s="4">
        <f t="shared" ref="G32:G48" si="6">(B32-$B$51)^2</f>
        <v>24.623649382716078</v>
      </c>
      <c r="H32" s="4">
        <f t="shared" ref="H32:H48" si="7">(B32-$B$51)</f>
        <v>4.9622222222222252</v>
      </c>
      <c r="I32" s="4">
        <f t="shared" ref="I32:I48" si="8">C32-$B$52</f>
        <v>-3.3938888888888892</v>
      </c>
      <c r="J32">
        <f t="shared" ref="J32:J48" si="9">H32*I32</f>
        <v>-16.841230864197541</v>
      </c>
      <c r="L32">
        <f t="shared" ref="L32:L48" si="10">C32-($E$52+($E$51*B32))</f>
        <v>-3.8167565169270223E-2</v>
      </c>
      <c r="M32">
        <f>L32^2</f>
        <v>1.4567630309504896E-3</v>
      </c>
      <c r="R32" s="13" t="s">
        <v>3</v>
      </c>
      <c r="S32" s="14" t="s">
        <v>6</v>
      </c>
      <c r="U32" t="s">
        <v>12</v>
      </c>
      <c r="V32" t="s">
        <v>13</v>
      </c>
    </row>
    <row r="33" spans="2:22" x14ac:dyDescent="0.3">
      <c r="B33" s="2">
        <v>12.68</v>
      </c>
      <c r="C33" s="2">
        <v>1.33</v>
      </c>
      <c r="D33" s="2">
        <f t="shared" si="4"/>
        <v>160.7824</v>
      </c>
      <c r="E33" s="7">
        <f t="shared" si="5"/>
        <v>16.8644</v>
      </c>
      <c r="G33" s="4">
        <f t="shared" si="6"/>
        <v>18.50911604938274</v>
      </c>
      <c r="H33" s="4">
        <f t="shared" si="7"/>
        <v>4.3022222222222251</v>
      </c>
      <c r="I33" s="4">
        <f t="shared" si="8"/>
        <v>-2.9338888888888892</v>
      </c>
      <c r="J33">
        <f t="shared" si="9"/>
        <v>-12.622241975308652</v>
      </c>
      <c r="L33">
        <f t="shared" si="10"/>
        <v>-2.449503187089519E-2</v>
      </c>
      <c r="M33">
        <f t="shared" ref="M33:M48" si="11">L33^2</f>
        <v>6.0000658635617112E-4</v>
      </c>
      <c r="R33" s="3">
        <v>14.66</v>
      </c>
      <c r="S33" s="1">
        <f t="shared" ref="S33:S50" si="12">ROUND((F3/H3)*100,2)</f>
        <v>1.01</v>
      </c>
      <c r="U33">
        <v>0</v>
      </c>
      <c r="V33">
        <v>50</v>
      </c>
    </row>
    <row r="34" spans="2:22" x14ac:dyDescent="0.3">
      <c r="B34" s="2">
        <v>12.45</v>
      </c>
      <c r="C34" s="2">
        <v>1.48</v>
      </c>
      <c r="D34" s="2">
        <f t="shared" si="4"/>
        <v>155.00249999999997</v>
      </c>
      <c r="E34" s="7">
        <f t="shared" si="5"/>
        <v>18.425999999999998</v>
      </c>
      <c r="G34" s="4">
        <f t="shared" si="6"/>
        <v>16.582993827160514</v>
      </c>
      <c r="H34" s="4">
        <f t="shared" si="7"/>
        <v>4.0722222222222246</v>
      </c>
      <c r="I34" s="4">
        <f t="shared" si="8"/>
        <v>-2.7838888888888893</v>
      </c>
      <c r="J34">
        <f t="shared" si="9"/>
        <v>-11.336614197530873</v>
      </c>
      <c r="L34">
        <f t="shared" si="10"/>
        <v>-3.0033391479035831E-2</v>
      </c>
      <c r="M34">
        <f t="shared" si="11"/>
        <v>9.020046037330221E-4</v>
      </c>
      <c r="R34" s="3">
        <v>13.34</v>
      </c>
      <c r="S34" s="1">
        <f t="shared" si="12"/>
        <v>8.76</v>
      </c>
      <c r="U34">
        <v>15</v>
      </c>
      <c r="V34">
        <v>50</v>
      </c>
    </row>
    <row r="35" spans="2:22" x14ac:dyDescent="0.3">
      <c r="B35" s="2">
        <v>11.6</v>
      </c>
      <c r="C35" s="2">
        <v>2.0699999999999998</v>
      </c>
      <c r="D35" s="2">
        <f t="shared" si="4"/>
        <v>134.56</v>
      </c>
      <c r="E35" s="7">
        <f t="shared" si="5"/>
        <v>24.011999999999997</v>
      </c>
      <c r="G35" s="4">
        <f t="shared" si="6"/>
        <v>10.382716049382735</v>
      </c>
      <c r="H35" s="4">
        <f t="shared" si="7"/>
        <v>3.222222222222225</v>
      </c>
      <c r="I35" s="4">
        <f t="shared" si="8"/>
        <v>-2.1938888888888894</v>
      </c>
      <c r="J35">
        <f t="shared" si="9"/>
        <v>-7.069197530864205</v>
      </c>
      <c r="L35">
        <f t="shared" si="10"/>
        <v>-1.4849068291733492E-2</v>
      </c>
      <c r="M35">
        <f t="shared" si="11"/>
        <v>2.2049482913256499E-4</v>
      </c>
      <c r="R35" s="3">
        <v>12.68</v>
      </c>
      <c r="S35" s="1">
        <f t="shared" si="12"/>
        <v>13.39</v>
      </c>
    </row>
    <row r="36" spans="2:22" x14ac:dyDescent="0.3">
      <c r="B36" s="2">
        <v>10.47</v>
      </c>
      <c r="C36" s="2">
        <v>2.84</v>
      </c>
      <c r="D36" s="2">
        <f t="shared" si="4"/>
        <v>109.62090000000002</v>
      </c>
      <c r="E36" s="7">
        <f t="shared" si="5"/>
        <v>29.7348</v>
      </c>
      <c r="G36" s="4">
        <f t="shared" si="6"/>
        <v>4.3773938271605095</v>
      </c>
      <c r="H36" s="4">
        <f t="shared" si="7"/>
        <v>2.092222222222226</v>
      </c>
      <c r="I36" s="4">
        <f t="shared" si="8"/>
        <v>-1.4238888888888894</v>
      </c>
      <c r="J36">
        <f t="shared" si="9"/>
        <v>-2.9790919753086484</v>
      </c>
      <c r="L36">
        <f t="shared" si="10"/>
        <v>-9.0157915839066405E-3</v>
      </c>
      <c r="M36">
        <f t="shared" si="11"/>
        <v>8.1284497884441808E-5</v>
      </c>
      <c r="R36" s="3">
        <v>12.45</v>
      </c>
      <c r="S36" s="1">
        <f t="shared" si="12"/>
        <v>14.91</v>
      </c>
    </row>
    <row r="37" spans="2:22" x14ac:dyDescent="0.3">
      <c r="B37" s="2">
        <v>9.3800000000000008</v>
      </c>
      <c r="C37" s="2">
        <v>3.6</v>
      </c>
      <c r="D37" s="2">
        <f t="shared" si="4"/>
        <v>87.984400000000008</v>
      </c>
      <c r="E37" s="7">
        <f t="shared" si="5"/>
        <v>33.768000000000001</v>
      </c>
      <c r="G37" s="4">
        <f t="shared" si="6"/>
        <v>1.0044493827160572</v>
      </c>
      <c r="H37" s="4">
        <f t="shared" si="7"/>
        <v>1.0022222222222261</v>
      </c>
      <c r="I37" s="4">
        <f t="shared" si="8"/>
        <v>-0.66388888888888919</v>
      </c>
      <c r="J37">
        <f t="shared" si="9"/>
        <v>-0.66536419753086706</v>
      </c>
      <c r="L37">
        <f t="shared" si="10"/>
        <v>1.3867634620987612E-2</v>
      </c>
      <c r="M37">
        <f t="shared" si="11"/>
        <v>1.9231128998121425E-4</v>
      </c>
      <c r="R37" s="3">
        <v>11.6</v>
      </c>
      <c r="S37" s="1">
        <f t="shared" si="12"/>
        <v>20.85</v>
      </c>
    </row>
    <row r="38" spans="2:22" x14ac:dyDescent="0.3">
      <c r="B38" s="2">
        <v>8.4700000000000006</v>
      </c>
      <c r="C38" s="2">
        <v>4.2</v>
      </c>
      <c r="D38" s="2">
        <f t="shared" si="4"/>
        <v>71.740900000000011</v>
      </c>
      <c r="E38" s="7">
        <f t="shared" si="5"/>
        <v>35.574000000000005</v>
      </c>
      <c r="G38" s="4">
        <f t="shared" si="6"/>
        <v>8.5049382716056322E-3</v>
      </c>
      <c r="H38" s="4">
        <f t="shared" si="7"/>
        <v>9.222222222222598E-2</v>
      </c>
      <c r="I38" s="4">
        <f t="shared" si="8"/>
        <v>-6.3888888888889106E-2</v>
      </c>
      <c r="J38">
        <f t="shared" si="9"/>
        <v>-5.8919753086422357E-3</v>
      </c>
      <c r="L38">
        <f t="shared" si="10"/>
        <v>-1.523266437311932E-3</v>
      </c>
      <c r="M38">
        <f t="shared" si="11"/>
        <v>2.320340639040986E-6</v>
      </c>
      <c r="R38" s="3">
        <v>10.47</v>
      </c>
      <c r="S38" s="1">
        <f t="shared" si="12"/>
        <v>28.6</v>
      </c>
    </row>
    <row r="39" spans="2:22" x14ac:dyDescent="0.3">
      <c r="B39" s="2">
        <v>7.77</v>
      </c>
      <c r="C39" s="2">
        <v>4.68</v>
      </c>
      <c r="D39" s="2">
        <f t="shared" si="4"/>
        <v>60.372899999999994</v>
      </c>
      <c r="E39" s="7">
        <f t="shared" si="5"/>
        <v>36.363599999999998</v>
      </c>
      <c r="G39" s="4">
        <f t="shared" si="6"/>
        <v>0.36939382716049057</v>
      </c>
      <c r="H39" s="4">
        <f t="shared" si="7"/>
        <v>-0.60777777777777509</v>
      </c>
      <c r="I39" s="4">
        <f t="shared" si="8"/>
        <v>0.41611111111111043</v>
      </c>
      <c r="J39">
        <f t="shared" si="9"/>
        <v>-0.25290308641975157</v>
      </c>
      <c r="L39">
        <f t="shared" si="10"/>
        <v>5.0991173639944876E-3</v>
      </c>
      <c r="M39">
        <f t="shared" si="11"/>
        <v>2.6000997891790093E-5</v>
      </c>
      <c r="R39" s="3">
        <v>9.3800000000000008</v>
      </c>
      <c r="S39" s="1">
        <f t="shared" si="12"/>
        <v>36.26</v>
      </c>
    </row>
    <row r="40" spans="2:22" x14ac:dyDescent="0.3">
      <c r="B40" s="2">
        <v>7.14</v>
      </c>
      <c r="C40" s="2">
        <v>5.0999999999999996</v>
      </c>
      <c r="D40" s="2">
        <f t="shared" si="4"/>
        <v>50.979599999999998</v>
      </c>
      <c r="E40" s="7">
        <f t="shared" si="5"/>
        <v>36.413999999999994</v>
      </c>
      <c r="G40" s="4">
        <f t="shared" si="6"/>
        <v>1.5320938271604869</v>
      </c>
      <c r="H40" s="4">
        <f t="shared" si="7"/>
        <v>-1.237777777777775</v>
      </c>
      <c r="I40" s="4">
        <f t="shared" si="8"/>
        <v>0.83611111111111036</v>
      </c>
      <c r="J40">
        <f t="shared" si="9"/>
        <v>-1.0349197530864165</v>
      </c>
      <c r="L40">
        <f t="shared" si="10"/>
        <v>-9.4073721482779149E-4</v>
      </c>
      <c r="M40">
        <f t="shared" si="11"/>
        <v>8.8498650736195027E-7</v>
      </c>
      <c r="R40" s="3">
        <v>8.4700000000000006</v>
      </c>
      <c r="S40" s="1">
        <f t="shared" si="12"/>
        <v>42.29</v>
      </c>
    </row>
    <row r="41" spans="2:22" x14ac:dyDescent="0.3">
      <c r="B41" s="2">
        <v>6.58</v>
      </c>
      <c r="C41" s="2">
        <v>5.48</v>
      </c>
      <c r="D41" s="2">
        <f t="shared" si="4"/>
        <v>43.296399999999998</v>
      </c>
      <c r="E41" s="7">
        <f t="shared" si="5"/>
        <v>36.058400000000006</v>
      </c>
      <c r="G41" s="4">
        <f t="shared" si="6"/>
        <v>3.2320049382715936</v>
      </c>
      <c r="H41" s="4">
        <f t="shared" si="7"/>
        <v>-1.7977777777777746</v>
      </c>
      <c r="I41" s="4">
        <f t="shared" si="8"/>
        <v>1.2161111111111111</v>
      </c>
      <c r="J41">
        <f t="shared" si="9"/>
        <v>-2.1862975308641937</v>
      </c>
      <c r="L41">
        <f t="shared" si="10"/>
        <v>3.5716982621991633E-4</v>
      </c>
      <c r="M41">
        <f t="shared" si="11"/>
        <v>1.2757028476196524E-7</v>
      </c>
      <c r="R41" s="3">
        <v>7.77</v>
      </c>
      <c r="S41" s="1">
        <f t="shared" si="12"/>
        <v>47.13</v>
      </c>
    </row>
    <row r="42" spans="2:22" x14ac:dyDescent="0.3">
      <c r="B42" s="2">
        <v>6.15</v>
      </c>
      <c r="C42" s="2">
        <v>5.77</v>
      </c>
      <c r="D42" s="2">
        <f t="shared" si="4"/>
        <v>37.822500000000005</v>
      </c>
      <c r="E42" s="7">
        <f t="shared" si="5"/>
        <v>35.485500000000002</v>
      </c>
      <c r="G42" s="4">
        <f t="shared" si="6"/>
        <v>4.9629938271604788</v>
      </c>
      <c r="H42" s="4">
        <f t="shared" si="7"/>
        <v>-2.2277777777777743</v>
      </c>
      <c r="I42" s="4">
        <f t="shared" si="8"/>
        <v>1.5061111111111103</v>
      </c>
      <c r="J42">
        <f t="shared" si="9"/>
        <v>-3.3552808641975238</v>
      </c>
      <c r="L42">
        <f t="shared" si="10"/>
        <v>-4.3193726726276083E-4</v>
      </c>
      <c r="M42">
        <f t="shared" si="11"/>
        <v>1.8656980285042167E-7</v>
      </c>
      <c r="R42" s="3">
        <v>7.14</v>
      </c>
      <c r="S42" s="1">
        <f t="shared" si="12"/>
        <v>51.35</v>
      </c>
    </row>
    <row r="43" spans="2:22" x14ac:dyDescent="0.3">
      <c r="B43" s="2">
        <v>5.75</v>
      </c>
      <c r="C43" s="2">
        <v>6.04</v>
      </c>
      <c r="D43" s="2">
        <f t="shared" si="4"/>
        <v>33.0625</v>
      </c>
      <c r="E43" s="7">
        <f t="shared" si="5"/>
        <v>34.729999999999997</v>
      </c>
      <c r="G43" s="4">
        <f t="shared" si="6"/>
        <v>6.9052160493826999</v>
      </c>
      <c r="H43" s="4">
        <f t="shared" si="7"/>
        <v>-2.6277777777777747</v>
      </c>
      <c r="I43" s="4">
        <f t="shared" si="8"/>
        <v>1.7761111111111108</v>
      </c>
      <c r="J43">
        <f t="shared" si="9"/>
        <v>-4.6672253086419691</v>
      </c>
      <c r="L43">
        <f t="shared" si="10"/>
        <v>-9.3343223794395414E-4</v>
      </c>
      <c r="M43">
        <f t="shared" si="11"/>
        <v>8.7129574283305864E-7</v>
      </c>
      <c r="R43" s="3">
        <v>6.58</v>
      </c>
      <c r="S43" s="1">
        <f t="shared" si="12"/>
        <v>55.19</v>
      </c>
    </row>
    <row r="44" spans="2:22" x14ac:dyDescent="0.3">
      <c r="B44" s="2">
        <v>5.4</v>
      </c>
      <c r="C44" s="2">
        <v>6.28</v>
      </c>
      <c r="D44" s="2">
        <f t="shared" si="4"/>
        <v>29.160000000000004</v>
      </c>
      <c r="E44" s="7">
        <f t="shared" si="5"/>
        <v>33.912000000000006</v>
      </c>
      <c r="G44" s="4">
        <f t="shared" si="6"/>
        <v>8.8671604938271393</v>
      </c>
      <c r="H44" s="4">
        <f t="shared" si="7"/>
        <v>-2.9777777777777743</v>
      </c>
      <c r="I44" s="4">
        <f t="shared" si="8"/>
        <v>2.016111111111111</v>
      </c>
      <c r="J44">
        <f t="shared" si="9"/>
        <v>-6.0035308641975238</v>
      </c>
      <c r="L44">
        <f t="shared" si="10"/>
        <v>2.3777596627105879E-3</v>
      </c>
      <c r="M44">
        <f t="shared" si="11"/>
        <v>5.6537410136135688E-6</v>
      </c>
      <c r="R44" s="3">
        <v>6.15</v>
      </c>
      <c r="S44" s="1">
        <f t="shared" si="12"/>
        <v>58.11</v>
      </c>
    </row>
    <row r="45" spans="2:22" x14ac:dyDescent="0.3">
      <c r="B45" s="2">
        <v>5.07</v>
      </c>
      <c r="C45" s="2">
        <v>6.5</v>
      </c>
      <c r="D45" s="2">
        <f t="shared" si="4"/>
        <v>25.704900000000002</v>
      </c>
      <c r="E45" s="7">
        <f t="shared" si="5"/>
        <v>32.954999999999998</v>
      </c>
      <c r="G45" s="4">
        <f t="shared" si="6"/>
        <v>10.941393827160471</v>
      </c>
      <c r="H45" s="4">
        <f t="shared" si="7"/>
        <v>-3.3077777777777744</v>
      </c>
      <c r="I45" s="4">
        <f t="shared" si="8"/>
        <v>2.2361111111111107</v>
      </c>
      <c r="J45">
        <f t="shared" si="9"/>
        <v>-7.3965586419752993</v>
      </c>
      <c r="L45">
        <f t="shared" si="10"/>
        <v>-7.8597368810129353E-4</v>
      </c>
      <c r="M45">
        <f t="shared" si="11"/>
        <v>6.1775463838754947E-7</v>
      </c>
      <c r="R45" s="3">
        <v>5.75</v>
      </c>
      <c r="S45" s="1">
        <f t="shared" si="12"/>
        <v>60.83</v>
      </c>
    </row>
    <row r="46" spans="2:22" x14ac:dyDescent="0.3">
      <c r="B46" s="2">
        <v>4.75</v>
      </c>
      <c r="C46" s="2">
        <v>6.72</v>
      </c>
      <c r="D46" s="2">
        <f t="shared" si="4"/>
        <v>22.5625</v>
      </c>
      <c r="E46" s="7">
        <f t="shared" si="5"/>
        <v>31.919999999999998</v>
      </c>
      <c r="G46" s="4">
        <f t="shared" si="6"/>
        <v>13.160771604938249</v>
      </c>
      <c r="H46" s="4">
        <f t="shared" si="7"/>
        <v>-3.6277777777777747</v>
      </c>
      <c r="I46" s="4">
        <f t="shared" si="8"/>
        <v>2.4561111111111105</v>
      </c>
      <c r="J46">
        <f t="shared" si="9"/>
        <v>-8.9102253086419658</v>
      </c>
      <c r="L46">
        <f t="shared" si="10"/>
        <v>2.812830335352956E-3</v>
      </c>
      <c r="M46">
        <f t="shared" si="11"/>
        <v>7.9120144954818224E-6</v>
      </c>
      <c r="R46" s="3">
        <v>5.4</v>
      </c>
      <c r="S46" s="1">
        <f t="shared" si="12"/>
        <v>63.24</v>
      </c>
    </row>
    <row r="47" spans="2:22" x14ac:dyDescent="0.3">
      <c r="B47" s="2">
        <v>4.63</v>
      </c>
      <c r="C47" s="2">
        <v>6.8</v>
      </c>
      <c r="D47" s="2">
        <f t="shared" si="4"/>
        <v>21.436899999999998</v>
      </c>
      <c r="E47" s="7">
        <f t="shared" si="5"/>
        <v>31.483999999999998</v>
      </c>
      <c r="G47" s="4">
        <f t="shared" si="6"/>
        <v>14.045838271604916</v>
      </c>
      <c r="H47" s="4">
        <f t="shared" si="7"/>
        <v>-3.7477777777777748</v>
      </c>
      <c r="I47" s="4">
        <f t="shared" si="8"/>
        <v>2.5361111111111105</v>
      </c>
      <c r="J47">
        <f t="shared" si="9"/>
        <v>-9.5047808641975209</v>
      </c>
      <c r="L47">
        <f t="shared" si="10"/>
        <v>1.662381844148797E-3</v>
      </c>
      <c r="M47">
        <f t="shared" si="11"/>
        <v>2.763513395755555E-6</v>
      </c>
      <c r="R47" s="3">
        <v>5.07</v>
      </c>
      <c r="S47" s="1">
        <f t="shared" si="12"/>
        <v>65.47</v>
      </c>
    </row>
    <row r="48" spans="2:22" x14ac:dyDescent="0.3">
      <c r="B48" s="2">
        <v>4.51</v>
      </c>
      <c r="C48" s="2">
        <v>6.89</v>
      </c>
      <c r="D48" s="2">
        <f t="shared" si="4"/>
        <v>20.3401</v>
      </c>
      <c r="E48" s="7">
        <f t="shared" si="5"/>
        <v>31.073899999999998</v>
      </c>
      <c r="G48" s="4">
        <f t="shared" si="6"/>
        <v>14.959704938271582</v>
      </c>
      <c r="H48" s="4">
        <f t="shared" si="7"/>
        <v>-3.8677777777777749</v>
      </c>
      <c r="I48" s="4">
        <f t="shared" si="8"/>
        <v>2.6261111111111104</v>
      </c>
      <c r="J48">
        <f t="shared" si="9"/>
        <v>-10.157214197530854</v>
      </c>
      <c r="L48">
        <f t="shared" si="10"/>
        <v>1.0511933352944425E-2</v>
      </c>
      <c r="M48">
        <f t="shared" si="11"/>
        <v>1.1050074281674541E-4</v>
      </c>
      <c r="R48" s="3">
        <v>4.75</v>
      </c>
      <c r="S48" s="1">
        <f t="shared" si="12"/>
        <v>67.680000000000007</v>
      </c>
    </row>
    <row r="49" spans="1:19" x14ac:dyDescent="0.3">
      <c r="A49" s="5" t="s">
        <v>16</v>
      </c>
      <c r="B49" s="6">
        <f>SUM(B31:B48)</f>
        <v>150.79999999999995</v>
      </c>
      <c r="C49" s="6">
        <f t="shared" ref="C49:E49" si="13">SUM(C31:C48)</f>
        <v>76.75</v>
      </c>
      <c r="D49" s="6">
        <f t="shared" si="13"/>
        <v>1457.3005999999998</v>
      </c>
      <c r="E49" s="6">
        <f t="shared" si="13"/>
        <v>511.84740000000005</v>
      </c>
      <c r="F49" s="11" t="s">
        <v>21</v>
      </c>
      <c r="G49" s="6">
        <f t="shared" ref="G49" si="14">SUM(G31:G48)</f>
        <v>193.93171111111107</v>
      </c>
      <c r="H49" s="6">
        <f>SUM(H31:H48)</f>
        <v>5.595524044110789E-14</v>
      </c>
      <c r="I49" s="6">
        <f t="shared" ref="I49" si="15">SUM(I31:I48)</f>
        <v>-4.4408920985006262E-15</v>
      </c>
      <c r="J49" s="6">
        <f t="shared" ref="J49" si="16">SUM(J31:J48)</f>
        <v>-131.14704444444448</v>
      </c>
      <c r="K49" s="6"/>
      <c r="L49" s="12">
        <f t="shared" ref="L49" si="17">SUM(L31:L48)</f>
        <v>4.599098879509711E-14</v>
      </c>
      <c r="M49" s="12">
        <f t="shared" ref="M49" si="18">SUM(M31:M48)</f>
        <v>1.0748819756370032E-2</v>
      </c>
      <c r="R49" s="3">
        <v>4.63</v>
      </c>
      <c r="S49" s="1">
        <f t="shared" si="12"/>
        <v>68.48</v>
      </c>
    </row>
    <row r="50" spans="1:19" x14ac:dyDescent="0.3">
      <c r="R50" s="3">
        <v>4.51</v>
      </c>
      <c r="S50" s="1">
        <f t="shared" si="12"/>
        <v>69.38</v>
      </c>
    </row>
    <row r="51" spans="1:19" x14ac:dyDescent="0.3">
      <c r="A51" s="8" t="s">
        <v>17</v>
      </c>
      <c r="B51" s="28">
        <f>B49/18</f>
        <v>8.3777777777777747</v>
      </c>
      <c r="D51" s="8" t="s">
        <v>18</v>
      </c>
      <c r="E51">
        <f>J49/G49</f>
        <v>-0.67625373742670269</v>
      </c>
      <c r="L51" t="s">
        <v>30</v>
      </c>
      <c r="M51">
        <f>(1/G49)*(M49/(18-2))</f>
        <v>3.4641123461661499E-6</v>
      </c>
    </row>
    <row r="52" spans="1:19" x14ac:dyDescent="0.3">
      <c r="A52" s="9" t="s">
        <v>24</v>
      </c>
      <c r="B52" s="28">
        <f>C49/18</f>
        <v>4.2638888888888893</v>
      </c>
      <c r="D52" s="8" t="s">
        <v>19</v>
      </c>
      <c r="E52">
        <f>B52-(B51*E51)</f>
        <v>9.9293924224414845</v>
      </c>
      <c r="L52" t="s">
        <v>31</v>
      </c>
      <c r="M52">
        <f>((1/18)+((B51^2)/G49))*(M49/(18-2))</f>
        <v>2.8045850002974084E-4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46"/>
  <sheetViews>
    <sheetView zoomScale="85" zoomScaleNormal="85" workbookViewId="0">
      <selection activeCell="E64" sqref="E64"/>
    </sheetView>
  </sheetViews>
  <sheetFormatPr defaultRowHeight="14.4" x14ac:dyDescent="0.3"/>
  <cols>
    <col min="2" max="2" width="12" customWidth="1"/>
    <col min="3" max="3" width="11.33203125" customWidth="1"/>
    <col min="4" max="4" width="10.44140625" customWidth="1"/>
    <col min="5" max="6" width="9.33203125" bestFit="1" customWidth="1"/>
    <col min="7" max="7" width="10.5546875" bestFit="1" customWidth="1"/>
    <col min="8" max="8" width="10.5546875" customWidth="1"/>
    <col min="9" max="9" width="14.6640625" customWidth="1"/>
    <col min="10" max="10" width="10" bestFit="1" customWidth="1"/>
    <col min="12" max="12" width="15.6640625" bestFit="1" customWidth="1"/>
    <col min="15" max="15" width="11.44140625" customWidth="1"/>
  </cols>
  <sheetData>
    <row r="1" spans="1:15" x14ac:dyDescent="0.3">
      <c r="A1" s="17" t="s">
        <v>55</v>
      </c>
      <c r="B1" s="17" t="s">
        <v>2</v>
      </c>
      <c r="C1" s="17" t="s">
        <v>54</v>
      </c>
      <c r="D1" s="17" t="s">
        <v>53</v>
      </c>
      <c r="E1" s="17" t="s">
        <v>52</v>
      </c>
      <c r="F1" s="17" t="s">
        <v>51</v>
      </c>
      <c r="G1" s="17" t="s">
        <v>50</v>
      </c>
      <c r="H1" s="17" t="s">
        <v>49</v>
      </c>
      <c r="I1" s="17" t="s">
        <v>48</v>
      </c>
      <c r="J1" s="1"/>
      <c r="K1" s="17" t="s">
        <v>39</v>
      </c>
      <c r="L1" s="17">
        <v>25</v>
      </c>
      <c r="N1" s="17" t="s">
        <v>47</v>
      </c>
      <c r="O1" s="17">
        <v>47000</v>
      </c>
    </row>
    <row r="2" spans="1:15" x14ac:dyDescent="0.3">
      <c r="A2" s="17">
        <v>1</v>
      </c>
      <c r="B2" s="16">
        <v>17</v>
      </c>
      <c r="C2" s="16">
        <v>5</v>
      </c>
      <c r="D2" s="16">
        <v>5</v>
      </c>
      <c r="E2" s="16">
        <v>28</v>
      </c>
      <c r="F2" s="16">
        <v>25</v>
      </c>
      <c r="G2" s="16">
        <f>(($O$1+$O$2)/$O$1)*(E2*5/$O$5)</f>
        <v>3080000</v>
      </c>
      <c r="H2" s="17">
        <f>$O$3/$O$4*F2*5</f>
        <v>0.25</v>
      </c>
      <c r="I2" s="16">
        <f>H2/(G2*8.854*10^-12)</f>
        <v>9167.4758492016244</v>
      </c>
      <c r="J2" s="1"/>
      <c r="K2" s="17" t="s">
        <v>46</v>
      </c>
      <c r="L2" s="17">
        <v>28</v>
      </c>
      <c r="N2" s="17" t="s">
        <v>45</v>
      </c>
      <c r="O2" s="17">
        <v>470000</v>
      </c>
    </row>
    <row r="3" spans="1:15" x14ac:dyDescent="0.3">
      <c r="A3" s="17">
        <v>2</v>
      </c>
      <c r="B3" s="16">
        <v>15</v>
      </c>
      <c r="C3" s="16">
        <v>5</v>
      </c>
      <c r="D3" s="16">
        <v>5</v>
      </c>
      <c r="E3" s="16">
        <v>25</v>
      </c>
      <c r="F3" s="16">
        <v>28</v>
      </c>
      <c r="G3" s="16">
        <f t="shared" ref="G3:G15" si="0">(($O$1+$O$2)/$O$1)*(E3*5/$O$5)</f>
        <v>2750000</v>
      </c>
      <c r="H3" s="17">
        <f t="shared" ref="H3:H14" si="1">$O$3/$O$4*F3*5</f>
        <v>0.28000000000000003</v>
      </c>
      <c r="I3" s="16">
        <f t="shared" ref="I3:I15" si="2">H3/(G3*8.854*10^-12)</f>
        <v>11499.681705238519</v>
      </c>
      <c r="J3" s="1"/>
      <c r="K3" s="17" t="s">
        <v>35</v>
      </c>
      <c r="L3" s="17">
        <v>13</v>
      </c>
      <c r="N3" s="17" t="s">
        <v>44</v>
      </c>
      <c r="O3" s="17">
        <v>9.9999999999999995E-7</v>
      </c>
    </row>
    <row r="4" spans="1:15" x14ac:dyDescent="0.3">
      <c r="A4" s="17">
        <v>3</v>
      </c>
      <c r="B4" s="16">
        <v>13</v>
      </c>
      <c r="C4" s="16">
        <v>5</v>
      </c>
      <c r="D4" s="16">
        <v>5</v>
      </c>
      <c r="E4" s="16">
        <v>22</v>
      </c>
      <c r="F4" s="16">
        <v>25</v>
      </c>
      <c r="G4" s="16">
        <f t="shared" si="0"/>
        <v>2420000</v>
      </c>
      <c r="H4" s="17">
        <f t="shared" si="1"/>
        <v>0.25</v>
      </c>
      <c r="I4" s="16">
        <f t="shared" si="2"/>
        <v>11667.696535347523</v>
      </c>
      <c r="J4" s="1"/>
      <c r="K4" s="17" t="s">
        <v>41</v>
      </c>
      <c r="L4" s="17">
        <v>7</v>
      </c>
      <c r="N4" s="17" t="s">
        <v>43</v>
      </c>
      <c r="O4" s="17">
        <v>5.0000000000000001E-4</v>
      </c>
    </row>
    <row r="5" spans="1:15" x14ac:dyDescent="0.3">
      <c r="A5" s="17">
        <v>4</v>
      </c>
      <c r="B5" s="16">
        <v>11</v>
      </c>
      <c r="C5" s="16">
        <v>5</v>
      </c>
      <c r="D5" s="16">
        <v>5</v>
      </c>
      <c r="E5" s="16">
        <v>19</v>
      </c>
      <c r="F5" s="16">
        <v>22</v>
      </c>
      <c r="G5" s="16">
        <f t="shared" si="0"/>
        <v>2090000</v>
      </c>
      <c r="H5" s="17">
        <f t="shared" si="1"/>
        <v>0.21999999999999997</v>
      </c>
      <c r="I5" s="16">
        <f t="shared" si="2"/>
        <v>11888.768680227788</v>
      </c>
      <c r="J5" s="1" t="s">
        <v>85</v>
      </c>
      <c r="N5" s="17" t="s">
        <v>42</v>
      </c>
      <c r="O5" s="17">
        <v>5.0000000000000001E-4</v>
      </c>
    </row>
    <row r="6" spans="1:15" x14ac:dyDescent="0.3">
      <c r="A6" s="17">
        <v>5</v>
      </c>
      <c r="B6" s="16">
        <v>9</v>
      </c>
      <c r="C6" s="16">
        <v>5</v>
      </c>
      <c r="D6" s="16">
        <v>5</v>
      </c>
      <c r="E6" s="16">
        <v>15</v>
      </c>
      <c r="F6" s="16">
        <v>16</v>
      </c>
      <c r="G6" s="16">
        <f t="shared" si="0"/>
        <v>1650000</v>
      </c>
      <c r="H6" s="17">
        <f t="shared" si="1"/>
        <v>0.16</v>
      </c>
      <c r="I6" s="16">
        <f t="shared" si="2"/>
        <v>10952.077814512875</v>
      </c>
      <c r="J6" s="1"/>
      <c r="K6" s="17" t="s">
        <v>41</v>
      </c>
      <c r="L6" s="16">
        <f>(($O$1+$O$2)/$O$1)*($L$10/$O$5)</f>
        <v>3080000</v>
      </c>
      <c r="N6" s="17" t="s">
        <v>40</v>
      </c>
      <c r="O6" s="17">
        <f>8.854*10^(-12)</f>
        <v>8.8539999999999992E-12</v>
      </c>
    </row>
    <row r="7" spans="1:15" x14ac:dyDescent="0.3">
      <c r="A7" s="17">
        <v>6</v>
      </c>
      <c r="B7" s="16">
        <v>7</v>
      </c>
      <c r="C7" s="16">
        <v>5</v>
      </c>
      <c r="D7" s="16">
        <v>5</v>
      </c>
      <c r="E7" s="16">
        <v>12</v>
      </c>
      <c r="F7" s="16">
        <v>11</v>
      </c>
      <c r="G7" s="16">
        <f t="shared" si="0"/>
        <v>1320000</v>
      </c>
      <c r="H7" s="17">
        <f t="shared" si="1"/>
        <v>0.10999999999999999</v>
      </c>
      <c r="I7" s="16">
        <f t="shared" si="2"/>
        <v>9411.9418718470006</v>
      </c>
      <c r="J7" s="1"/>
      <c r="K7" s="17" t="s">
        <v>39</v>
      </c>
      <c r="L7" s="16">
        <f>$O$3/$O$4*$L$9</f>
        <v>0.25</v>
      </c>
    </row>
    <row r="8" spans="1:15" x14ac:dyDescent="0.3">
      <c r="A8" s="17">
        <v>7</v>
      </c>
      <c r="B8" s="16">
        <v>5</v>
      </c>
      <c r="C8" s="16">
        <v>5</v>
      </c>
      <c r="D8" s="16">
        <v>5</v>
      </c>
      <c r="E8" s="16">
        <v>8</v>
      </c>
      <c r="F8" s="16">
        <v>6</v>
      </c>
      <c r="G8" s="16">
        <f t="shared" si="0"/>
        <v>880000</v>
      </c>
      <c r="H8" s="17">
        <f t="shared" si="1"/>
        <v>0.06</v>
      </c>
      <c r="I8" s="16">
        <f t="shared" si="2"/>
        <v>7700.679713329363</v>
      </c>
      <c r="J8" s="1"/>
      <c r="K8" s="17" t="s">
        <v>38</v>
      </c>
      <c r="L8" s="18">
        <f>L11-8.854*10^-12*L6</f>
        <v>3.9727296800000002E-3</v>
      </c>
    </row>
    <row r="9" spans="1:15" x14ac:dyDescent="0.3">
      <c r="A9" s="17">
        <v>8</v>
      </c>
      <c r="B9" s="16">
        <v>4.4000000000000004</v>
      </c>
      <c r="C9" s="16">
        <v>5</v>
      </c>
      <c r="D9" s="16">
        <v>5</v>
      </c>
      <c r="E9" s="16">
        <v>8</v>
      </c>
      <c r="F9" s="16">
        <v>4</v>
      </c>
      <c r="G9" s="16">
        <f t="shared" si="0"/>
        <v>880000</v>
      </c>
      <c r="H9" s="17">
        <f t="shared" si="1"/>
        <v>0.04</v>
      </c>
      <c r="I9" s="16">
        <f t="shared" si="2"/>
        <v>5133.786475552909</v>
      </c>
      <c r="J9" s="1"/>
      <c r="K9" s="17" t="s">
        <v>37</v>
      </c>
      <c r="L9" s="16">
        <f>25*5</f>
        <v>125</v>
      </c>
    </row>
    <row r="10" spans="1:15" x14ac:dyDescent="0.3">
      <c r="A10" s="17">
        <v>9</v>
      </c>
      <c r="B10" s="16">
        <v>3.8</v>
      </c>
      <c r="C10" s="16">
        <v>5</v>
      </c>
      <c r="D10" s="16">
        <v>5</v>
      </c>
      <c r="E10" s="16">
        <v>7</v>
      </c>
      <c r="F10" s="16">
        <v>3</v>
      </c>
      <c r="G10" s="16">
        <f t="shared" si="0"/>
        <v>770000</v>
      </c>
      <c r="H10" s="17">
        <f t="shared" si="1"/>
        <v>0.03</v>
      </c>
      <c r="I10" s="16">
        <f t="shared" si="2"/>
        <v>4400.3884076167797</v>
      </c>
      <c r="J10" s="1"/>
      <c r="K10" s="17" t="s">
        <v>36</v>
      </c>
      <c r="L10" s="16">
        <f>28*5</f>
        <v>140</v>
      </c>
    </row>
    <row r="11" spans="1:15" x14ac:dyDescent="0.3">
      <c r="A11" s="17">
        <v>10</v>
      </c>
      <c r="B11" s="16">
        <v>3.2</v>
      </c>
      <c r="C11" s="16">
        <v>5</v>
      </c>
      <c r="D11" s="16">
        <v>5</v>
      </c>
      <c r="E11" s="16">
        <v>5</v>
      </c>
      <c r="F11" s="16">
        <v>2</v>
      </c>
      <c r="G11" s="16">
        <f t="shared" si="0"/>
        <v>550000</v>
      </c>
      <c r="H11" s="17">
        <f t="shared" si="1"/>
        <v>0.02</v>
      </c>
      <c r="I11" s="16">
        <f t="shared" si="2"/>
        <v>4107.0291804423268</v>
      </c>
      <c r="J11" s="1"/>
      <c r="K11" s="17" t="s">
        <v>35</v>
      </c>
      <c r="L11" s="17">
        <f>$O$3/$O$4*2</f>
        <v>4.0000000000000001E-3</v>
      </c>
    </row>
    <row r="12" spans="1:15" x14ac:dyDescent="0.3">
      <c r="A12" s="17">
        <v>11</v>
      </c>
      <c r="B12" s="16">
        <v>2.6</v>
      </c>
      <c r="C12" s="16">
        <v>5</v>
      </c>
      <c r="D12" s="16">
        <v>5</v>
      </c>
      <c r="E12" s="16">
        <v>4</v>
      </c>
      <c r="F12" s="16">
        <v>2</v>
      </c>
      <c r="G12" s="16">
        <f t="shared" si="0"/>
        <v>440000</v>
      </c>
      <c r="H12" s="17">
        <f t="shared" si="1"/>
        <v>0.02</v>
      </c>
      <c r="I12" s="16">
        <f t="shared" si="2"/>
        <v>5133.786475552909</v>
      </c>
      <c r="J12" s="1"/>
      <c r="K12" s="17" t="s">
        <v>34</v>
      </c>
      <c r="L12" s="16">
        <f>1/3.14 * 195*2/(25*28)</f>
        <v>0.17743403093721563</v>
      </c>
    </row>
    <row r="13" spans="1:15" x14ac:dyDescent="0.3">
      <c r="A13" s="17">
        <v>12</v>
      </c>
      <c r="B13" s="16">
        <v>2</v>
      </c>
      <c r="C13" s="16">
        <v>5</v>
      </c>
      <c r="D13" s="16">
        <v>5</v>
      </c>
      <c r="E13" s="16">
        <v>3</v>
      </c>
      <c r="F13" s="16">
        <v>1</v>
      </c>
      <c r="G13" s="16">
        <f t="shared" si="0"/>
        <v>330000</v>
      </c>
      <c r="H13" s="17">
        <f t="shared" si="1"/>
        <v>0.01</v>
      </c>
      <c r="I13" s="16">
        <f t="shared" si="2"/>
        <v>3422.5243170352733</v>
      </c>
      <c r="J13" s="1"/>
    </row>
    <row r="14" spans="1:15" x14ac:dyDescent="0.3">
      <c r="A14" s="17">
        <v>13</v>
      </c>
      <c r="B14" s="16">
        <v>1.4</v>
      </c>
      <c r="C14" s="16">
        <v>5</v>
      </c>
      <c r="D14" s="16">
        <v>5</v>
      </c>
      <c r="E14" s="16">
        <v>2</v>
      </c>
      <c r="F14" s="16">
        <v>1</v>
      </c>
      <c r="G14" s="16">
        <f>(($O$1+$O$2)/$O$1)*(E14*5/$O$5)</f>
        <v>220000</v>
      </c>
      <c r="H14" s="17">
        <f t="shared" si="1"/>
        <v>0.01</v>
      </c>
      <c r="I14" s="16">
        <f t="shared" si="2"/>
        <v>5133.786475552909</v>
      </c>
      <c r="J14" s="1"/>
    </row>
    <row r="15" spans="1:15" x14ac:dyDescent="0.3">
      <c r="A15" s="17">
        <v>14</v>
      </c>
      <c r="B15" s="16">
        <v>0.8</v>
      </c>
      <c r="C15" s="16">
        <v>5</v>
      </c>
      <c r="D15" s="16">
        <v>5</v>
      </c>
      <c r="E15" s="16">
        <v>1</v>
      </c>
      <c r="F15" s="16">
        <v>0.2</v>
      </c>
      <c r="G15" s="16">
        <f t="shared" si="0"/>
        <v>110000</v>
      </c>
      <c r="H15" s="17">
        <f>$O$3/$O$4*F15*5</f>
        <v>2E-3</v>
      </c>
      <c r="I15" s="16">
        <f t="shared" si="2"/>
        <v>2053.5145902211639</v>
      </c>
      <c r="J15" s="1" t="s">
        <v>86</v>
      </c>
    </row>
    <row r="39" spans="1:10" x14ac:dyDescent="0.3">
      <c r="A39" s="8" t="s">
        <v>56</v>
      </c>
      <c r="B39">
        <v>1.284E-3</v>
      </c>
      <c r="D39">
        <v>5.0783999999999996E-4</v>
      </c>
      <c r="I39" s="8" t="s">
        <v>87</v>
      </c>
      <c r="J39">
        <v>47000</v>
      </c>
    </row>
    <row r="40" spans="1:10" x14ac:dyDescent="0.3">
      <c r="I40" s="8" t="s">
        <v>88</v>
      </c>
      <c r="J40">
        <v>470000</v>
      </c>
    </row>
    <row r="41" spans="1:10" x14ac:dyDescent="0.3">
      <c r="A41" s="8" t="s">
        <v>89</v>
      </c>
      <c r="B41">
        <f>SQRT((((1/J42)*L10)*J44)^2+B39)</f>
        <v>4.5475268003608293E-2</v>
      </c>
      <c r="I41" s="8" t="s">
        <v>90</v>
      </c>
      <c r="J41">
        <v>9.9999999999999995E-7</v>
      </c>
    </row>
    <row r="42" spans="1:10" x14ac:dyDescent="0.3">
      <c r="I42" s="8" t="s">
        <v>91</v>
      </c>
      <c r="J42">
        <v>5.0000000000000001E-4</v>
      </c>
    </row>
    <row r="43" spans="1:10" x14ac:dyDescent="0.3">
      <c r="A43" s="8" t="s">
        <v>92</v>
      </c>
      <c r="B43">
        <v>62622210000</v>
      </c>
      <c r="I43" s="8" t="s">
        <v>93</v>
      </c>
      <c r="J43">
        <v>5.0000000000000001E-4</v>
      </c>
    </row>
    <row r="44" spans="1:10" x14ac:dyDescent="0.3">
      <c r="I44" s="8" t="s">
        <v>94</v>
      </c>
      <c r="J44">
        <f>0.1*J41</f>
        <v>9.9999999999999995E-8</v>
      </c>
    </row>
    <row r="45" spans="1:10" x14ac:dyDescent="0.3">
      <c r="A45" s="8" t="s">
        <v>95</v>
      </c>
      <c r="B45">
        <v>352000</v>
      </c>
    </row>
    <row r="46" spans="1:10" x14ac:dyDescent="0.3">
      <c r="B46">
        <v>588000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I49"/>
  <sheetViews>
    <sheetView zoomScaleNormal="100" workbookViewId="0">
      <selection activeCell="E31" sqref="E31"/>
    </sheetView>
  </sheetViews>
  <sheetFormatPr defaultRowHeight="14.4" x14ac:dyDescent="0.3"/>
  <cols>
    <col min="1" max="1" width="12.5546875" bestFit="1" customWidth="1"/>
    <col min="2" max="2" width="13.6640625" customWidth="1"/>
    <col min="4" max="4" width="10.88671875" bestFit="1" customWidth="1"/>
    <col min="6" max="6" width="13.109375" bestFit="1" customWidth="1"/>
    <col min="9" max="9" width="10.88671875" bestFit="1" customWidth="1"/>
    <col min="14" max="14" width="10.88671875" bestFit="1" customWidth="1"/>
  </cols>
  <sheetData>
    <row r="2" spans="1:9" x14ac:dyDescent="0.3">
      <c r="A2" s="1"/>
      <c r="B2" s="7" t="s">
        <v>69</v>
      </c>
      <c r="C2" s="7" t="s">
        <v>70</v>
      </c>
      <c r="D2" s="1"/>
      <c r="H2" t="s">
        <v>12</v>
      </c>
      <c r="I2" t="s">
        <v>13</v>
      </c>
    </row>
    <row r="3" spans="1:9" x14ac:dyDescent="0.3">
      <c r="A3" s="1"/>
      <c r="B3" s="7">
        <v>1000</v>
      </c>
      <c r="C3" s="7">
        <v>4.88</v>
      </c>
      <c r="D3" s="1"/>
      <c r="H3">
        <v>1000</v>
      </c>
      <c r="I3">
        <f>8.72*0.7</f>
        <v>6.1040000000000001</v>
      </c>
    </row>
    <row r="4" spans="1:9" x14ac:dyDescent="0.3">
      <c r="A4" s="1"/>
      <c r="B4" s="7">
        <v>1050</v>
      </c>
      <c r="C4" s="7">
        <v>6.24</v>
      </c>
      <c r="D4" s="1"/>
      <c r="H4">
        <v>1500</v>
      </c>
      <c r="I4">
        <f>8.72*0.7</f>
        <v>6.1040000000000001</v>
      </c>
    </row>
    <row r="5" spans="1:9" x14ac:dyDescent="0.3">
      <c r="A5" s="1"/>
      <c r="B5" s="7">
        <v>1100</v>
      </c>
      <c r="C5" s="7">
        <v>7.92</v>
      </c>
      <c r="D5" s="1"/>
    </row>
    <row r="6" spans="1:9" x14ac:dyDescent="0.3">
      <c r="A6" s="1"/>
      <c r="B6" s="7">
        <v>1150</v>
      </c>
      <c r="C6" s="7">
        <v>8.7200000000000006</v>
      </c>
      <c r="D6" s="1"/>
    </row>
    <row r="7" spans="1:9" x14ac:dyDescent="0.3">
      <c r="A7" s="1"/>
      <c r="B7" s="7">
        <v>1200</v>
      </c>
      <c r="C7" s="7">
        <v>8.7200000000000006</v>
      </c>
      <c r="D7" s="1"/>
    </row>
    <row r="8" spans="1:9" x14ac:dyDescent="0.3">
      <c r="A8" s="1"/>
      <c r="B8" s="7">
        <v>1250</v>
      </c>
      <c r="C8" s="7">
        <v>8.24</v>
      </c>
      <c r="D8" s="1"/>
    </row>
    <row r="9" spans="1:9" x14ac:dyDescent="0.3">
      <c r="A9" s="1"/>
      <c r="B9" s="7">
        <v>1300</v>
      </c>
      <c r="C9" s="7">
        <v>7.52</v>
      </c>
      <c r="D9" s="1"/>
    </row>
    <row r="10" spans="1:9" x14ac:dyDescent="0.3">
      <c r="A10" s="1"/>
      <c r="B10" s="7">
        <v>1350</v>
      </c>
      <c r="C10" s="7">
        <v>6.8</v>
      </c>
      <c r="D10" s="1"/>
    </row>
    <row r="11" spans="1:9" x14ac:dyDescent="0.3">
      <c r="A11" s="1"/>
      <c r="B11" s="7">
        <v>1400</v>
      </c>
      <c r="C11" s="7">
        <v>6.24</v>
      </c>
      <c r="D11" s="1"/>
    </row>
    <row r="12" spans="1:9" x14ac:dyDescent="0.3">
      <c r="A12" s="1"/>
      <c r="B12" s="7">
        <v>1450</v>
      </c>
      <c r="C12" s="7">
        <v>5.68</v>
      </c>
      <c r="D12" s="1"/>
    </row>
    <row r="13" spans="1:9" x14ac:dyDescent="0.3">
      <c r="A13" s="1"/>
      <c r="B13" s="7">
        <v>1500</v>
      </c>
      <c r="C13" s="7">
        <v>5.28</v>
      </c>
      <c r="D13" s="1"/>
    </row>
    <row r="14" spans="1:9" x14ac:dyDescent="0.3">
      <c r="A14" s="1"/>
      <c r="B14" s="7">
        <v>1550</v>
      </c>
      <c r="C14" s="7">
        <v>4.88</v>
      </c>
      <c r="D14" s="1"/>
    </row>
    <row r="15" spans="1:9" x14ac:dyDescent="0.3">
      <c r="A15" s="1"/>
      <c r="B15" s="7">
        <v>1600</v>
      </c>
      <c r="C15" s="7">
        <v>4.4800000000000004</v>
      </c>
      <c r="D15" s="1"/>
    </row>
    <row r="16" spans="1:9" x14ac:dyDescent="0.3">
      <c r="A16" s="1"/>
      <c r="B16" s="7">
        <v>1650</v>
      </c>
      <c r="C16" s="7">
        <v>3.92</v>
      </c>
      <c r="D16" s="1"/>
    </row>
    <row r="17" spans="1:6" x14ac:dyDescent="0.3">
      <c r="A17" s="1"/>
      <c r="B17" s="7">
        <v>1700</v>
      </c>
      <c r="C17" s="7">
        <v>3.76</v>
      </c>
      <c r="D17" s="1"/>
    </row>
    <row r="18" spans="1:6" x14ac:dyDescent="0.3">
      <c r="A18" s="1"/>
      <c r="B18" s="7">
        <v>1750</v>
      </c>
      <c r="C18" s="7">
        <v>3.52</v>
      </c>
      <c r="D18" s="1"/>
    </row>
    <row r="19" spans="1:6" x14ac:dyDescent="0.3">
      <c r="A19" s="1"/>
      <c r="B19" s="7">
        <v>1800</v>
      </c>
      <c r="C19" s="7">
        <v>3.28</v>
      </c>
      <c r="D19" s="1"/>
    </row>
    <row r="20" spans="1:6" x14ac:dyDescent="0.3">
      <c r="A20" s="1"/>
      <c r="B20" s="7">
        <v>1850</v>
      </c>
      <c r="C20" s="7">
        <v>3.12</v>
      </c>
      <c r="D20" s="1"/>
    </row>
    <row r="21" spans="1:6" x14ac:dyDescent="0.3">
      <c r="A21" s="1"/>
      <c r="B21" s="7">
        <v>1900</v>
      </c>
      <c r="C21" s="7">
        <v>2.88</v>
      </c>
      <c r="D21" s="1"/>
    </row>
    <row r="22" spans="1:6" x14ac:dyDescent="0.3">
      <c r="A22" s="1"/>
      <c r="B22" s="7">
        <v>1950</v>
      </c>
      <c r="C22" s="7">
        <v>2.8</v>
      </c>
      <c r="D22" s="1"/>
    </row>
    <row r="23" spans="1:6" x14ac:dyDescent="0.3">
      <c r="A23" s="1"/>
      <c r="B23" s="7">
        <v>2000</v>
      </c>
      <c r="C23" s="7">
        <v>2.64</v>
      </c>
      <c r="D23" s="1"/>
    </row>
    <row r="24" spans="1:6" x14ac:dyDescent="0.3">
      <c r="A24" s="1"/>
      <c r="B24" s="1"/>
      <c r="C24" s="1"/>
      <c r="D24" s="1"/>
    </row>
    <row r="25" spans="1:6" x14ac:dyDescent="0.3">
      <c r="A25" s="1"/>
      <c r="B25" s="1"/>
      <c r="C25" s="1"/>
      <c r="D25" s="1"/>
    </row>
    <row r="26" spans="1:6" x14ac:dyDescent="0.3">
      <c r="A26" s="1"/>
      <c r="B26" s="1"/>
      <c r="C26" s="1"/>
      <c r="D26" s="1"/>
    </row>
    <row r="27" spans="1:6" x14ac:dyDescent="0.3">
      <c r="A27" s="1"/>
      <c r="B27" s="1"/>
      <c r="C27" s="1"/>
      <c r="D27" s="1"/>
      <c r="F27" t="s">
        <v>68</v>
      </c>
    </row>
    <row r="28" spans="1:6" x14ac:dyDescent="0.3">
      <c r="A28" s="1"/>
      <c r="B28" s="1"/>
      <c r="C28" s="1"/>
      <c r="D28" s="1"/>
    </row>
    <row r="29" spans="1:6" x14ac:dyDescent="0.3">
      <c r="A29" s="20" t="s">
        <v>67</v>
      </c>
      <c r="B29" s="7" t="s">
        <v>66</v>
      </c>
      <c r="C29" s="7" t="s">
        <v>65</v>
      </c>
      <c r="D29" s="7" t="s">
        <v>64</v>
      </c>
    </row>
    <row r="30" spans="1:6" x14ac:dyDescent="0.3">
      <c r="A30" s="21">
        <f>1*10^(-9)</f>
        <v>1.0000000000000001E-9</v>
      </c>
      <c r="B30" s="7">
        <v>14000</v>
      </c>
      <c r="C30" s="7">
        <f t="shared" ref="C30:C35" si="0">A30^(-1)</f>
        <v>999999999.99999988</v>
      </c>
      <c r="D30" s="7">
        <f t="shared" ref="D30:D35" si="1">B30^2</f>
        <v>196000000</v>
      </c>
    </row>
    <row r="31" spans="1:6" x14ac:dyDescent="0.3">
      <c r="A31" s="21">
        <f>3*10^(-9)</f>
        <v>3.0000000000000004E-9</v>
      </c>
      <c r="B31" s="7">
        <v>7400</v>
      </c>
      <c r="C31" s="7">
        <f t="shared" si="0"/>
        <v>333333333.33333331</v>
      </c>
      <c r="D31" s="7">
        <f t="shared" si="1"/>
        <v>54760000</v>
      </c>
    </row>
    <row r="32" spans="1:6" x14ac:dyDescent="0.3">
      <c r="A32" s="21">
        <f>10*10^(-9)</f>
        <v>1E-8</v>
      </c>
      <c r="B32" s="7">
        <v>4000</v>
      </c>
      <c r="C32" s="7">
        <f t="shared" si="0"/>
        <v>100000000</v>
      </c>
      <c r="D32" s="7">
        <f t="shared" si="1"/>
        <v>16000000</v>
      </c>
    </row>
    <row r="33" spans="1:4" x14ac:dyDescent="0.3">
      <c r="A33" s="21">
        <f>30*10^(-9)</f>
        <v>3.0000000000000004E-8</v>
      </c>
      <c r="B33" s="7">
        <v>2800</v>
      </c>
      <c r="C33" s="7">
        <f t="shared" si="0"/>
        <v>33333333.333333328</v>
      </c>
      <c r="D33" s="7">
        <f t="shared" si="1"/>
        <v>7840000</v>
      </c>
    </row>
    <row r="34" spans="1:4" x14ac:dyDescent="0.3">
      <c r="A34" s="21">
        <f>100*10^(-9)</f>
        <v>1.0000000000000001E-7</v>
      </c>
      <c r="B34" s="7">
        <v>1000</v>
      </c>
      <c r="C34" s="7">
        <f t="shared" si="0"/>
        <v>10000000</v>
      </c>
      <c r="D34" s="7">
        <f t="shared" si="1"/>
        <v>1000000</v>
      </c>
    </row>
    <row r="35" spans="1:4" x14ac:dyDescent="0.3">
      <c r="A35" s="21">
        <f>300*10^(-9)</f>
        <v>3.0000000000000004E-7</v>
      </c>
      <c r="B35" s="7">
        <v>600</v>
      </c>
      <c r="C35" s="7">
        <f t="shared" si="0"/>
        <v>3333333.333333333</v>
      </c>
      <c r="D35" s="7">
        <f t="shared" si="1"/>
        <v>360000</v>
      </c>
    </row>
    <row r="36" spans="1:4" x14ac:dyDescent="0.3">
      <c r="D36" s="19"/>
    </row>
    <row r="37" spans="1:4" x14ac:dyDescent="0.3">
      <c r="A37" t="s">
        <v>63</v>
      </c>
      <c r="B37" s="19">
        <v>100</v>
      </c>
      <c r="C37" t="s">
        <v>62</v>
      </c>
      <c r="D37" s="19">
        <v>0.1</v>
      </c>
    </row>
    <row r="38" spans="1:4" x14ac:dyDescent="0.3">
      <c r="A38" t="s">
        <v>61</v>
      </c>
      <c r="B38" s="19">
        <f>1/0.1955</f>
        <v>5.1150895140664963</v>
      </c>
      <c r="C38" t="s">
        <v>60</v>
      </c>
      <c r="D38" s="19"/>
    </row>
    <row r="39" spans="1:4" x14ac:dyDescent="0.3">
      <c r="B39" s="19"/>
      <c r="D39" s="19">
        <f>1*10^(-7)</f>
        <v>9.9999999999999995E-8</v>
      </c>
    </row>
    <row r="40" spans="1:4" x14ac:dyDescent="0.3">
      <c r="B40" s="19"/>
    </row>
    <row r="41" spans="1:4" x14ac:dyDescent="0.3">
      <c r="A41" t="s">
        <v>59</v>
      </c>
      <c r="B41" s="19">
        <f>1/(2*3.1415926535*(SQRT(D39*D37)))</f>
        <v>1591.5494309644432</v>
      </c>
    </row>
    <row r="42" spans="1:4" x14ac:dyDescent="0.3">
      <c r="B42" s="19"/>
    </row>
    <row r="43" spans="1:4" x14ac:dyDescent="0.3">
      <c r="B43" s="19"/>
    </row>
    <row r="44" spans="1:4" x14ac:dyDescent="0.3">
      <c r="A44" s="8" t="s">
        <v>58</v>
      </c>
      <c r="B44" s="19">
        <f>B13/370</f>
        <v>4.0540540540540544</v>
      </c>
    </row>
    <row r="45" spans="1:4" x14ac:dyDescent="0.3">
      <c r="A45" s="8" t="s">
        <v>58</v>
      </c>
      <c r="B45" s="19">
        <f>(1/75)*SQRT(D37/D39)</f>
        <v>13.333333333333336</v>
      </c>
    </row>
    <row r="46" spans="1:4" x14ac:dyDescent="0.3">
      <c r="A46" s="8" t="s">
        <v>58</v>
      </c>
      <c r="B46" s="19">
        <f>(SQRT(D37*D39)/(D39*75))</f>
        <v>13.333333333333336</v>
      </c>
    </row>
    <row r="47" spans="1:4" x14ac:dyDescent="0.3">
      <c r="B47" s="19"/>
    </row>
    <row r="48" spans="1:4" x14ac:dyDescent="0.3">
      <c r="A48" s="8" t="s">
        <v>57</v>
      </c>
      <c r="B48" s="19">
        <f>(SQRT(B38/D39))/B46</f>
        <v>536.39890488911362</v>
      </c>
    </row>
    <row r="49" spans="1:2" x14ac:dyDescent="0.3">
      <c r="A49" s="8" t="s">
        <v>71</v>
      </c>
      <c r="B49">
        <f>SQRT(2*10^6*4*B38^2)</f>
        <v>14467.657927090488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3.01</vt:lpstr>
      <vt:lpstr>3.02</vt:lpstr>
      <vt:lpstr>3.06</vt:lpstr>
      <vt:lpstr>3.11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Филиппов</dc:creator>
  <cp:lastModifiedBy>Александр Филиппов</cp:lastModifiedBy>
  <dcterms:created xsi:type="dcterms:W3CDTF">2015-06-05T18:19:34Z</dcterms:created>
  <dcterms:modified xsi:type="dcterms:W3CDTF">2023-03-17T15:29:15Z</dcterms:modified>
</cp:coreProperties>
</file>