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240" windowHeight="12225"/>
  </bookViews>
  <sheets>
    <sheet name="Дисконт правильно и оборудовани" sheetId="10" r:id="rId1"/>
    <sheet name="Дисконт правильно" sheetId="9" r:id="rId2"/>
    <sheet name="Заказ дисконтирование" sheetId="8" r:id="rId3"/>
    <sheet name="Zaki" sheetId="7" r:id="rId4"/>
    <sheet name="Dгр нефикс" sheetId="6" r:id="rId5"/>
    <sheet name="Dгр" sheetId="5" r:id="rId6"/>
    <sheet name="обчная" sheetId="4" r:id="rId7"/>
    <sheet name="обычная с изм ценой" sheetId="1" r:id="rId8"/>
    <sheet name="Лист2" sheetId="2" r:id="rId9"/>
    <sheet name="Лист3" sheetId="3" r:id="rId10"/>
  </sheets>
  <definedNames>
    <definedName name="solver_adj" localSheetId="5" hidden="1">Dгр!$O$3:$Q$3,Dгр!$O$7:$Q$7</definedName>
    <definedName name="solver_adj" localSheetId="4" hidden="1">'Dгр нефикс'!$O$3:$Q$3,'Dгр нефикс'!$O$7:$Q$7,'Dгр нефикс'!$I$29:$I$31</definedName>
    <definedName name="solver_adj" localSheetId="3" hidden="1">Zaki!$O$3:$Q$3,Zaki!$O$7:$Q$7</definedName>
    <definedName name="solver_adj" localSheetId="1" hidden="1">'Дисконт правильно'!$O$3:$Q$3,'Дисконт правильно'!$O$4:$Q$4,'Дисконт правильно'!$O$8:$Q$8</definedName>
    <definedName name="solver_adj" localSheetId="0" hidden="1">'Дисконт правильно и оборудовани'!$O$3:$Q$4,'Дисконт правильно и оборудовани'!$O$8:$Q$9</definedName>
    <definedName name="solver_adj" localSheetId="2" hidden="1">'Заказ дисконтирование'!$O$3:$Q$3,'Заказ дисконтирование'!$O$7:$Q$7</definedName>
    <definedName name="solver_adj" localSheetId="6" hidden="1">обчная!$O$3:$Q$3,обчная!$O$7:$Q$7</definedName>
    <definedName name="solver_adj" localSheetId="7" hidden="1">'обычная с изм ценой'!$O$3:$Q$3,'обычная с изм ценой'!$O$7:$Q$7,'обычная с изм ценой'!$I$29:$I$31</definedName>
    <definedName name="solver_cvg" localSheetId="5" hidden="1">0.0001</definedName>
    <definedName name="solver_cvg" localSheetId="4" hidden="1">0.0001</definedName>
    <definedName name="solver_cvg" localSheetId="3" hidden="1">0.0001</definedName>
    <definedName name="solver_cvg" localSheetId="1" hidden="1">0.0001</definedName>
    <definedName name="solver_cvg" localSheetId="0" hidden="1">0.0001</definedName>
    <definedName name="solver_cvg" localSheetId="2" hidden="1">0.0001</definedName>
    <definedName name="solver_cvg" localSheetId="6" hidden="1">0.0001</definedName>
    <definedName name="solver_cvg" localSheetId="7" hidden="1">0.0001</definedName>
    <definedName name="solver_drv" localSheetId="5" hidden="1">2</definedName>
    <definedName name="solver_drv" localSheetId="4" hidden="1">2</definedName>
    <definedName name="solver_drv" localSheetId="3" hidden="1">2</definedName>
    <definedName name="solver_drv" localSheetId="1" hidden="1">1</definedName>
    <definedName name="solver_drv" localSheetId="0" hidden="1">1</definedName>
    <definedName name="solver_drv" localSheetId="2" hidden="1">2</definedName>
    <definedName name="solver_drv" localSheetId="6" hidden="1">2</definedName>
    <definedName name="solver_drv" localSheetId="7" hidden="1">2</definedName>
    <definedName name="solver_eng" localSheetId="5" hidden="1">1</definedName>
    <definedName name="solver_eng" localSheetId="4" hidden="1">1</definedName>
    <definedName name="solver_eng" localSheetId="3" hidden="1">1</definedName>
    <definedName name="solver_eng" localSheetId="1" hidden="1">2</definedName>
    <definedName name="solver_eng" localSheetId="0" hidden="1">2</definedName>
    <definedName name="solver_eng" localSheetId="2" hidden="1">1</definedName>
    <definedName name="solver_eng" localSheetId="6" hidden="1">1</definedName>
    <definedName name="solver_eng" localSheetId="7" hidden="1">1</definedName>
    <definedName name="solver_est" localSheetId="5" hidden="1">1</definedName>
    <definedName name="solver_est" localSheetId="4" hidden="1">1</definedName>
    <definedName name="solver_est" localSheetId="3" hidden="1">1</definedName>
    <definedName name="solver_est" localSheetId="1" hidden="1">1</definedName>
    <definedName name="solver_est" localSheetId="0" hidden="1">1</definedName>
    <definedName name="solver_est" localSheetId="2" hidden="1">1</definedName>
    <definedName name="solver_est" localSheetId="6" hidden="1">1</definedName>
    <definedName name="solver_est" localSheetId="7" hidden="1">1</definedName>
    <definedName name="solver_itr" localSheetId="5" hidden="1">2147483647</definedName>
    <definedName name="solver_itr" localSheetId="4" hidden="1">2147483647</definedName>
    <definedName name="solver_itr" localSheetId="3" hidden="1">2147483647</definedName>
    <definedName name="solver_itr" localSheetId="1" hidden="1">2147483647</definedName>
    <definedName name="solver_itr" localSheetId="0" hidden="1">2147483647</definedName>
    <definedName name="solver_itr" localSheetId="2" hidden="1">2147483647</definedName>
    <definedName name="solver_itr" localSheetId="6" hidden="1">2147483647</definedName>
    <definedName name="solver_itr" localSheetId="7" hidden="1">2147483647</definedName>
    <definedName name="solver_lhs1" localSheetId="5" hidden="1">Dгр!$I$23</definedName>
    <definedName name="solver_lhs1" localSheetId="4" hidden="1">'Dгр нефикс'!$I$29</definedName>
    <definedName name="solver_lhs1" localSheetId="3" hidden="1">Zaki!$I$39</definedName>
    <definedName name="solver_lhs1" localSheetId="1" hidden="1">'Дисконт правильно'!$I$22</definedName>
    <definedName name="solver_lhs1" localSheetId="0" hidden="1">'Дисконт правильно и оборудовани'!$I$22</definedName>
    <definedName name="solver_lhs1" localSheetId="2" hidden="1">'Заказ дисконтирование'!$I$39</definedName>
    <definedName name="solver_lhs1" localSheetId="6" hidden="1">обчная!$T$3</definedName>
    <definedName name="solver_lhs1" localSheetId="7" hidden="1">'обычная с изм ценой'!$I$29</definedName>
    <definedName name="solver_lhs10" localSheetId="5" hidden="1">Dгр!$P$7</definedName>
    <definedName name="solver_lhs10" localSheetId="4" hidden="1">'Dгр нефикс'!$T$2</definedName>
    <definedName name="solver_lhs10" localSheetId="3" hidden="1">Zaki!$K$35</definedName>
    <definedName name="solver_lhs10" localSheetId="1" hidden="1">'Дисконт правильно'!$K$38</definedName>
    <definedName name="solver_lhs10" localSheetId="0" hidden="1">'Дисконт правильно и оборудовани'!$K$35</definedName>
    <definedName name="solver_lhs10" localSheetId="2" hidden="1">'Заказ дисконтирование'!$K$35</definedName>
    <definedName name="solver_lhs10" localSheetId="6" hidden="1">обчная!$O$3</definedName>
    <definedName name="solver_lhs10" localSheetId="7" hidden="1">'обычная с изм ценой'!$T$2</definedName>
    <definedName name="solver_lhs11" localSheetId="5" hidden="1">Dгр!$Q$7</definedName>
    <definedName name="solver_lhs11" localSheetId="4" hidden="1">'Dгр нефикс'!$T$3</definedName>
    <definedName name="solver_lhs11" localSheetId="3" hidden="1">Zaki!$K$37</definedName>
    <definedName name="solver_lhs11" localSheetId="1" hidden="1">'Дисконт правильно'!$K$39</definedName>
    <definedName name="solver_lhs11" localSheetId="0" hidden="1">'Дисконт правильно и оборудовани'!$K$37</definedName>
    <definedName name="solver_lhs11" localSheetId="2" hidden="1">'Заказ дисконтирование'!$K$37</definedName>
    <definedName name="solver_lhs11" localSheetId="6" hidden="1">обчная!$O$3</definedName>
    <definedName name="solver_lhs11" localSheetId="7" hidden="1">'обычная с изм ценой'!$T$3</definedName>
    <definedName name="solver_lhs12" localSheetId="5" hidden="1">Dгр!$Q$3</definedName>
    <definedName name="solver_lhs12" localSheetId="4" hidden="1">'Dгр нефикс'!$T$4</definedName>
    <definedName name="solver_lhs12" localSheetId="3" hidden="1">Zaki!$O$7</definedName>
    <definedName name="solver_lhs12" localSheetId="1" hidden="1">'Дисконт правильно'!$M$22</definedName>
    <definedName name="solver_lhs12" localSheetId="0" hidden="1">'Дисконт правильно и оборудовани'!$K$38</definedName>
    <definedName name="solver_lhs12" localSheetId="2" hidden="1">'Заказ дисконтирование'!$O$7</definedName>
    <definedName name="solver_lhs12" localSheetId="6" hidden="1">обчная!$O$3</definedName>
    <definedName name="solver_lhs12" localSheetId="7" hidden="1">'обычная с изм ценой'!$T$4</definedName>
    <definedName name="solver_lhs13" localSheetId="5" hidden="1">Dгр!$O$3</definedName>
    <definedName name="solver_lhs13" localSheetId="4" hidden="1">'Dгр нефикс'!$V$2</definedName>
    <definedName name="solver_lhs13" localSheetId="3" hidden="1">Zaki!$K$24</definedName>
    <definedName name="solver_lhs13" localSheetId="1" hidden="1">'Дисконт правильно'!$M$23</definedName>
    <definedName name="solver_lhs13" localSheetId="0" hidden="1">'Дисконт правильно и оборудовани'!$K$39</definedName>
    <definedName name="solver_lhs13" localSheetId="2" hidden="1">'Заказ дисконтирование'!$K$24</definedName>
    <definedName name="solver_lhs13" localSheetId="6" hidden="1">обчная!$P$3</definedName>
    <definedName name="solver_lhs13" localSheetId="7" hidden="1">'обычная с изм ценой'!$V$2</definedName>
    <definedName name="solver_lhs14" localSheetId="5" hidden="1">Dгр!$Q$7</definedName>
    <definedName name="solver_lhs14" localSheetId="4" hidden="1">'Dгр нефикс'!$O$7</definedName>
    <definedName name="solver_lhs14" localSheetId="3" hidden="1">Zaki!$Q$3</definedName>
    <definedName name="solver_lhs14" localSheetId="1" hidden="1">'Дисконт правильно'!$M$24</definedName>
    <definedName name="solver_lhs14" localSheetId="0" hidden="1">'Дисконт правильно и оборудовани'!$M$22</definedName>
    <definedName name="solver_lhs14" localSheetId="2" hidden="1">'Заказ дисконтирование'!$Q$3</definedName>
    <definedName name="solver_lhs14" localSheetId="6" hidden="1">обчная!$P$3</definedName>
    <definedName name="solver_lhs14" localSheetId="7" hidden="1">'обычная с изм ценой'!$O$7</definedName>
    <definedName name="solver_lhs15" localSheetId="5" hidden="1">Dгр!$P$7</definedName>
    <definedName name="solver_lhs15" localSheetId="4" hidden="1">'Dгр нефикс'!$O$7</definedName>
    <definedName name="solver_lhs15" localSheetId="3" hidden="1">Zaki!$O$7</definedName>
    <definedName name="solver_lhs15" localSheetId="1" hidden="1">'Дисконт правильно'!$M$33</definedName>
    <definedName name="solver_lhs15" localSheetId="0" hidden="1">'Дисконт правильно и оборудовани'!$M$23</definedName>
    <definedName name="solver_lhs15" localSheetId="2" hidden="1">'Заказ дисконтирование'!$O$7</definedName>
    <definedName name="solver_lhs15" localSheetId="6" hidden="1">обчная!$P$3</definedName>
    <definedName name="solver_lhs15" localSheetId="7" hidden="1">'обычная с изм ценой'!$O$7</definedName>
    <definedName name="solver_lhs16" localSheetId="5" hidden="1">Dгр!$O$3</definedName>
    <definedName name="solver_lhs16" localSheetId="4" hidden="1">'Dгр нефикс'!$P$7</definedName>
    <definedName name="solver_lhs16" localSheetId="3" hidden="1">Zaki!$P$7</definedName>
    <definedName name="solver_lhs16" localSheetId="1" hidden="1">'Дисконт правильно'!$M$34</definedName>
    <definedName name="solver_lhs16" localSheetId="0" hidden="1">'Дисконт правильно и оборудовани'!$M$24</definedName>
    <definedName name="solver_lhs16" localSheetId="2" hidden="1">'Заказ дисконтирование'!$P$7</definedName>
    <definedName name="solver_lhs16" localSheetId="6" hidden="1">обчная!$P$3</definedName>
    <definedName name="solver_lhs16" localSheetId="7" hidden="1">'обычная с изм ценой'!$P$7</definedName>
    <definedName name="solver_lhs17" localSheetId="5" hidden="1">Dгр!$O$3</definedName>
    <definedName name="solver_lhs17" localSheetId="4" hidden="1">'Dгр нефикс'!$Q$7</definedName>
    <definedName name="solver_lhs17" localSheetId="3" hidden="1">Zaki!$Q$7</definedName>
    <definedName name="solver_lhs17" localSheetId="1" hidden="1">'Дисконт правильно'!$M$35</definedName>
    <definedName name="solver_lhs17" localSheetId="0" hidden="1">'Дисконт правильно и оборудовани'!$M$27</definedName>
    <definedName name="solver_lhs17" localSheetId="2" hidden="1">'Заказ дисконтирование'!$Q$7</definedName>
    <definedName name="solver_lhs17" localSheetId="6" hidden="1">обчная!$Q$3</definedName>
    <definedName name="solver_lhs17" localSheetId="7" hidden="1">'обычная с изм ценой'!$Q$7</definedName>
    <definedName name="solver_lhs18" localSheetId="5" hidden="1">Dгр!$P$3</definedName>
    <definedName name="solver_lhs18" localSheetId="4" hidden="1">'Dгр нефикс'!$O$3</definedName>
    <definedName name="solver_lhs18" localSheetId="3" hidden="1">Zaki!$K$33</definedName>
    <definedName name="solver_lhs18" localSheetId="1" hidden="1">'Дисконт правильно'!$O$37</definedName>
    <definedName name="solver_lhs18" localSheetId="0" hidden="1">'Дисконт правильно и оборудовани'!$M$33</definedName>
    <definedName name="solver_lhs18" localSheetId="2" hidden="1">'Заказ дисконтирование'!$K$33</definedName>
    <definedName name="solver_lhs18" localSheetId="6" hidden="1">обчная!$Q$3</definedName>
    <definedName name="solver_lhs18" localSheetId="7" hidden="1">'обычная с изм ценой'!$O$3</definedName>
    <definedName name="solver_lhs19" localSheetId="5" hidden="1">Dгр!$O$3</definedName>
    <definedName name="solver_lhs19" localSheetId="4" hidden="1">'Dгр нефикс'!$O$3</definedName>
    <definedName name="solver_lhs19" localSheetId="3" hidden="1">Zaki!$P$3</definedName>
    <definedName name="solver_lhs19" localSheetId="1" hidden="1">'Дисконт правильно'!$O$38</definedName>
    <definedName name="solver_lhs19" localSheetId="0" hidden="1">'Дисконт правильно и оборудовани'!$M$34</definedName>
    <definedName name="solver_lhs19" localSheetId="2" hidden="1">'Заказ дисконтирование'!$P$3</definedName>
    <definedName name="solver_lhs19" localSheetId="6" hidden="1">обчная!$Q$3</definedName>
    <definedName name="solver_lhs19" localSheetId="7" hidden="1">'обычная с изм ценой'!$O$3</definedName>
    <definedName name="solver_lhs2" localSheetId="5" hidden="1">Dгр!$I$28</definedName>
    <definedName name="solver_lhs2" localSheetId="4" hidden="1">'Dгр нефикс'!$I$29</definedName>
    <definedName name="solver_lhs2" localSheetId="3" hidden="1">Zaki!$K$22</definedName>
    <definedName name="solver_lhs2" localSheetId="1" hidden="1">'Дисконт правильно'!$I$24</definedName>
    <definedName name="solver_lhs2" localSheetId="0" hidden="1">'Дисконт правильно и оборудовани'!$I$23</definedName>
    <definedName name="solver_lhs2" localSheetId="2" hidden="1">'Заказ дисконтирование'!$K$22</definedName>
    <definedName name="solver_lhs2" localSheetId="6" hidden="1">обчная!$T$2</definedName>
    <definedName name="solver_lhs2" localSheetId="7" hidden="1">'обычная с изм ценой'!$I$29</definedName>
    <definedName name="solver_lhs20" localSheetId="5" hidden="1">Dгр!$O$3</definedName>
    <definedName name="solver_lhs20" localSheetId="4" hidden="1">'Dгр нефикс'!$O$3</definedName>
    <definedName name="solver_lhs20" localSheetId="3" hidden="1">Zaki!$Q$7</definedName>
    <definedName name="solver_lhs20" localSheetId="1" hidden="1">'Дисконт правильно'!$O$39</definedName>
    <definedName name="solver_lhs20" localSheetId="0" hidden="1">'Дисконт правильно и оборудовани'!$M$35</definedName>
    <definedName name="solver_lhs20" localSheetId="2" hidden="1">'Заказ дисконтирование'!$Q$7</definedName>
    <definedName name="solver_lhs20" localSheetId="6" hidden="1">обчная!$Q$3</definedName>
    <definedName name="solver_lhs20" localSheetId="7" hidden="1">'обычная с изм ценой'!$O$3</definedName>
    <definedName name="solver_lhs21" localSheetId="5" hidden="1">Dгр!$O$7</definedName>
    <definedName name="solver_lhs21" localSheetId="4" hidden="1">'Dгр нефикс'!$P$3</definedName>
    <definedName name="solver_lhs21" localSheetId="3" hidden="1">Zaki!$Q$3</definedName>
    <definedName name="solver_lhs21" localSheetId="1" hidden="1">'Дисконт правильно'!$O$3:$Q$3</definedName>
    <definedName name="solver_lhs21" localSheetId="0" hidden="1">'Дисконт правильно и оборудовани'!$O$37</definedName>
    <definedName name="solver_lhs21" localSheetId="2" hidden="1">'Заказ дисконтирование'!$Q$3</definedName>
    <definedName name="solver_lhs21" localSheetId="6" hidden="1">обчная!$Q$3</definedName>
    <definedName name="solver_lhs21" localSheetId="7" hidden="1">'обычная с изм ценой'!$P$3</definedName>
    <definedName name="solver_lhs22" localSheetId="5" hidden="1">Dгр!$P$3</definedName>
    <definedName name="solver_lhs22" localSheetId="4" hidden="1">'Dгр нефикс'!$P$3</definedName>
    <definedName name="solver_lhs22" localSheetId="3" hidden="1">Zaki!$O$3</definedName>
    <definedName name="solver_lhs22" localSheetId="1" hidden="1">'Дисконт правильно'!$O$3:$Q$3</definedName>
    <definedName name="solver_lhs22" localSheetId="0" hidden="1">'Дисконт правильно и оборудовани'!$O$38</definedName>
    <definedName name="solver_lhs22" localSheetId="2" hidden="1">'Заказ дисконтирование'!$O$3</definedName>
    <definedName name="solver_lhs22" localSheetId="7" hidden="1">'обычная с изм ценой'!$P$3</definedName>
    <definedName name="solver_lhs23" localSheetId="5" hidden="1">Dгр!$P$3</definedName>
    <definedName name="solver_lhs23" localSheetId="4" hidden="1">'Dгр нефикс'!$Q$3</definedName>
    <definedName name="solver_lhs23" localSheetId="3" hidden="1">Zaki!$O$3</definedName>
    <definedName name="solver_lhs23" localSheetId="1" hidden="1">'Дисконт правильно'!$O$4:$Q$4</definedName>
    <definedName name="solver_lhs23" localSheetId="0" hidden="1">'Дисконт правильно и оборудовани'!$O$39</definedName>
    <definedName name="solver_lhs23" localSheetId="2" hidden="1">'Заказ дисконтирование'!$O$3</definedName>
    <definedName name="solver_lhs23" localSheetId="7" hidden="1">'обычная с изм ценой'!$Q$3</definedName>
    <definedName name="solver_lhs24" localSheetId="5" hidden="1">Dгр!$Q$3</definedName>
    <definedName name="solver_lhs24" localSheetId="4" hidden="1">'Dгр нефикс'!$Q$3</definedName>
    <definedName name="solver_lhs24" localSheetId="3" hidden="1">Zaki!$P$7</definedName>
    <definedName name="solver_lhs24" localSheetId="1" hidden="1">'Дисконт правильно'!$O$4:$Q$4</definedName>
    <definedName name="solver_lhs24" localSheetId="0" hidden="1">'Дисконт правильно и оборудовани'!$O$3:$Q$3</definedName>
    <definedName name="solver_lhs24" localSheetId="2" hidden="1">'Заказ дисконтирование'!$P$7</definedName>
    <definedName name="solver_lhs24" localSheetId="7" hidden="1">'обычная с изм ценой'!$Q$3</definedName>
    <definedName name="solver_lhs25" localSheetId="5" hidden="1">Dгр!$P$3</definedName>
    <definedName name="solver_lhs25" localSheetId="3" hidden="1">Zaki!$P$3</definedName>
    <definedName name="solver_lhs25" localSheetId="1" hidden="1">'Дисконт правильно'!$O$8:$Q$8</definedName>
    <definedName name="solver_lhs25" localSheetId="0" hidden="1">'Дисконт правильно и оборудовани'!$O$3:$Q$3</definedName>
    <definedName name="solver_lhs25" localSheetId="2" hidden="1">'Заказ дисконтирование'!$P$3</definedName>
    <definedName name="solver_lhs26" localSheetId="5" hidden="1">Dгр!$Q$3</definedName>
    <definedName name="solver_lhs26" localSheetId="1" hidden="1">'Дисконт правильно'!$O$8:$Q$8</definedName>
    <definedName name="solver_lhs26" localSheetId="0" hidden="1">'Дисконт правильно и оборудовани'!$O$4:$Q$4</definedName>
    <definedName name="solver_lhs26" localSheetId="2" hidden="1">'Заказ дисконтирование'!$I$38</definedName>
    <definedName name="solver_lhs27" localSheetId="5" hidden="1">Dгр!$Q$3</definedName>
    <definedName name="solver_lhs27" localSheetId="1" hidden="1">'Дисконт правильно'!$I$23</definedName>
    <definedName name="solver_lhs27" localSheetId="0" hidden="1">'Дисконт правильно и оборудовани'!$O$4:$Q$4</definedName>
    <definedName name="solver_lhs27" localSheetId="2" hidden="1">'Заказ дисконтирование'!$I$39</definedName>
    <definedName name="solver_lhs28" localSheetId="1" hidden="1">'Дисконт правильно'!$K$37</definedName>
    <definedName name="solver_lhs28" localSheetId="0" hidden="1">'Дисконт правильно и оборудовани'!$O$8:$Q$8</definedName>
    <definedName name="solver_lhs28" localSheetId="2" hidden="1">'Заказ дисконтирование'!$K$22</definedName>
    <definedName name="solver_lhs29" localSheetId="1" hidden="1">'Дисконт правильно'!$Q$3</definedName>
    <definedName name="solver_lhs29" localSheetId="0" hidden="1">'Дисконт правильно и оборудовани'!$O$8:$Q$8</definedName>
    <definedName name="solver_lhs3" localSheetId="5" hidden="1">Dгр!$I$23</definedName>
    <definedName name="solver_lhs3" localSheetId="4" hidden="1">'Dгр нефикс'!$I$30</definedName>
    <definedName name="solver_lhs3" localSheetId="3" hidden="1">Zaki!$I$38</definedName>
    <definedName name="solver_lhs3" localSheetId="1" hidden="1">'Дисконт правильно'!$I$27</definedName>
    <definedName name="solver_lhs3" localSheetId="0" hidden="1">'Дисконт правильно и оборудовани'!$I$24</definedName>
    <definedName name="solver_lhs3" localSheetId="2" hidden="1">'Заказ дисконтирование'!$I$38</definedName>
    <definedName name="solver_lhs3" localSheetId="6" hidden="1">обчная!$T$4</definedName>
    <definedName name="solver_lhs3" localSheetId="7" hidden="1">'обычная с изм ценой'!$I$30</definedName>
    <definedName name="solver_lhs30" localSheetId="1" hidden="1">'Дисконт правильно'!$K$35</definedName>
    <definedName name="solver_lhs30" localSheetId="0" hidden="1">'Дисконт правильно и оборудовани'!$O$9:$Q$9</definedName>
    <definedName name="solver_lhs31" localSheetId="1" hidden="1">'Дисконт правильно'!$K$24</definedName>
    <definedName name="solver_lhs31" localSheetId="0" hidden="1">'Дисконт правильно и оборудовани'!$O$9:$Q$9</definedName>
    <definedName name="solver_lhs32" localSheetId="1" hidden="1">'Дисконт правильно'!$K$34</definedName>
    <definedName name="solver_lhs32" localSheetId="0" hidden="1">'Дисконт правильно и оборудовани'!$K$34</definedName>
    <definedName name="solver_lhs33" localSheetId="1" hidden="1">'Дисконт правильно'!$K$34</definedName>
    <definedName name="solver_lhs33" localSheetId="0" hidden="1">'Дисконт правильно и оборудовани'!$K$34</definedName>
    <definedName name="solver_lhs34" localSheetId="1" hidden="1">'Дисконт правильно'!$K$33</definedName>
    <definedName name="solver_lhs34" localSheetId="0" hidden="1">'Дисконт правильно и оборудовани'!$K$33</definedName>
    <definedName name="solver_lhs35" localSheetId="1" hidden="1">'Дисконт правильно'!$K$23</definedName>
    <definedName name="solver_lhs35" localSheetId="0" hidden="1">'Дисконт правильно и оборудовани'!$K$23</definedName>
    <definedName name="solver_lhs36" localSheetId="1" hidden="1">'Дисконт правильно'!$K$27</definedName>
    <definedName name="solver_lhs36" localSheetId="0" hidden="1">'Дисконт правильно и оборудовани'!$K$27</definedName>
    <definedName name="solver_lhs37" localSheetId="1" hidden="1">'Дисконт правильно'!$K$24</definedName>
    <definedName name="solver_lhs37" localSheetId="0" hidden="1">'Дисконт правильно и оборудовани'!$K$24</definedName>
    <definedName name="solver_lhs38" localSheetId="1" hidden="1">'Дисконт правильно'!$I$38</definedName>
    <definedName name="solver_lhs38" localSheetId="0" hidden="1">'Дисконт правильно и оборудовани'!$I$38</definedName>
    <definedName name="solver_lhs39" localSheetId="1" hidden="1">'Дисконт правильно'!$I$39</definedName>
    <definedName name="solver_lhs39" localSheetId="0" hidden="1">'Дисконт правильно и оборудовани'!$I$39</definedName>
    <definedName name="solver_lhs4" localSheetId="5" hidden="1">Dгр!$T$4</definedName>
    <definedName name="solver_lhs4" localSheetId="4" hidden="1">'Dгр нефикс'!$I$30</definedName>
    <definedName name="solver_lhs4" localSheetId="3" hidden="1">Zaki!$K$24</definedName>
    <definedName name="solver_lhs4" localSheetId="1" hidden="1">'Дисконт правильно'!$I$33</definedName>
    <definedName name="solver_lhs4" localSheetId="0" hidden="1">'Дисконт правильно и оборудовани'!$I$27</definedName>
    <definedName name="solver_lhs4" localSheetId="2" hidden="1">'Заказ дисконтирование'!$K$24</definedName>
    <definedName name="solver_lhs4" localSheetId="6" hidden="1">обчная!$V$2</definedName>
    <definedName name="solver_lhs4" localSheetId="7" hidden="1">'обычная с изм ценой'!$I$30</definedName>
    <definedName name="solver_lhs40" localSheetId="1" hidden="1">'Дисконт правильно'!$K$22</definedName>
    <definedName name="solver_lhs40" localSheetId="0" hidden="1">'Дисконт правильно и оборудовани'!$K$22</definedName>
    <definedName name="solver_lhs5" localSheetId="5" hidden="1">Dгр!$T$3</definedName>
    <definedName name="solver_lhs5" localSheetId="4" hidden="1">'Dгр нефикс'!$I$31</definedName>
    <definedName name="solver_lhs5" localSheetId="3" hidden="1">Zaki!$K$27</definedName>
    <definedName name="solver_lhs5" localSheetId="1" hidden="1">'Дисконт правильно'!$I$34</definedName>
    <definedName name="solver_lhs5" localSheetId="0" hidden="1">'Дисконт правильно и оборудовани'!$I$29</definedName>
    <definedName name="solver_lhs5" localSheetId="2" hidden="1">'Заказ дисконтирование'!$K$27</definedName>
    <definedName name="solver_lhs5" localSheetId="6" hidden="1">обчная!$O$7</definedName>
    <definedName name="solver_lhs5" localSheetId="7" hidden="1">'обычная с изм ценой'!$I$31</definedName>
    <definedName name="solver_lhs6" localSheetId="5" hidden="1">Dгр!$V$2</definedName>
    <definedName name="solver_lhs6" localSheetId="4" hidden="1">'Dгр нефикс'!$I$31</definedName>
    <definedName name="solver_lhs6" localSheetId="3" hidden="1">Zaki!$K$23</definedName>
    <definedName name="solver_lhs6" localSheetId="1" hidden="1">'Дисконт правильно'!$I$35</definedName>
    <definedName name="solver_lhs6" localSheetId="0" hidden="1">'Дисконт правильно и оборудовани'!$I$33</definedName>
    <definedName name="solver_lhs6" localSheetId="2" hidden="1">'Заказ дисконтирование'!$K$23</definedName>
    <definedName name="solver_lhs6" localSheetId="6" hidden="1">обчная!$O$7</definedName>
    <definedName name="solver_lhs6" localSheetId="7" hidden="1">'обычная с изм ценой'!$I$31</definedName>
    <definedName name="solver_lhs7" localSheetId="5" hidden="1">Dгр!$O$7</definedName>
    <definedName name="solver_lhs7" localSheetId="4" hidden="1">'Dгр нефикс'!$I$38</definedName>
    <definedName name="solver_lhs7" localSheetId="3" hidden="1">Zaki!$K$34</definedName>
    <definedName name="solver_lhs7" localSheetId="1" hidden="1">'Дисконт правильно'!$K$33</definedName>
    <definedName name="solver_lhs7" localSheetId="0" hidden="1">'Дисконт правильно и оборудовани'!$I$34</definedName>
    <definedName name="solver_lhs7" localSheetId="2" hidden="1">'Заказ дисконтирование'!$K$34</definedName>
    <definedName name="solver_lhs7" localSheetId="6" hidden="1">обчная!$P$7</definedName>
    <definedName name="solver_lhs7" localSheetId="7" hidden="1">'обычная с изм ценой'!$I$38</definedName>
    <definedName name="solver_lhs8" localSheetId="5" hidden="1">Dгр!$O$7</definedName>
    <definedName name="solver_lhs8" localSheetId="4" hidden="1">'Dгр нефикс'!$I$39</definedName>
    <definedName name="solver_lhs8" localSheetId="3" hidden="1">Zaki!$K$33</definedName>
    <definedName name="solver_lhs8" localSheetId="1" hidden="1">'Дисконт правильно'!$K$35</definedName>
    <definedName name="solver_lhs8" localSheetId="0" hidden="1">'Дисконт правильно и оборудовани'!$I$35</definedName>
    <definedName name="solver_lhs8" localSheetId="2" hidden="1">'Заказ дисконтирование'!$K$33</definedName>
    <definedName name="solver_lhs8" localSheetId="6" hidden="1">обчная!$Q$7</definedName>
    <definedName name="solver_lhs8" localSheetId="7" hidden="1">'обычная с изм ценой'!$I$39</definedName>
    <definedName name="solver_lhs9" localSheetId="5" hidden="1">Dгр!$T$2</definedName>
    <definedName name="solver_lhs9" localSheetId="4" hidden="1">'Dгр нефикс'!$I$40</definedName>
    <definedName name="solver_lhs9" localSheetId="3" hidden="1">Zaki!$K$34</definedName>
    <definedName name="solver_lhs9" localSheetId="1" hidden="1">'Дисконт правильно'!$K$37</definedName>
    <definedName name="solver_lhs9" localSheetId="0" hidden="1">'Дисконт правильно и оборудовани'!$K$33</definedName>
    <definedName name="solver_lhs9" localSheetId="2" hidden="1">'Заказ дисконтирование'!$K$34</definedName>
    <definedName name="solver_lhs9" localSheetId="6" hidden="1">обчная!$O$3</definedName>
    <definedName name="solver_lhs9" localSheetId="7" hidden="1">'обычная с изм ценой'!$I$40</definedName>
    <definedName name="solver_lin" localSheetId="3" hidden="1">2</definedName>
    <definedName name="solver_lin" localSheetId="1" hidden="1">2</definedName>
    <definedName name="solver_lin" localSheetId="0" hidden="1">2</definedName>
    <definedName name="solver_lin" localSheetId="2" hidden="1">2</definedName>
    <definedName name="solver_lin" localSheetId="6" hidden="1">2</definedName>
    <definedName name="solver_mip" localSheetId="5" hidden="1">2147483647</definedName>
    <definedName name="solver_mip" localSheetId="4" hidden="1">2147483647</definedName>
    <definedName name="solver_mip" localSheetId="3" hidden="1">2147483647</definedName>
    <definedName name="solver_mip" localSheetId="1" hidden="1">2147483647</definedName>
    <definedName name="solver_mip" localSheetId="0" hidden="1">2147483647</definedName>
    <definedName name="solver_mip" localSheetId="2" hidden="1">2147483647</definedName>
    <definedName name="solver_mip" localSheetId="6" hidden="1">2147483647</definedName>
    <definedName name="solver_mip" localSheetId="7" hidden="1">2147483647</definedName>
    <definedName name="solver_mni" localSheetId="5" hidden="1">30</definedName>
    <definedName name="solver_mni" localSheetId="4" hidden="1">30</definedName>
    <definedName name="solver_mni" localSheetId="3" hidden="1">30</definedName>
    <definedName name="solver_mni" localSheetId="1" hidden="1">30</definedName>
    <definedName name="solver_mni" localSheetId="0" hidden="1">30</definedName>
    <definedName name="solver_mni" localSheetId="2" hidden="1">30</definedName>
    <definedName name="solver_mni" localSheetId="6" hidden="1">30</definedName>
    <definedName name="solver_mni" localSheetId="7" hidden="1">30</definedName>
    <definedName name="solver_mrt" localSheetId="5" hidden="1">0.075</definedName>
    <definedName name="solver_mrt" localSheetId="4" hidden="1">0.075</definedName>
    <definedName name="solver_mrt" localSheetId="3" hidden="1">0.075</definedName>
    <definedName name="solver_mrt" localSheetId="1" hidden="1">0.075</definedName>
    <definedName name="solver_mrt" localSheetId="0" hidden="1">0.075</definedName>
    <definedName name="solver_mrt" localSheetId="2" hidden="1">0.075</definedName>
    <definedName name="solver_mrt" localSheetId="6" hidden="1">0.075</definedName>
    <definedName name="solver_mrt" localSheetId="7" hidden="1">0.075</definedName>
    <definedName name="solver_msl" localSheetId="5" hidden="1">2</definedName>
    <definedName name="solver_msl" localSheetId="4" hidden="1">2</definedName>
    <definedName name="solver_msl" localSheetId="3" hidden="1">2</definedName>
    <definedName name="solver_msl" localSheetId="1" hidden="1">2</definedName>
    <definedName name="solver_msl" localSheetId="0" hidden="1">2</definedName>
    <definedName name="solver_msl" localSheetId="2" hidden="1">2</definedName>
    <definedName name="solver_msl" localSheetId="6" hidden="1">2</definedName>
    <definedName name="solver_msl" localSheetId="7" hidden="1">2</definedName>
    <definedName name="solver_neg" localSheetId="5" hidden="1">2</definedName>
    <definedName name="solver_neg" localSheetId="4" hidden="1">2</definedName>
    <definedName name="solver_neg" localSheetId="3" hidden="1">2</definedName>
    <definedName name="solver_neg" localSheetId="1" hidden="1">2</definedName>
    <definedName name="solver_neg" localSheetId="0" hidden="1">2</definedName>
    <definedName name="solver_neg" localSheetId="2" hidden="1">2</definedName>
    <definedName name="solver_neg" localSheetId="6" hidden="1">2</definedName>
    <definedName name="solver_neg" localSheetId="7" hidden="1">2</definedName>
    <definedName name="solver_nod" localSheetId="5" hidden="1">2147483647</definedName>
    <definedName name="solver_nod" localSheetId="4" hidden="1">2147483647</definedName>
    <definedName name="solver_nod" localSheetId="3" hidden="1">2147483647</definedName>
    <definedName name="solver_nod" localSheetId="1" hidden="1">2147483647</definedName>
    <definedName name="solver_nod" localSheetId="0" hidden="1">2147483647</definedName>
    <definedName name="solver_nod" localSheetId="2" hidden="1">2147483647</definedName>
    <definedName name="solver_nod" localSheetId="6" hidden="1">2147483647</definedName>
    <definedName name="solver_nod" localSheetId="7" hidden="1">2147483647</definedName>
    <definedName name="solver_num" localSheetId="5" hidden="1">27</definedName>
    <definedName name="solver_num" localSheetId="4" hidden="1">24</definedName>
    <definedName name="solver_num" localSheetId="3" hidden="1">25</definedName>
    <definedName name="solver_num" localSheetId="1" hidden="1">27</definedName>
    <definedName name="solver_num" localSheetId="0" hidden="1">31</definedName>
    <definedName name="solver_num" localSheetId="2" hidden="1">25</definedName>
    <definedName name="solver_num" localSheetId="6" hidden="1">19</definedName>
    <definedName name="solver_num" localSheetId="7" hidden="1">24</definedName>
    <definedName name="solver_nwt" localSheetId="5" hidden="1">1</definedName>
    <definedName name="solver_nwt" localSheetId="4" hidden="1">1</definedName>
    <definedName name="solver_nwt" localSheetId="3" hidden="1">1</definedName>
    <definedName name="solver_nwt" localSheetId="1" hidden="1">1</definedName>
    <definedName name="solver_nwt" localSheetId="0" hidden="1">1</definedName>
    <definedName name="solver_nwt" localSheetId="2" hidden="1">1</definedName>
    <definedName name="solver_nwt" localSheetId="6" hidden="1">1</definedName>
    <definedName name="solver_nwt" localSheetId="7" hidden="1">1</definedName>
    <definedName name="solver_opt" localSheetId="5" hidden="1">Dгр!$Q$9</definedName>
    <definedName name="solver_opt" localSheetId="4" hidden="1">'Dгр нефикс'!$Q$9</definedName>
    <definedName name="solver_opt" localSheetId="3" hidden="1">Zaki!$Q$9</definedName>
    <definedName name="solver_opt" localSheetId="1" hidden="1">'Дисконт правильно'!$Q$11</definedName>
    <definedName name="solver_opt" localSheetId="0" hidden="1">'Дисконт правильно и оборудовани'!$Q$11</definedName>
    <definedName name="solver_opt" localSheetId="2" hidden="1">'Заказ дисконтирование'!$Q$9</definedName>
    <definedName name="solver_opt" localSheetId="6" hidden="1">обчная!$Q$9</definedName>
    <definedName name="solver_opt" localSheetId="7" hidden="1">'обычная с изм ценой'!$Q$9</definedName>
    <definedName name="solver_pre" localSheetId="5" hidden="1">0.000001</definedName>
    <definedName name="solver_pre" localSheetId="4" hidden="1">0.000001</definedName>
    <definedName name="solver_pre" localSheetId="3" hidden="1">0.000001</definedName>
    <definedName name="solver_pre" localSheetId="1" hidden="1">0.000001</definedName>
    <definedName name="solver_pre" localSheetId="0" hidden="1">0.000001</definedName>
    <definedName name="solver_pre" localSheetId="2" hidden="1">0.000001</definedName>
    <definedName name="solver_pre" localSheetId="6" hidden="1">0.000001</definedName>
    <definedName name="solver_pre" localSheetId="7" hidden="1">0.000001</definedName>
    <definedName name="solver_rbv" localSheetId="5" hidden="1">2</definedName>
    <definedName name="solver_rbv" localSheetId="4" hidden="1">2</definedName>
    <definedName name="solver_rbv" localSheetId="3" hidden="1">2</definedName>
    <definedName name="solver_rbv" localSheetId="1" hidden="1">1</definedName>
    <definedName name="solver_rbv" localSheetId="0" hidden="1">1</definedName>
    <definedName name="solver_rbv" localSheetId="2" hidden="1">2</definedName>
    <definedName name="solver_rbv" localSheetId="6" hidden="1">2</definedName>
    <definedName name="solver_rbv" localSheetId="7" hidden="1">2</definedName>
    <definedName name="solver_rel1" localSheetId="5" hidden="1">3</definedName>
    <definedName name="solver_rel1" localSheetId="4" hidden="1">1</definedName>
    <definedName name="solver_rel1" localSheetId="3" hidden="1">3</definedName>
    <definedName name="solver_rel1" localSheetId="1" hidden="1">1</definedName>
    <definedName name="solver_rel1" localSheetId="0" hidden="1">1</definedName>
    <definedName name="solver_rel1" localSheetId="2" hidden="1">3</definedName>
    <definedName name="solver_rel1" localSheetId="6" hidden="1">1</definedName>
    <definedName name="solver_rel1" localSheetId="7" hidden="1">1</definedName>
    <definedName name="solver_rel10" localSheetId="5" hidden="1">3</definedName>
    <definedName name="solver_rel10" localSheetId="4" hidden="1">1</definedName>
    <definedName name="solver_rel10" localSheetId="3" hidden="1">3</definedName>
    <definedName name="solver_rel10" localSheetId="1" hidden="1">1</definedName>
    <definedName name="solver_rel10" localSheetId="0" hidden="1">3</definedName>
    <definedName name="solver_rel10" localSheetId="2" hidden="1">3</definedName>
    <definedName name="solver_rel10" localSheetId="6" hidden="1">1</definedName>
    <definedName name="solver_rel10" localSheetId="7" hidden="1">1</definedName>
    <definedName name="solver_rel11" localSheetId="5" hidden="1">4</definedName>
    <definedName name="solver_rel11" localSheetId="4" hidden="1">1</definedName>
    <definedName name="solver_rel11" localSheetId="3" hidden="1">1</definedName>
    <definedName name="solver_rel11" localSheetId="1" hidden="1">1</definedName>
    <definedName name="solver_rel11" localSheetId="0" hidden="1">1</definedName>
    <definedName name="solver_rel11" localSheetId="2" hidden="1">1</definedName>
    <definedName name="solver_rel11" localSheetId="6" hidden="1">4</definedName>
    <definedName name="solver_rel11" localSheetId="7" hidden="1">1</definedName>
    <definedName name="solver_rel12" localSheetId="5" hidden="1">1</definedName>
    <definedName name="solver_rel12" localSheetId="4" hidden="1">1</definedName>
    <definedName name="solver_rel12" localSheetId="3" hidden="1">3</definedName>
    <definedName name="solver_rel12" localSheetId="1" hidden="1">1</definedName>
    <definedName name="solver_rel12" localSheetId="0" hidden="1">1</definedName>
    <definedName name="solver_rel12" localSheetId="2" hidden="1">3</definedName>
    <definedName name="solver_rel12" localSheetId="6" hidden="1">3</definedName>
    <definedName name="solver_rel12" localSheetId="7" hidden="1">1</definedName>
    <definedName name="solver_rel13" localSheetId="5" hidden="1">1</definedName>
    <definedName name="solver_rel13" localSheetId="4" hidden="1">1</definedName>
    <definedName name="solver_rel13" localSheetId="3" hidden="1">3</definedName>
    <definedName name="solver_rel13" localSheetId="1" hidden="1">1</definedName>
    <definedName name="solver_rel13" localSheetId="0" hidden="1">1</definedName>
    <definedName name="solver_rel13" localSheetId="2" hidden="1">3</definedName>
    <definedName name="solver_rel13" localSheetId="6" hidden="1">1</definedName>
    <definedName name="solver_rel13" localSheetId="7" hidden="1">1</definedName>
    <definedName name="solver_rel14" localSheetId="5" hidden="1">3</definedName>
    <definedName name="solver_rel14" localSheetId="4" hidden="1">4</definedName>
    <definedName name="solver_rel14" localSheetId="3" hidden="1">3</definedName>
    <definedName name="solver_rel14" localSheetId="1" hidden="1">1</definedName>
    <definedName name="solver_rel14" localSheetId="0" hidden="1">1</definedName>
    <definedName name="solver_rel14" localSheetId="2" hidden="1">3</definedName>
    <definedName name="solver_rel14" localSheetId="6" hidden="1">1</definedName>
    <definedName name="solver_rel14" localSheetId="7" hidden="1">4</definedName>
    <definedName name="solver_rel15" localSheetId="5" hidden="1">4</definedName>
    <definedName name="solver_rel15" localSheetId="4" hidden="1">3</definedName>
    <definedName name="solver_rel15" localSheetId="3" hidden="1">4</definedName>
    <definedName name="solver_rel15" localSheetId="1" hidden="1">1</definedName>
    <definedName name="solver_rel15" localSheetId="0" hidden="1">1</definedName>
    <definedName name="solver_rel15" localSheetId="2" hidden="1">4</definedName>
    <definedName name="solver_rel15" localSheetId="6" hidden="1">4</definedName>
    <definedName name="solver_rel15" localSheetId="7" hidden="1">3</definedName>
    <definedName name="solver_rel16" localSheetId="5" hidden="1">3</definedName>
    <definedName name="solver_rel16" localSheetId="4" hidden="1">4</definedName>
    <definedName name="solver_rel16" localSheetId="3" hidden="1">3</definedName>
    <definedName name="solver_rel16" localSheetId="1" hidden="1">1</definedName>
    <definedName name="solver_rel16" localSheetId="0" hidden="1">1</definedName>
    <definedName name="solver_rel16" localSheetId="2" hidden="1">3</definedName>
    <definedName name="solver_rel16" localSheetId="6" hidden="1">3</definedName>
    <definedName name="solver_rel16" localSheetId="7" hidden="1">4</definedName>
    <definedName name="solver_rel17" localSheetId="5" hidden="1">1</definedName>
    <definedName name="solver_rel17" localSheetId="4" hidden="1">4</definedName>
    <definedName name="solver_rel17" localSheetId="3" hidden="1">4</definedName>
    <definedName name="solver_rel17" localSheetId="1" hidden="1">1</definedName>
    <definedName name="solver_rel17" localSheetId="0" hidden="1">1</definedName>
    <definedName name="solver_rel17" localSheetId="2" hidden="1">4</definedName>
    <definedName name="solver_rel17" localSheetId="6" hidden="1">1</definedName>
    <definedName name="solver_rel17" localSheetId="7" hidden="1">4</definedName>
    <definedName name="solver_rel18" localSheetId="5" hidden="1">1</definedName>
    <definedName name="solver_rel18" localSheetId="4" hidden="1">1</definedName>
    <definedName name="solver_rel18" localSheetId="3" hidden="1">3</definedName>
    <definedName name="solver_rel18" localSheetId="1" hidden="1">1</definedName>
    <definedName name="solver_rel18" localSheetId="0" hidden="1">1</definedName>
    <definedName name="solver_rel18" localSheetId="2" hidden="1">3</definedName>
    <definedName name="solver_rel18" localSheetId="6" hidden="1">1</definedName>
    <definedName name="solver_rel18" localSheetId="7" hidden="1">1</definedName>
    <definedName name="solver_rel19" localSheetId="5" hidden="1">4</definedName>
    <definedName name="solver_rel19" localSheetId="4" hidden="1">4</definedName>
    <definedName name="solver_rel19" localSheetId="3" hidden="1">3</definedName>
    <definedName name="solver_rel19" localSheetId="1" hidden="1">1</definedName>
    <definedName name="solver_rel19" localSheetId="0" hidden="1">1</definedName>
    <definedName name="solver_rel19" localSheetId="2" hidden="1">3</definedName>
    <definedName name="solver_rel19" localSheetId="6" hidden="1">4</definedName>
    <definedName name="solver_rel19" localSheetId="7" hidden="1">4</definedName>
    <definedName name="solver_rel2" localSheetId="5" hidden="1">3</definedName>
    <definedName name="solver_rel2" localSheetId="4" hidden="1">3</definedName>
    <definedName name="solver_rel2" localSheetId="3" hidden="1">3</definedName>
    <definedName name="solver_rel2" localSheetId="1" hidden="1">1</definedName>
    <definedName name="solver_rel2" localSheetId="0" hidden="1">1</definedName>
    <definedName name="solver_rel2" localSheetId="2" hidden="1">3</definedName>
    <definedName name="solver_rel2" localSheetId="6" hidden="1">1</definedName>
    <definedName name="solver_rel2" localSheetId="7" hidden="1">3</definedName>
    <definedName name="solver_rel20" localSheetId="5" hidden="1">3</definedName>
    <definedName name="solver_rel20" localSheetId="4" hidden="1">3</definedName>
    <definedName name="solver_rel20" localSheetId="3" hidden="1">3</definedName>
    <definedName name="solver_rel20" localSheetId="1" hidden="1">1</definedName>
    <definedName name="solver_rel20" localSheetId="0" hidden="1">1</definedName>
    <definedName name="solver_rel20" localSheetId="2" hidden="1">3</definedName>
    <definedName name="solver_rel20" localSheetId="6" hidden="1">4</definedName>
    <definedName name="solver_rel20" localSheetId="7" hidden="1">3</definedName>
    <definedName name="solver_rel21" localSheetId="5" hidden="1">3</definedName>
    <definedName name="solver_rel21" localSheetId="4" hidden="1">1</definedName>
    <definedName name="solver_rel21" localSheetId="3" hidden="1">4</definedName>
    <definedName name="solver_rel21" localSheetId="1" hidden="1">4</definedName>
    <definedName name="solver_rel21" localSheetId="0" hidden="1">1</definedName>
    <definedName name="solver_rel21" localSheetId="2" hidden="1">4</definedName>
    <definedName name="solver_rel21" localSheetId="6" hidden="1">4</definedName>
    <definedName name="solver_rel21" localSheetId="7" hidden="1">1</definedName>
    <definedName name="solver_rel22" localSheetId="5" hidden="1">1</definedName>
    <definedName name="solver_rel22" localSheetId="4" hidden="1">4</definedName>
    <definedName name="solver_rel22" localSheetId="3" hidden="1">4</definedName>
    <definedName name="solver_rel22" localSheetId="1" hidden="1">3</definedName>
    <definedName name="solver_rel22" localSheetId="0" hidden="1">1</definedName>
    <definedName name="solver_rel22" localSheetId="2" hidden="1">4</definedName>
    <definedName name="solver_rel22" localSheetId="7" hidden="1">4</definedName>
    <definedName name="solver_rel23" localSheetId="5" hidden="1">4</definedName>
    <definedName name="solver_rel23" localSheetId="4" hidden="1">1</definedName>
    <definedName name="solver_rel23" localSheetId="3" hidden="1">3</definedName>
    <definedName name="solver_rel23" localSheetId="1" hidden="1">4</definedName>
    <definedName name="solver_rel23" localSheetId="0" hidden="1">1</definedName>
    <definedName name="solver_rel23" localSheetId="2" hidden="1">3</definedName>
    <definedName name="solver_rel23" localSheetId="7" hidden="1">1</definedName>
    <definedName name="solver_rel24" localSheetId="5" hidden="1">1</definedName>
    <definedName name="solver_rel24" localSheetId="4" hidden="1">4</definedName>
    <definedName name="solver_rel24" localSheetId="3" hidden="1">4</definedName>
    <definedName name="solver_rel24" localSheetId="1" hidden="1">3</definedName>
    <definedName name="solver_rel24" localSheetId="0" hidden="1">4</definedName>
    <definedName name="solver_rel24" localSheetId="2" hidden="1">4</definedName>
    <definedName name="solver_rel24" localSheetId="7" hidden="1">4</definedName>
    <definedName name="solver_rel25" localSheetId="5" hidden="1">3</definedName>
    <definedName name="solver_rel25" localSheetId="3" hidden="1">4</definedName>
    <definedName name="solver_rel25" localSheetId="1" hidden="1">4</definedName>
    <definedName name="solver_rel25" localSheetId="0" hidden="1">3</definedName>
    <definedName name="solver_rel25" localSheetId="2" hidden="1">4</definedName>
    <definedName name="solver_rel26" localSheetId="5" hidden="1">4</definedName>
    <definedName name="solver_rel26" localSheetId="1" hidden="1">3</definedName>
    <definedName name="solver_rel26" localSheetId="0" hidden="1">4</definedName>
    <definedName name="solver_rel26" localSheetId="2" hidden="1">3</definedName>
    <definedName name="solver_rel27" localSheetId="5" hidden="1">3</definedName>
    <definedName name="solver_rel27" localSheetId="1" hidden="1">1</definedName>
    <definedName name="solver_rel27" localSheetId="0" hidden="1">3</definedName>
    <definedName name="solver_rel27" localSheetId="2" hidden="1">3</definedName>
    <definedName name="solver_rel28" localSheetId="1" hidden="1">1</definedName>
    <definedName name="solver_rel28" localSheetId="0" hidden="1">4</definedName>
    <definedName name="solver_rel28" localSheetId="2" hidden="1">3</definedName>
    <definedName name="solver_rel29" localSheetId="1" hidden="1">3</definedName>
    <definedName name="solver_rel29" localSheetId="0" hidden="1">3</definedName>
    <definedName name="solver_rel3" localSheetId="5" hidden="1">1</definedName>
    <definedName name="solver_rel3" localSheetId="4" hidden="1">1</definedName>
    <definedName name="solver_rel3" localSheetId="3" hidden="1">3</definedName>
    <definedName name="solver_rel3" localSheetId="1" hidden="1">1</definedName>
    <definedName name="solver_rel3" localSheetId="0" hidden="1">1</definedName>
    <definedName name="solver_rel3" localSheetId="2" hidden="1">3</definedName>
    <definedName name="solver_rel3" localSheetId="6" hidden="1">1</definedName>
    <definedName name="solver_rel3" localSheetId="7" hidden="1">1</definedName>
    <definedName name="solver_rel30" localSheetId="1" hidden="1">3</definedName>
    <definedName name="solver_rel30" localSheetId="0" hidden="1">4</definedName>
    <definedName name="solver_rel31" localSheetId="1" hidden="1">3</definedName>
    <definedName name="solver_rel31" localSheetId="0" hidden="1">3</definedName>
    <definedName name="solver_rel32" localSheetId="1" hidden="1">3</definedName>
    <definedName name="solver_rel32" localSheetId="0" hidden="1">3</definedName>
    <definedName name="solver_rel33" localSheetId="1" hidden="1">3</definedName>
    <definedName name="solver_rel33" localSheetId="0" hidden="1">3</definedName>
    <definedName name="solver_rel34" localSheetId="1" hidden="1">3</definedName>
    <definedName name="solver_rel34" localSheetId="0" hidden="1">3</definedName>
    <definedName name="solver_rel35" localSheetId="1" hidden="1">3</definedName>
    <definedName name="solver_rel35" localSheetId="0" hidden="1">3</definedName>
    <definedName name="solver_rel36" localSheetId="1" hidden="1">3</definedName>
    <definedName name="solver_rel36" localSheetId="0" hidden="1">3</definedName>
    <definedName name="solver_rel37" localSheetId="1" hidden="1">3</definedName>
    <definedName name="solver_rel37" localSheetId="0" hidden="1">3</definedName>
    <definedName name="solver_rel38" localSheetId="1" hidden="1">3</definedName>
    <definedName name="solver_rel38" localSheetId="0" hidden="1">3</definedName>
    <definedName name="solver_rel39" localSheetId="1" hidden="1">3</definedName>
    <definedName name="solver_rel39" localSheetId="0" hidden="1">3</definedName>
    <definedName name="solver_rel4" localSheetId="5" hidden="1">1</definedName>
    <definedName name="solver_rel4" localSheetId="4" hidden="1">3</definedName>
    <definedName name="solver_rel4" localSheetId="3" hidden="1">3</definedName>
    <definedName name="solver_rel4" localSheetId="1" hidden="1">1</definedName>
    <definedName name="solver_rel4" localSheetId="0" hidden="1">1</definedName>
    <definedName name="solver_rel4" localSheetId="2" hidden="1">3</definedName>
    <definedName name="solver_rel4" localSheetId="6" hidden="1">1</definedName>
    <definedName name="solver_rel4" localSheetId="7" hidden="1">3</definedName>
    <definedName name="solver_rel40" localSheetId="1" hidden="1">3</definedName>
    <definedName name="solver_rel40" localSheetId="0" hidden="1">3</definedName>
    <definedName name="solver_rel5" localSheetId="5" hidden="1">1</definedName>
    <definedName name="solver_rel5" localSheetId="4" hidden="1">1</definedName>
    <definedName name="solver_rel5" localSheetId="3" hidden="1">3</definedName>
    <definedName name="solver_rel5" localSheetId="1" hidden="1">1</definedName>
    <definedName name="solver_rel5" localSheetId="0" hidden="1">1</definedName>
    <definedName name="solver_rel5" localSheetId="2" hidden="1">3</definedName>
    <definedName name="solver_rel5" localSheetId="6" hidden="1">4</definedName>
    <definedName name="solver_rel5" localSheetId="7" hidden="1">1</definedName>
    <definedName name="solver_rel6" localSheetId="5" hidden="1">1</definedName>
    <definedName name="solver_rel6" localSheetId="4" hidden="1">3</definedName>
    <definedName name="solver_rel6" localSheetId="3" hidden="1">3</definedName>
    <definedName name="solver_rel6" localSheetId="1" hidden="1">1</definedName>
    <definedName name="solver_rel6" localSheetId="0" hidden="1">1</definedName>
    <definedName name="solver_rel6" localSheetId="2" hidden="1">3</definedName>
    <definedName name="solver_rel6" localSheetId="6" hidden="1">3</definedName>
    <definedName name="solver_rel6" localSheetId="7" hidden="1">3</definedName>
    <definedName name="solver_rel7" localSheetId="5" hidden="1">4</definedName>
    <definedName name="solver_rel7" localSheetId="4" hidden="1">1</definedName>
    <definedName name="solver_rel7" localSheetId="3" hidden="1">3</definedName>
    <definedName name="solver_rel7" localSheetId="1" hidden="1">3</definedName>
    <definedName name="solver_rel7" localSheetId="0" hidden="1">1</definedName>
    <definedName name="solver_rel7" localSheetId="2" hidden="1">3</definedName>
    <definedName name="solver_rel7" localSheetId="6" hidden="1">4</definedName>
    <definedName name="solver_rel7" localSheetId="7" hidden="1">1</definedName>
    <definedName name="solver_rel8" localSheetId="5" hidden="1">4</definedName>
    <definedName name="solver_rel8" localSheetId="4" hidden="1">1</definedName>
    <definedName name="solver_rel8" localSheetId="3" hidden="1">3</definedName>
    <definedName name="solver_rel8" localSheetId="1" hidden="1">3</definedName>
    <definedName name="solver_rel8" localSheetId="0" hidden="1">1</definedName>
    <definedName name="solver_rel8" localSheetId="2" hidden="1">3</definedName>
    <definedName name="solver_rel8" localSheetId="6" hidden="1">4</definedName>
    <definedName name="solver_rel8" localSheetId="7" hidden="1">1</definedName>
    <definedName name="solver_rel9" localSheetId="5" hidden="1">1</definedName>
    <definedName name="solver_rel9" localSheetId="4" hidden="1">1</definedName>
    <definedName name="solver_rel9" localSheetId="3" hidden="1">3</definedName>
    <definedName name="solver_rel9" localSheetId="1" hidden="1">1</definedName>
    <definedName name="solver_rel9" localSheetId="0" hidden="1">3</definedName>
    <definedName name="solver_rel9" localSheetId="2" hidden="1">3</definedName>
    <definedName name="solver_rel9" localSheetId="6" hidden="1">1</definedName>
    <definedName name="solver_rel9" localSheetId="7" hidden="1">1</definedName>
    <definedName name="solver_rhs1" localSheetId="5" hidden="1">Dгр!$G$23</definedName>
    <definedName name="solver_rhs1" localSheetId="4" hidden="1">'Dгр нефикс'!$K$29</definedName>
    <definedName name="solver_rhs1" localSheetId="3" hidden="1">Zaki!$K$39</definedName>
    <definedName name="solver_rhs1" localSheetId="1" hidden="1">'Дисконт правильно'!$K$22</definedName>
    <definedName name="solver_rhs1" localSheetId="0" hidden="1">'Дисконт правильно и оборудовани'!$K$22</definedName>
    <definedName name="solver_rhs1" localSheetId="2" hidden="1">'Заказ дисконтирование'!$K$39</definedName>
    <definedName name="solver_rhs1" localSheetId="6" hidden="1">обчная!$U$3</definedName>
    <definedName name="solver_rhs1" localSheetId="7" hidden="1">'обычная с изм ценой'!$K$29</definedName>
    <definedName name="solver_rhs10" localSheetId="5" hidden="1">0</definedName>
    <definedName name="solver_rhs10" localSheetId="4" hidden="1">'Dгр нефикс'!$U$2</definedName>
    <definedName name="solver_rhs10" localSheetId="3" hidden="1">Zaki!$I$35</definedName>
    <definedName name="solver_rhs10" localSheetId="1" hidden="1">'Дисконт правильно'!$I$38</definedName>
    <definedName name="solver_rhs10" localSheetId="0" hidden="1">'Дисконт правильно и оборудовани'!$I$35</definedName>
    <definedName name="solver_rhs10" localSheetId="2" hidden="1">'Заказ дисконтирование'!$I$35</definedName>
    <definedName name="solver_rhs10" localSheetId="6" hidden="1">обчная!$G$15</definedName>
    <definedName name="solver_rhs10" localSheetId="7" hidden="1">'обычная с изм ценой'!$U$2</definedName>
    <definedName name="solver_rhs11" localSheetId="5" hidden="1">целое</definedName>
    <definedName name="solver_rhs11" localSheetId="4" hidden="1">'Dгр нефикс'!$U$3</definedName>
    <definedName name="solver_rhs11" localSheetId="3" hidden="1">Zaki!$I$37</definedName>
    <definedName name="solver_rhs11" localSheetId="1" hidden="1">'Дисконт правильно'!$I$39</definedName>
    <definedName name="solver_rhs11" localSheetId="0" hidden="1">'Дисконт правильно и оборудовани'!$I$37</definedName>
    <definedName name="solver_rhs11" localSheetId="2" hidden="1">'Заказ дисконтирование'!$I$37</definedName>
    <definedName name="solver_rhs11" localSheetId="6" hidden="1">целое</definedName>
    <definedName name="solver_rhs11" localSheetId="7" hidden="1">'обычная с изм ценой'!$U$3</definedName>
    <definedName name="solver_rhs12" localSheetId="5" hidden="1">Dгр!$T$9</definedName>
    <definedName name="solver_rhs12" localSheetId="4" hidden="1">'Dгр нефикс'!$U$4</definedName>
    <definedName name="solver_rhs12" localSheetId="3" hidden="1">0</definedName>
    <definedName name="solver_rhs12" localSheetId="1" hidden="1">'Дисконт правильно'!$O$22</definedName>
    <definedName name="solver_rhs12" localSheetId="0" hidden="1">'Дисконт правильно и оборудовани'!$I$38</definedName>
    <definedName name="solver_rhs12" localSheetId="2" hidden="1">0</definedName>
    <definedName name="solver_rhs12" localSheetId="6" hidden="1">1</definedName>
    <definedName name="solver_rhs12" localSheetId="7" hidden="1">'обычная с изм ценой'!$U$4</definedName>
    <definedName name="solver_rhs13" localSheetId="5" hidden="1">Dгр!$T$7</definedName>
    <definedName name="solver_rhs13" localSheetId="4" hidden="1">'Dгр нефикс'!ф</definedName>
    <definedName name="solver_rhs13" localSheetId="3" hidden="1">Zaki!$I$24</definedName>
    <definedName name="solver_rhs13" localSheetId="1" hidden="1">'Дисконт правильно'!$O$23</definedName>
    <definedName name="solver_rhs13" localSheetId="0" hidden="1">'Дисконт правильно и оборудовани'!$I$39</definedName>
    <definedName name="solver_rhs13" localSheetId="2" hidden="1">'Заказ дисконтирование'!$I$24</definedName>
    <definedName name="solver_rhs13" localSheetId="6" hidden="1">обчная!$T$8</definedName>
    <definedName name="solver_rhs13" localSheetId="7" hidden="1">ф</definedName>
    <definedName name="solver_rhs14" localSheetId="5" hidden="1">1</definedName>
    <definedName name="solver_rhs14" localSheetId="4" hidden="1">целое</definedName>
    <definedName name="solver_rhs14" localSheetId="3" hidden="1">0</definedName>
    <definedName name="solver_rhs14" localSheetId="1" hidden="1">'Дисконт правильно'!$O$24</definedName>
    <definedName name="solver_rhs14" localSheetId="0" hidden="1">'Дисконт правильно и оборудовани'!$O$22</definedName>
    <definedName name="solver_rhs14" localSheetId="2" hidden="1">0</definedName>
    <definedName name="solver_rhs14" localSheetId="6" hidden="1">обчная!$H$15</definedName>
    <definedName name="solver_rhs14" localSheetId="7" hidden="1">целое</definedName>
    <definedName name="solver_rhs15" localSheetId="5" hidden="1">целое</definedName>
    <definedName name="solver_rhs15" localSheetId="4" hidden="1">1</definedName>
    <definedName name="solver_rhs15" localSheetId="3" hidden="1">целое</definedName>
    <definedName name="solver_rhs15" localSheetId="1" hidden="1">'Дисконт правильно'!$O$33</definedName>
    <definedName name="solver_rhs15" localSheetId="0" hidden="1">'Дисконт правильно и оборудовани'!$O$23</definedName>
    <definedName name="solver_rhs15" localSheetId="2" hidden="1">целое</definedName>
    <definedName name="solver_rhs15" localSheetId="6" hidden="1">целое</definedName>
    <definedName name="solver_rhs15" localSheetId="7" hidden="1">1</definedName>
    <definedName name="solver_rhs16" localSheetId="5" hidden="1">1</definedName>
    <definedName name="solver_rhs16" localSheetId="4" hidden="1">целое</definedName>
    <definedName name="solver_rhs16" localSheetId="3" hidden="1">0</definedName>
    <definedName name="solver_rhs16" localSheetId="1" hidden="1">'Дисконт правильно'!$O$34</definedName>
    <definedName name="solver_rhs16" localSheetId="0" hidden="1">'Дисконт правильно и оборудовани'!$O$24</definedName>
    <definedName name="solver_rhs16" localSheetId="2" hidden="1">0</definedName>
    <definedName name="solver_rhs16" localSheetId="6" hidden="1">1</definedName>
    <definedName name="solver_rhs16" localSheetId="7" hidden="1">целое</definedName>
    <definedName name="solver_rhs17" localSheetId="5" hidden="1">Dгр!$G$15</definedName>
    <definedName name="solver_rhs17" localSheetId="4" hidden="1">целое</definedName>
    <definedName name="solver_rhs17" localSheetId="3" hidden="1">целое</definedName>
    <definedName name="solver_rhs17" localSheetId="1" hidden="1">'Дисконт правильно'!$O$35</definedName>
    <definedName name="solver_rhs17" localSheetId="0" hidden="1">'Дисконт правильно и оборудовани'!$O$27</definedName>
    <definedName name="solver_rhs17" localSheetId="2" hidden="1">целое</definedName>
    <definedName name="solver_rhs17" localSheetId="6" hidden="1">обчная!$T$9</definedName>
    <definedName name="solver_rhs17" localSheetId="7" hidden="1">целое</definedName>
    <definedName name="solver_rhs18" localSheetId="5" hidden="1">Dгр!$T$8</definedName>
    <definedName name="solver_rhs18" localSheetId="4" hidden="1">'Dгр нефикс'!$T$7</definedName>
    <definedName name="solver_rhs18" localSheetId="3" hidden="1">Zaki!$I$33</definedName>
    <definedName name="solver_rhs18" localSheetId="1" hidden="1">'Дисконт правильно'!$M$37</definedName>
    <definedName name="solver_rhs18" localSheetId="0" hidden="1">'Дисконт правильно и оборудовани'!$O$33</definedName>
    <definedName name="solver_rhs18" localSheetId="2" hidden="1">'Заказ дисконтирование'!$I$33</definedName>
    <definedName name="solver_rhs18" localSheetId="6" hidden="1">обчная!$I$15</definedName>
    <definedName name="solver_rhs18" localSheetId="7" hidden="1">'обычная с изм ценой'!$T$7</definedName>
    <definedName name="solver_rhs19" localSheetId="5" hidden="1">целое</definedName>
    <definedName name="solver_rhs19" localSheetId="4" hidden="1">целое</definedName>
    <definedName name="solver_rhs19" localSheetId="3" hidden="1">0</definedName>
    <definedName name="solver_rhs19" localSheetId="1" hidden="1">'Дисконт правильно'!$M$38</definedName>
    <definedName name="solver_rhs19" localSheetId="0" hidden="1">'Дисконт правильно и оборудовани'!$O$34</definedName>
    <definedName name="solver_rhs19" localSheetId="2" hidden="1">0</definedName>
    <definedName name="solver_rhs19" localSheetId="6" hidden="1">целое</definedName>
    <definedName name="solver_rhs19" localSheetId="7" hidden="1">целое</definedName>
    <definedName name="solver_rhs2" localSheetId="5" hidden="1">Dгр!$K$28</definedName>
    <definedName name="solver_rhs2" localSheetId="4" hidden="1">'Dгр нефикс'!$G$29</definedName>
    <definedName name="solver_rhs2" localSheetId="3" hidden="1">Zaki!$I$22</definedName>
    <definedName name="solver_rhs2" localSheetId="1" hidden="1">'Дисконт правильно'!$K$24</definedName>
    <definedName name="solver_rhs2" localSheetId="0" hidden="1">'Дисконт правильно и оборудовани'!$K$23</definedName>
    <definedName name="solver_rhs2" localSheetId="2" hidden="1">'Заказ дисконтирование'!$I$22</definedName>
    <definedName name="solver_rhs2" localSheetId="6" hidden="1">обчная!$U$2</definedName>
    <definedName name="solver_rhs2" localSheetId="7" hidden="1">'обычная с изм ценой'!$G$29</definedName>
    <definedName name="solver_rhs20" localSheetId="5" hidden="1">1</definedName>
    <definedName name="solver_rhs20" localSheetId="4" hidden="1">1</definedName>
    <definedName name="solver_rhs20" localSheetId="3" hidden="1">0</definedName>
    <definedName name="solver_rhs20" localSheetId="1" hidden="1">'Дисконт правильно'!$M$39</definedName>
    <definedName name="solver_rhs20" localSheetId="0" hidden="1">'Дисконт правильно и оборудовани'!$O$35</definedName>
    <definedName name="solver_rhs20" localSheetId="2" hidden="1">0</definedName>
    <definedName name="solver_rhs20" localSheetId="6" hidden="1">целое</definedName>
    <definedName name="solver_rhs20" localSheetId="7" hidden="1">1</definedName>
    <definedName name="solver_rhs21" localSheetId="5" hidden="1">1</definedName>
    <definedName name="solver_rhs21" localSheetId="4" hidden="1">'Dгр нефикс'!$T$8</definedName>
    <definedName name="solver_rhs21" localSheetId="3" hidden="1">целое</definedName>
    <definedName name="solver_rhs21" localSheetId="1" hidden="1">целое</definedName>
    <definedName name="solver_rhs21" localSheetId="0" hidden="1">'Дисконт правильно и оборудовани'!$M$37</definedName>
    <definedName name="solver_rhs21" localSheetId="2" hidden="1">целое</definedName>
    <definedName name="solver_rhs21" localSheetId="6" hidden="1">целое</definedName>
    <definedName name="solver_rhs21" localSheetId="7" hidden="1">'обычная с изм ценой'!$T$8</definedName>
    <definedName name="solver_rhs22" localSheetId="5" hidden="1">Dгр!$H$15</definedName>
    <definedName name="solver_rhs22" localSheetId="4" hidden="1">целое</definedName>
    <definedName name="solver_rhs22" localSheetId="3" hidden="1">целое</definedName>
    <definedName name="solver_rhs22" localSheetId="1" hidden="1">0</definedName>
    <definedName name="solver_rhs22" localSheetId="0" hidden="1">'Дисконт правильно и оборудовани'!$M$38</definedName>
    <definedName name="solver_rhs22" localSheetId="2" hidden="1">целое</definedName>
    <definedName name="solver_rhs22" localSheetId="7" hidden="1">целое</definedName>
    <definedName name="solver_rhs23" localSheetId="5" hidden="1">целое</definedName>
    <definedName name="solver_rhs23" localSheetId="4" hidden="1">'Dгр нефикс'!$T$9</definedName>
    <definedName name="solver_rhs23" localSheetId="3" hidden="1">0</definedName>
    <definedName name="solver_rhs23" localSheetId="1" hidden="1">целое</definedName>
    <definedName name="solver_rhs23" localSheetId="0" hidden="1">'Дисконт правильно и оборудовани'!$M$39</definedName>
    <definedName name="solver_rhs23" localSheetId="2" hidden="1">0</definedName>
    <definedName name="solver_rhs23" localSheetId="7" hidden="1">'обычная с изм ценой'!$T$9</definedName>
    <definedName name="solver_rhs24" localSheetId="5" hidden="1">Dгр!$I$15</definedName>
    <definedName name="solver_rhs24" localSheetId="4" hidden="1">целое</definedName>
    <definedName name="solver_rhs24" localSheetId="3" hidden="1">целое</definedName>
    <definedName name="solver_rhs24" localSheetId="1" hidden="1">0</definedName>
    <definedName name="solver_rhs24" localSheetId="0" hidden="1">целое</definedName>
    <definedName name="solver_rhs24" localSheetId="2" hidden="1">целое</definedName>
    <definedName name="solver_rhs24" localSheetId="7" hidden="1">целое</definedName>
    <definedName name="solver_rhs25" localSheetId="5" hidden="1">1</definedName>
    <definedName name="solver_rhs25" localSheetId="3" hidden="1">целое</definedName>
    <definedName name="solver_rhs25" localSheetId="1" hidden="1">целое</definedName>
    <definedName name="solver_rhs25" localSheetId="0" hidden="1">0</definedName>
    <definedName name="solver_rhs25" localSheetId="2" hidden="1">целое</definedName>
    <definedName name="solver_rhs26" localSheetId="5" hidden="1">целое</definedName>
    <definedName name="solver_rhs26" localSheetId="1" hidden="1">0</definedName>
    <definedName name="solver_rhs26" localSheetId="0" hidden="1">целое</definedName>
    <definedName name="solver_rhs26" localSheetId="2" hidden="1">'Заказ дисконтирование'!$K$38</definedName>
    <definedName name="solver_rhs27" localSheetId="5" hidden="1">0</definedName>
    <definedName name="solver_rhs27" localSheetId="1" hidden="1">'Дисконт правильно'!$K$23</definedName>
    <definedName name="solver_rhs27" localSheetId="0" hidden="1">0</definedName>
    <definedName name="solver_rhs27" localSheetId="2" hidden="1">'Заказ дисконтирование'!$K$39</definedName>
    <definedName name="solver_rhs28" localSheetId="1" hidden="1">'Дисконт правильно'!$I$37</definedName>
    <definedName name="solver_rhs28" localSheetId="0" hidden="1">целое</definedName>
    <definedName name="solver_rhs28" localSheetId="2" hidden="1">'Заказ дисконтирование'!$I$22</definedName>
    <definedName name="solver_rhs29" localSheetId="1" hidden="1">0</definedName>
    <definedName name="solver_rhs29" localSheetId="0" hidden="1">0</definedName>
    <definedName name="solver_rhs3" localSheetId="5" hidden="1">Dгр!$K$23</definedName>
    <definedName name="solver_rhs3" localSheetId="4" hidden="1">'Dгр нефикс'!$K$30</definedName>
    <definedName name="solver_rhs3" localSheetId="3" hidden="1">Zaki!$K$38</definedName>
    <definedName name="solver_rhs3" localSheetId="1" hidden="1">'Дисконт правильно'!$K$27</definedName>
    <definedName name="solver_rhs3" localSheetId="0" hidden="1">'Дисконт правильно и оборудовани'!$K$24</definedName>
    <definedName name="solver_rhs3" localSheetId="2" hidden="1">'Заказ дисконтирование'!$K$38</definedName>
    <definedName name="solver_rhs3" localSheetId="6" hidden="1">обчная!$U$4</definedName>
    <definedName name="solver_rhs3" localSheetId="7" hidden="1">'обычная с изм ценой'!$K$30</definedName>
    <definedName name="solver_rhs30" localSheetId="1" hidden="1">'Дисконт правильно'!$I$35</definedName>
    <definedName name="solver_rhs30" localSheetId="0" hidden="1">целое</definedName>
    <definedName name="solver_rhs31" localSheetId="1" hidden="1">'Дисконт правильно'!$I$24</definedName>
    <definedName name="solver_rhs31" localSheetId="0" hidden="1">0</definedName>
    <definedName name="solver_rhs32" localSheetId="1" hidden="1">'Дисконт правильно'!$I$34</definedName>
    <definedName name="solver_rhs32" localSheetId="0" hidden="1">'Дисконт правильно и оборудовани'!$I$34</definedName>
    <definedName name="solver_rhs33" localSheetId="1" hidden="1">'Дисконт правильно'!$I$34</definedName>
    <definedName name="solver_rhs33" localSheetId="0" hidden="1">'Дисконт правильно и оборудовани'!$I$34</definedName>
    <definedName name="solver_rhs34" localSheetId="1" hidden="1">'Дисконт правильно'!$I$33</definedName>
    <definedName name="solver_rhs34" localSheetId="0" hidden="1">'Дисконт правильно и оборудовани'!$I$33</definedName>
    <definedName name="solver_rhs35" localSheetId="1" hidden="1">'Дисконт правильно'!$I$23</definedName>
    <definedName name="solver_rhs35" localSheetId="0" hidden="1">'Дисконт правильно и оборудовани'!$I$23</definedName>
    <definedName name="solver_rhs36" localSheetId="1" hidden="1">'Дисконт правильно'!$I$27</definedName>
    <definedName name="solver_rhs36" localSheetId="0" hidden="1">'Дисконт правильно и оборудовани'!$I$27</definedName>
    <definedName name="solver_rhs37" localSheetId="1" hidden="1">'Дисконт правильно'!$I$24</definedName>
    <definedName name="solver_rhs37" localSheetId="0" hidden="1">'Дисконт правильно и оборудовани'!$I$24</definedName>
    <definedName name="solver_rhs38" localSheetId="1" hidden="1">'Дисконт правильно'!$K$38</definedName>
    <definedName name="solver_rhs38" localSheetId="0" hidden="1">'Дисконт правильно и оборудовани'!$K$38</definedName>
    <definedName name="solver_rhs39" localSheetId="1" hidden="1">'Дисконт правильно'!$K$39</definedName>
    <definedName name="solver_rhs39" localSheetId="0" hidden="1">'Дисконт правильно и оборудовани'!$K$39</definedName>
    <definedName name="solver_rhs4" localSheetId="5" hidden="1">Dгр!$U$4</definedName>
    <definedName name="solver_rhs4" localSheetId="4" hidden="1">'Dгр нефикс'!$G$30</definedName>
    <definedName name="solver_rhs4" localSheetId="3" hidden="1">Zaki!$I$24</definedName>
    <definedName name="solver_rhs4" localSheetId="1" hidden="1">'Дисконт правильно'!$K$33</definedName>
    <definedName name="solver_rhs4" localSheetId="0" hidden="1">'Дисконт правильно и оборудовани'!$K$27</definedName>
    <definedName name="solver_rhs4" localSheetId="2" hidden="1">'Заказ дисконтирование'!$I$24</definedName>
    <definedName name="solver_rhs4" localSheetId="6" hidden="1">обчная!$M$3</definedName>
    <definedName name="solver_rhs4" localSheetId="7" hidden="1">'обычная с изм ценой'!$G$30</definedName>
    <definedName name="solver_rhs40" localSheetId="1" hidden="1">'Дисконт правильно'!$I$22</definedName>
    <definedName name="solver_rhs40" localSheetId="0" hidden="1">'Дисконт правильно и оборудовани'!$I$22</definedName>
    <definedName name="solver_rhs5" localSheetId="5" hidden="1">Dгр!$U$3</definedName>
    <definedName name="solver_rhs5" localSheetId="4" hidden="1">'Dгр нефикс'!$K$31</definedName>
    <definedName name="solver_rhs5" localSheetId="3" hidden="1">Zaki!$I$27</definedName>
    <definedName name="solver_rhs5" localSheetId="1" hidden="1">'Дисконт правильно'!$K$34</definedName>
    <definedName name="solver_rhs5" localSheetId="0" hidden="1">'Дисконт правильно и оборудовани'!$K$29</definedName>
    <definedName name="solver_rhs5" localSheetId="2" hidden="1">'Заказ дисконтирование'!$I$27</definedName>
    <definedName name="solver_rhs5" localSheetId="6" hidden="1">целое</definedName>
    <definedName name="solver_rhs5" localSheetId="7" hidden="1">'обычная с изм ценой'!$K$31</definedName>
    <definedName name="solver_rhs6" localSheetId="5" hidden="1">Dгр!$M$3</definedName>
    <definedName name="solver_rhs6" localSheetId="4" hidden="1">'Dгр нефикс'!$G$31</definedName>
    <definedName name="solver_rhs6" localSheetId="3" hidden="1">Zaki!$I$23</definedName>
    <definedName name="solver_rhs6" localSheetId="1" hidden="1">'Дисконт правильно'!$K$35</definedName>
    <definedName name="solver_rhs6" localSheetId="0" hidden="1">'Дисконт правильно и оборудовани'!$K$33</definedName>
    <definedName name="solver_rhs6" localSheetId="2" hidden="1">'Заказ дисконтирование'!$I$23</definedName>
    <definedName name="solver_rhs6" localSheetId="6" hidden="1">1</definedName>
    <definedName name="solver_rhs6" localSheetId="7" hidden="1">'обычная с изм ценой'!$G$31</definedName>
    <definedName name="solver_rhs7" localSheetId="5" hidden="1">целое</definedName>
    <definedName name="solver_rhs7" localSheetId="4" hidden="1">'Dгр нефикс'!$K$38</definedName>
    <definedName name="solver_rhs7" localSheetId="3" hidden="1">Zaki!$I$34</definedName>
    <definedName name="solver_rhs7" localSheetId="1" hidden="1">'Дисконт правильно'!$I$33</definedName>
    <definedName name="solver_rhs7" localSheetId="0" hidden="1">'Дисконт правильно и оборудовани'!$K$34</definedName>
    <definedName name="solver_rhs7" localSheetId="2" hidden="1">'Заказ дисконтирование'!$I$34</definedName>
    <definedName name="solver_rhs7" localSheetId="6" hidden="1">целое</definedName>
    <definedName name="solver_rhs7" localSheetId="7" hidden="1">'обычная с изм ценой'!$K$38</definedName>
    <definedName name="solver_rhs8" localSheetId="5" hidden="1">целое</definedName>
    <definedName name="solver_rhs8" localSheetId="4" hidden="1">'Dгр нефикс'!$K$39</definedName>
    <definedName name="solver_rhs8" localSheetId="3" hidden="1">Zaki!$I$33</definedName>
    <definedName name="solver_rhs8" localSheetId="1" hidden="1">'Дисконт правильно'!$I$35</definedName>
    <definedName name="solver_rhs8" localSheetId="0" hidden="1">'Дисконт правильно и оборудовани'!$K$35</definedName>
    <definedName name="solver_rhs8" localSheetId="2" hidden="1">'Заказ дисконтирование'!$I$33</definedName>
    <definedName name="solver_rhs8" localSheetId="6" hidden="1">целое</definedName>
    <definedName name="solver_rhs8" localSheetId="7" hidden="1">'обычная с изм ценой'!$K$39</definedName>
    <definedName name="solver_rhs9" localSheetId="5" hidden="1">Dгр!$U$2</definedName>
    <definedName name="solver_rhs9" localSheetId="4" hidden="1">'Dгр нефикс'!$K$40</definedName>
    <definedName name="solver_rhs9" localSheetId="3" hidden="1">Zaki!$I$34</definedName>
    <definedName name="solver_rhs9" localSheetId="1" hidden="1">'Дисконт правильно'!$I$37</definedName>
    <definedName name="solver_rhs9" localSheetId="0" hidden="1">'Дисконт правильно и оборудовани'!$I$33</definedName>
    <definedName name="solver_rhs9" localSheetId="2" hidden="1">'Заказ дисконтирование'!$I$34</definedName>
    <definedName name="solver_rhs9" localSheetId="6" hidden="1">обчная!$T$7</definedName>
    <definedName name="solver_rhs9" localSheetId="7" hidden="1">'обычная с изм ценой'!$K$40</definedName>
    <definedName name="solver_rlx" localSheetId="5" hidden="1">2</definedName>
    <definedName name="solver_rlx" localSheetId="4" hidden="1">2</definedName>
    <definedName name="solver_rlx" localSheetId="3" hidden="1">2</definedName>
    <definedName name="solver_rlx" localSheetId="1" hidden="1">2</definedName>
    <definedName name="solver_rlx" localSheetId="0" hidden="1">2</definedName>
    <definedName name="solver_rlx" localSheetId="2" hidden="1">2</definedName>
    <definedName name="solver_rlx" localSheetId="6" hidden="1">2</definedName>
    <definedName name="solver_rlx" localSheetId="7" hidden="1">2</definedName>
    <definedName name="solver_rsd" localSheetId="5" hidden="1">0</definedName>
    <definedName name="solver_rsd" localSheetId="4" hidden="1">0</definedName>
    <definedName name="solver_rsd" localSheetId="3" hidden="1">0</definedName>
    <definedName name="solver_rsd" localSheetId="1" hidden="1">0</definedName>
    <definedName name="solver_rsd" localSheetId="0" hidden="1">0</definedName>
    <definedName name="solver_rsd" localSheetId="2" hidden="1">0</definedName>
    <definedName name="solver_rsd" localSheetId="6" hidden="1">0</definedName>
    <definedName name="solver_rsd" localSheetId="7" hidden="1">0</definedName>
    <definedName name="solver_scl" localSheetId="5" hidden="1">2</definedName>
    <definedName name="solver_scl" localSheetId="4" hidden="1">2</definedName>
    <definedName name="solver_scl" localSheetId="3" hidden="1">2</definedName>
    <definedName name="solver_scl" localSheetId="1" hidden="1">1</definedName>
    <definedName name="solver_scl" localSheetId="0" hidden="1">1</definedName>
    <definedName name="solver_scl" localSheetId="2" hidden="1">2</definedName>
    <definedName name="solver_scl" localSheetId="6" hidden="1">2</definedName>
    <definedName name="solver_scl" localSheetId="7" hidden="1">2</definedName>
    <definedName name="solver_sho" localSheetId="5" hidden="1">2</definedName>
    <definedName name="solver_sho" localSheetId="4" hidden="1">2</definedName>
    <definedName name="solver_sho" localSheetId="3" hidden="1">2</definedName>
    <definedName name="solver_sho" localSheetId="1" hidden="1">2</definedName>
    <definedName name="solver_sho" localSheetId="0" hidden="1">2</definedName>
    <definedName name="solver_sho" localSheetId="2" hidden="1">2</definedName>
    <definedName name="solver_sho" localSheetId="6" hidden="1">2</definedName>
    <definedName name="solver_sho" localSheetId="7" hidden="1">2</definedName>
    <definedName name="solver_ssz" localSheetId="5" hidden="1">100</definedName>
    <definedName name="solver_ssz" localSheetId="4" hidden="1">100</definedName>
    <definedName name="solver_ssz" localSheetId="3" hidden="1">100</definedName>
    <definedName name="solver_ssz" localSheetId="1" hidden="1">100</definedName>
    <definedName name="solver_ssz" localSheetId="0" hidden="1">100</definedName>
    <definedName name="solver_ssz" localSheetId="2" hidden="1">100</definedName>
    <definedName name="solver_ssz" localSheetId="6" hidden="1">100</definedName>
    <definedName name="solver_ssz" localSheetId="7" hidden="1">100</definedName>
    <definedName name="solver_tim" localSheetId="5" hidden="1">2147483647</definedName>
    <definedName name="solver_tim" localSheetId="4" hidden="1">2147483647</definedName>
    <definedName name="solver_tim" localSheetId="3" hidden="1">2147483647</definedName>
    <definedName name="solver_tim" localSheetId="1" hidden="1">2147483647</definedName>
    <definedName name="solver_tim" localSheetId="0" hidden="1">2147483647</definedName>
    <definedName name="solver_tim" localSheetId="2" hidden="1">2147483647</definedName>
    <definedName name="solver_tim" localSheetId="6" hidden="1">2147483647</definedName>
    <definedName name="solver_tim" localSheetId="7" hidden="1">2147483647</definedName>
    <definedName name="solver_tol" localSheetId="5" hidden="1">0.01</definedName>
    <definedName name="solver_tol" localSheetId="4" hidden="1">0.01</definedName>
    <definedName name="solver_tol" localSheetId="3" hidden="1">0.01</definedName>
    <definedName name="solver_tol" localSheetId="1" hidden="1">0.01</definedName>
    <definedName name="solver_tol" localSheetId="0" hidden="1">0.01</definedName>
    <definedName name="solver_tol" localSheetId="2" hidden="1">0.01</definedName>
    <definedName name="solver_tol" localSheetId="6" hidden="1">0.01</definedName>
    <definedName name="solver_tol" localSheetId="7" hidden="1">0.01</definedName>
    <definedName name="solver_typ" localSheetId="5" hidden="1">1</definedName>
    <definedName name="solver_typ" localSheetId="4" hidden="1">1</definedName>
    <definedName name="solver_typ" localSheetId="3" hidden="1">1</definedName>
    <definedName name="solver_typ" localSheetId="1" hidden="1">1</definedName>
    <definedName name="solver_typ" localSheetId="0" hidden="1">1</definedName>
    <definedName name="solver_typ" localSheetId="2" hidden="1">1</definedName>
    <definedName name="solver_typ" localSheetId="6" hidden="1">1</definedName>
    <definedName name="solver_typ" localSheetId="7" hidden="1">1</definedName>
    <definedName name="solver_val" localSheetId="5" hidden="1">0</definedName>
    <definedName name="solver_val" localSheetId="4" hidden="1">0</definedName>
    <definedName name="solver_val" localSheetId="3" hidden="1">0</definedName>
    <definedName name="solver_val" localSheetId="1" hidden="1">0</definedName>
    <definedName name="solver_val" localSheetId="0" hidden="1">0</definedName>
    <definedName name="solver_val" localSheetId="2" hidden="1">0</definedName>
    <definedName name="solver_val" localSheetId="6" hidden="1">0</definedName>
    <definedName name="solver_val" localSheetId="7" hidden="1">0</definedName>
    <definedName name="solver_ver" localSheetId="5" hidden="1">3</definedName>
    <definedName name="solver_ver" localSheetId="4" hidden="1">3</definedName>
    <definedName name="solver_ver" localSheetId="3" hidden="1">3</definedName>
    <definedName name="solver_ver" localSheetId="1" hidden="1">3</definedName>
    <definedName name="solver_ver" localSheetId="0" hidden="1">3</definedName>
    <definedName name="solver_ver" localSheetId="2" hidden="1">3</definedName>
    <definedName name="solver_ver" localSheetId="6" hidden="1">3</definedName>
    <definedName name="solver_ver" localSheetId="7" hidden="1">3</definedName>
    <definedName name="вд1" localSheetId="5">Dгр!$C$11</definedName>
    <definedName name="вд1" localSheetId="4">'Dгр нефикс'!$C$11</definedName>
    <definedName name="вд1" localSheetId="3">Zaki!$C$11</definedName>
    <definedName name="вд1" localSheetId="1">'Дисконт правильно'!$C$12</definedName>
    <definedName name="вд1" localSheetId="0">'Дисконт правильно и оборудовани'!$C$12</definedName>
    <definedName name="вд1" localSheetId="2">'Заказ дисконтирование'!$C$11</definedName>
    <definedName name="вд1" localSheetId="6">обчная!$C$11</definedName>
    <definedName name="вд1">'обычная с изм ценой'!$C$11</definedName>
    <definedName name="вд2" localSheetId="5">Dгр!$D$11</definedName>
    <definedName name="вд2" localSheetId="4">'Dгр нефикс'!$D$11</definedName>
    <definedName name="вд2" localSheetId="3">Zaki!$D$11</definedName>
    <definedName name="вд2" localSheetId="1">'Дисконт правильно'!$D$12</definedName>
    <definedName name="вд2" localSheetId="0">'Дисконт правильно и оборудовани'!$D$12</definedName>
    <definedName name="вд2" localSheetId="2">'Заказ дисконтирование'!$D$11</definedName>
    <definedName name="вд2" localSheetId="6">обчная!$D$11</definedName>
    <definedName name="вд2">'обычная с изм ценой'!$D$11</definedName>
    <definedName name="вд3" localSheetId="5">Dгр!$E$11</definedName>
    <definedName name="вд3" localSheetId="4">'Dгр нефикс'!$E$11</definedName>
    <definedName name="вд3" localSheetId="3">Zaki!$E$11</definedName>
    <definedName name="вд3" localSheetId="1">'Дисконт правильно'!$E$12</definedName>
    <definedName name="вд3" localSheetId="0">'Дисконт правильно и оборудовани'!$E$12</definedName>
    <definedName name="вд3" localSheetId="2">'Заказ дисконтирование'!$E$11</definedName>
    <definedName name="вд3" localSheetId="6">обчная!$E$11</definedName>
    <definedName name="вд3">'обычная с изм ценой'!$E$11</definedName>
    <definedName name="во1" localSheetId="5">Dгр!$C$7</definedName>
    <definedName name="во1" localSheetId="4">'Dгр нефикс'!$C$7</definedName>
    <definedName name="во1" localSheetId="3">Zaki!$C$7</definedName>
    <definedName name="во1" localSheetId="1">'Дисконт правильно'!$C$8</definedName>
    <definedName name="во1" localSheetId="0">'Дисконт правильно и оборудовани'!$C$8</definedName>
    <definedName name="во1" localSheetId="2">'Заказ дисконтирование'!$C$7</definedName>
    <definedName name="во1" localSheetId="6">обчная!$C$7</definedName>
    <definedName name="во1">'обычная с изм ценой'!$C$7</definedName>
    <definedName name="во2" localSheetId="5">Dгр!$D$7</definedName>
    <definedName name="во2" localSheetId="4">'Dгр нефикс'!$D$7</definedName>
    <definedName name="во2" localSheetId="3">Zaki!$D$7</definedName>
    <definedName name="во2" localSheetId="1">'Дисконт правильно'!$D$8</definedName>
    <definedName name="во2" localSheetId="0">'Дисконт правильно и оборудовани'!$D$8</definedName>
    <definedName name="во2" localSheetId="2">'Заказ дисконтирование'!$D$7</definedName>
    <definedName name="во2" localSheetId="6">обчная!$D$7</definedName>
    <definedName name="во2">'обычная с изм ценой'!$D$7</definedName>
    <definedName name="во21" localSheetId="5">Dгр!$G$7</definedName>
    <definedName name="во21" localSheetId="4">'Dгр нефикс'!$G$7</definedName>
    <definedName name="во21" localSheetId="3">Zaki!$G$7</definedName>
    <definedName name="во21" localSheetId="1">'Дисконт правильно'!$G$8</definedName>
    <definedName name="во21" localSheetId="0">'Дисконт правильно и оборудовани'!$G$8</definedName>
    <definedName name="во21" localSheetId="2">'Заказ дисконтирование'!$G$7</definedName>
    <definedName name="во21" localSheetId="6">обчная!$G$7</definedName>
    <definedName name="во21">'обычная с изм ценой'!$G$7</definedName>
    <definedName name="во22" localSheetId="5">Dгр!$H$7</definedName>
    <definedName name="во22" localSheetId="4">'Dгр нефикс'!$H$7</definedName>
    <definedName name="во22" localSheetId="3">Zaki!$H$7</definedName>
    <definedName name="во22" localSheetId="1">'Дисконт правильно'!$H$8</definedName>
    <definedName name="во22" localSheetId="0">'Дисконт правильно и оборудовани'!$H$8</definedName>
    <definedName name="во22" localSheetId="2">'Заказ дисконтирование'!$H$7</definedName>
    <definedName name="во22" localSheetId="6">обчная!$H$7</definedName>
    <definedName name="во22">'обычная с изм ценой'!$H$7</definedName>
    <definedName name="во23" localSheetId="5">Dгр!$I$7</definedName>
    <definedName name="во23" localSheetId="4">'Dгр нефикс'!$I$7</definedName>
    <definedName name="во23" localSheetId="3">Zaki!$I$7</definedName>
    <definedName name="во23" localSheetId="1">'Дисконт правильно'!$I$8</definedName>
    <definedName name="во23" localSheetId="0">'Дисконт правильно и оборудовани'!$I$8</definedName>
    <definedName name="во23" localSheetId="2">'Заказ дисконтирование'!$I$7</definedName>
    <definedName name="во23" localSheetId="6">обчная!$I$7</definedName>
    <definedName name="во23">'обычная с изм ценой'!$I$7</definedName>
    <definedName name="во3" localSheetId="5">Dгр!$E$7</definedName>
    <definedName name="во3" localSheetId="4">'Dгр нефикс'!$E$7</definedName>
    <definedName name="во3" localSheetId="3">Zaki!$E$7</definedName>
    <definedName name="во3" localSheetId="1">'Дисконт правильно'!$E$8</definedName>
    <definedName name="во3" localSheetId="0">'Дисконт правильно и оборудовани'!$E$8</definedName>
    <definedName name="во3" localSheetId="2">'Заказ дисконтирование'!$E$7</definedName>
    <definedName name="во3" localSheetId="6">обчная!$E$7</definedName>
    <definedName name="во3">'обычная с изм ценой'!$E$7</definedName>
    <definedName name="во31" localSheetId="5">Dгр!$K$7</definedName>
    <definedName name="во31" localSheetId="4">'Dгр нефикс'!$K$7</definedName>
    <definedName name="во31" localSheetId="3">Zaki!$K$7</definedName>
    <definedName name="во31" localSheetId="1">'Дисконт правильно'!$K$8</definedName>
    <definedName name="во31" localSheetId="0">'Дисконт правильно и оборудовани'!$K$8</definedName>
    <definedName name="во31" localSheetId="2">'Заказ дисконтирование'!$K$7</definedName>
    <definedName name="во31" localSheetId="6">обчная!$K$7</definedName>
    <definedName name="во31">'обычная с изм ценой'!$K$7</definedName>
    <definedName name="во32" localSheetId="5">Dгр!$L$7</definedName>
    <definedName name="во32" localSheetId="4">'Dгр нефикс'!$L$7</definedName>
    <definedName name="во32" localSheetId="3">Zaki!$L$7</definedName>
    <definedName name="во32" localSheetId="1">'Дисконт правильно'!$L$8</definedName>
    <definedName name="во32" localSheetId="0">'Дисконт правильно и оборудовани'!$L$8</definedName>
    <definedName name="во32" localSheetId="2">'Заказ дисконтирование'!$L$7</definedName>
    <definedName name="во32" localSheetId="6">обчная!$L$7</definedName>
    <definedName name="во32">'обычная с изм ценой'!$L$7</definedName>
    <definedName name="во33" localSheetId="5">Dгр!$M$7</definedName>
    <definedName name="во33" localSheetId="4">'Dгр нефикс'!$M$7</definedName>
    <definedName name="во33" localSheetId="3">Zaki!$M$7</definedName>
    <definedName name="во33" localSheetId="1">'Дисконт правильно'!$M$8</definedName>
    <definedName name="во33" localSheetId="0">'Дисконт правильно и оборудовани'!$M$8</definedName>
    <definedName name="во33" localSheetId="2">'Заказ дисконтирование'!$M$7</definedName>
    <definedName name="во33" localSheetId="6">обчная!$M$7</definedName>
    <definedName name="во33">'обычная с изм ценой'!$M$7</definedName>
    <definedName name="д" localSheetId="5">Dгр!$K$11</definedName>
    <definedName name="д" localSheetId="4">'Dгр нефикс'!$K$11</definedName>
    <definedName name="д" localSheetId="3">Zaki!$K$11</definedName>
    <definedName name="д" localSheetId="1">'Дисконт правильно'!$K$12</definedName>
    <definedName name="д" localSheetId="0">'Дисконт правильно и оборудовани'!$K$12</definedName>
    <definedName name="д" localSheetId="2">'Заказ дисконтирование'!$K$11</definedName>
    <definedName name="д" localSheetId="6">обчная!$K$11</definedName>
    <definedName name="д">'обычная с изм ценой'!$K$11</definedName>
    <definedName name="и1" localSheetId="5">Dгр!$G$3</definedName>
    <definedName name="и1" localSheetId="4">'Dгр нефикс'!$G$3</definedName>
    <definedName name="и1" localSheetId="3">Zaki!$G$3</definedName>
    <definedName name="и1" localSheetId="1">'Дисконт правильно'!$G$3</definedName>
    <definedName name="и1" localSheetId="0">'Дисконт правильно и оборудовани'!$G$3</definedName>
    <definedName name="и1" localSheetId="2">'Заказ дисконтирование'!$G$3</definedName>
    <definedName name="и1" localSheetId="6">обчная!$G$3</definedName>
    <definedName name="и1">'обычная с изм ценой'!$G$3</definedName>
    <definedName name="и2" localSheetId="5">Dгр!$H$3</definedName>
    <definedName name="и2" localSheetId="4">'Dгр нефикс'!$H$3</definedName>
    <definedName name="и2" localSheetId="3">Zaki!$H$3</definedName>
    <definedName name="и2" localSheetId="1">'Дисконт правильно'!$H$3</definedName>
    <definedName name="и2" localSheetId="0">'Дисконт правильно и оборудовани'!$H$3</definedName>
    <definedName name="и2" localSheetId="2">'Заказ дисконтирование'!$H$3</definedName>
    <definedName name="и2" localSheetId="6">обчная!$H$3</definedName>
    <definedName name="и2">'обычная с изм ценой'!$H$3</definedName>
    <definedName name="и3" localSheetId="5">Dгр!$I$3</definedName>
    <definedName name="и3" localSheetId="4">'Dгр нефикс'!$I$3</definedName>
    <definedName name="и3" localSheetId="3">Zaki!$I$3</definedName>
    <definedName name="и3" localSheetId="1">'Дисконт правильно'!$I$3</definedName>
    <definedName name="и3" localSheetId="0">'Дисконт правильно и оборудовани'!$I$3</definedName>
    <definedName name="и3" localSheetId="2">'Заказ дисконтирование'!$I$3</definedName>
    <definedName name="и3" localSheetId="6">обчная!$I$3</definedName>
    <definedName name="и3">'обычная с изм ценой'!$I$3</definedName>
    <definedName name="об1" localSheetId="5">Dгр!$C$15</definedName>
    <definedName name="об1" localSheetId="4">'Dгр нефикс'!$C$15</definedName>
    <definedName name="об1" localSheetId="3">Zaki!$C$15</definedName>
    <definedName name="об1" localSheetId="1">'Дисконт правильно'!$C$16</definedName>
    <definedName name="об1" localSheetId="0">'Дисконт правильно и оборудовани'!$C$16</definedName>
    <definedName name="об1" localSheetId="2">'Заказ дисконтирование'!$C$15</definedName>
    <definedName name="об1" localSheetId="6">обчная!$C$15</definedName>
    <definedName name="об1">'обычная с изм ценой'!$C$15</definedName>
    <definedName name="об2" localSheetId="5">Dгр!$D$15</definedName>
    <definedName name="об2" localSheetId="4">'Dгр нефикс'!$D$15</definedName>
    <definedName name="об2" localSheetId="3">Zaki!$D$15</definedName>
    <definedName name="об2" localSheetId="1">'Дисконт правильно'!$D$16</definedName>
    <definedName name="об2" localSheetId="0">'Дисконт правильно и оборудовани'!$D$16</definedName>
    <definedName name="об2" localSheetId="2">'Заказ дисконтирование'!$D$15</definedName>
    <definedName name="об2" localSheetId="6">обчная!$D$15</definedName>
    <definedName name="об2">'обычная с изм ценой'!$D$15</definedName>
    <definedName name="об3" localSheetId="5">Dгр!$E$15</definedName>
    <definedName name="об3" localSheetId="4">'Dгр нефикс'!$E$15</definedName>
    <definedName name="об3" localSheetId="3">Zaki!$E$15</definedName>
    <definedName name="об3" localSheetId="1">'Дисконт правильно'!$E$16</definedName>
    <definedName name="об3" localSheetId="0">'Дисконт правильно и оборудовани'!$E$16</definedName>
    <definedName name="об3" localSheetId="2">'Заказ дисконтирование'!$E$15</definedName>
    <definedName name="об3" localSheetId="6">обчная!$E$15</definedName>
    <definedName name="об3">'обычная с изм ценой'!$E$15</definedName>
    <definedName name="п1" localSheetId="5">Dгр!$G$11</definedName>
    <definedName name="п1" localSheetId="4">'Dгр нефикс'!$G$11</definedName>
    <definedName name="п1" localSheetId="3">Zaki!$G$11</definedName>
    <definedName name="п1" localSheetId="1">'Дисконт правильно'!$G$12</definedName>
    <definedName name="п1" localSheetId="0">'Дисконт правильно и оборудовани'!$G$12</definedName>
    <definedName name="п1" localSheetId="2">'Заказ дисконтирование'!$G$11</definedName>
    <definedName name="п1" localSheetId="6">обчная!$G$11</definedName>
    <definedName name="п1">'обычная с изм ценой'!$G$11</definedName>
    <definedName name="п2" localSheetId="5">Dгр!$H$11</definedName>
    <definedName name="п2" localSheetId="4">'Dгр нефикс'!$H$11</definedName>
    <definedName name="п2" localSheetId="3">Zaki!$H$11</definedName>
    <definedName name="п2" localSheetId="1">'Дисконт правильно'!$H$12</definedName>
    <definedName name="п2" localSheetId="0">'Дисконт правильно и оборудовани'!$H$12</definedName>
    <definedName name="п2" localSheetId="2">'Заказ дисконтирование'!$H$11</definedName>
    <definedName name="п2" localSheetId="6">обчная!$H$11</definedName>
    <definedName name="п2">'обычная с изм ценой'!$H$11</definedName>
    <definedName name="п3" localSheetId="5">Dгр!$I$11</definedName>
    <definedName name="п3" localSheetId="4">'Dгр нефикс'!$I$11</definedName>
    <definedName name="п3" localSheetId="3">Zaki!$I$11</definedName>
    <definedName name="п3" localSheetId="1">'Дисконт правильно'!$I$12</definedName>
    <definedName name="п3" localSheetId="0">'Дисконт правильно и оборудовани'!$I$12</definedName>
    <definedName name="п3" localSheetId="2">'Заказ дисконтирование'!$I$11</definedName>
    <definedName name="п3" localSheetId="6">обчная!$I$11</definedName>
    <definedName name="п3">'обычная с изм ценой'!$I$11</definedName>
    <definedName name="пи" localSheetId="5">Dгр!$K$2</definedName>
    <definedName name="пи" localSheetId="4">'Dгр нефикс'!$K$2</definedName>
    <definedName name="пи" localSheetId="3">Zaki!$K$2</definedName>
    <definedName name="пи" localSheetId="1">'Дисконт правильно'!$K$2</definedName>
    <definedName name="пи" localSheetId="0">'Дисконт правильно и оборудовани'!$K$2</definedName>
    <definedName name="пи" localSheetId="2">'Заказ дисконтирование'!$K$2</definedName>
    <definedName name="пи" localSheetId="6">обчная!$K$2</definedName>
    <definedName name="пи">'обычная с изм ценой'!$K$2</definedName>
    <definedName name="с1" localSheetId="5">Dгр!$G$15</definedName>
    <definedName name="с1" localSheetId="4">'Dгр нефикс'!$G$15</definedName>
    <definedName name="с1" localSheetId="3">Zaki!$G$15</definedName>
    <definedName name="с1" localSheetId="1">'Дисконт правильно'!$G$16</definedName>
    <definedName name="с1" localSheetId="0">'Дисконт правильно и оборудовани'!$G$16</definedName>
    <definedName name="с1" localSheetId="2">'Заказ дисконтирование'!$G$15</definedName>
    <definedName name="с1" localSheetId="6">обчная!$G$15</definedName>
    <definedName name="с1">'обычная с изм ценой'!$G$15</definedName>
    <definedName name="с2" localSheetId="5">Dгр!$H$15</definedName>
    <definedName name="с2" localSheetId="4">'Dгр нефикс'!$H$15</definedName>
    <definedName name="с2" localSheetId="3">Zaki!$H$15</definedName>
    <definedName name="с2" localSheetId="1">'Дисконт правильно'!$H$16</definedName>
    <definedName name="с2" localSheetId="0">'Дисконт правильно и оборудовани'!$H$16</definedName>
    <definedName name="с2" localSheetId="2">'Заказ дисконтирование'!$H$15</definedName>
    <definedName name="с2" localSheetId="6">обчная!$H$15</definedName>
    <definedName name="с2">'обычная с изм ценой'!$H$15</definedName>
    <definedName name="с3" localSheetId="5">Dгр!$I$15</definedName>
    <definedName name="с3" localSheetId="4">'Dгр нефикс'!$I$15</definedName>
    <definedName name="с3" localSheetId="3">Zaki!$I$15</definedName>
    <definedName name="с3" localSheetId="1">'Дисконт правильно'!$I$16</definedName>
    <definedName name="с3" localSheetId="0">'Дисконт правильно и оборудовани'!$I$16</definedName>
    <definedName name="с3" localSheetId="2">'Заказ дисконтирование'!$I$15</definedName>
    <definedName name="с3" localSheetId="6">обчная!$I$15</definedName>
    <definedName name="с3">'обычная с изм ценой'!$I$15</definedName>
    <definedName name="у1" localSheetId="5">Dгр!$O$7</definedName>
    <definedName name="у1" localSheetId="4">'Dгр нефикс'!$O$7</definedName>
    <definedName name="у1" localSheetId="3">Zaki!$O$7</definedName>
    <definedName name="у1" localSheetId="1">'Дисконт правильно'!$O$8</definedName>
    <definedName name="у1" localSheetId="0">'Дисконт правильно и оборудовани'!$O$8</definedName>
    <definedName name="у1" localSheetId="2">'Заказ дисконтирование'!$O$7</definedName>
    <definedName name="у1" localSheetId="6">обчная!$O$7</definedName>
    <definedName name="у1">'обычная с изм ценой'!$O$7</definedName>
    <definedName name="у2" localSheetId="5">Dгр!$P$7</definedName>
    <definedName name="у2" localSheetId="4">'Dгр нефикс'!$P$7</definedName>
    <definedName name="у2" localSheetId="3">Zaki!$P$7</definedName>
    <definedName name="у2" localSheetId="1">'Дисконт правильно'!$P$8</definedName>
    <definedName name="у2" localSheetId="0">'Дисконт правильно и оборудовани'!$P$8</definedName>
    <definedName name="у2" localSheetId="2">'Заказ дисконтирование'!$P$7</definedName>
    <definedName name="у2" localSheetId="6">обчная!$P$7</definedName>
    <definedName name="у2">'обычная с изм ценой'!$P$7</definedName>
    <definedName name="у3" localSheetId="5">Dгр!$Q$7</definedName>
    <definedName name="у3" localSheetId="4">'Dгр нефикс'!$Q$7</definedName>
    <definedName name="у3" localSheetId="3">Zaki!$Q$7</definedName>
    <definedName name="у3" localSheetId="1">'Дисконт правильно'!$Q$8</definedName>
    <definedName name="у3" localSheetId="0">'Дисконт правильно и оборудовани'!$Q$8</definedName>
    <definedName name="у3" localSheetId="2">'Заказ дисконтирование'!$Q$7</definedName>
    <definedName name="у3" localSheetId="6">обчная!$Q$7</definedName>
    <definedName name="у3">'обычная с изм ценой'!$Q$7</definedName>
    <definedName name="ф" localSheetId="5">Dгр!$M$3</definedName>
    <definedName name="ф" localSheetId="4">'Dгр нефикс'!$M$3</definedName>
    <definedName name="ф" localSheetId="3">Zaki!$M$3</definedName>
    <definedName name="ф" localSheetId="1">'Дисконт правильно'!$M$3</definedName>
    <definedName name="ф" localSheetId="0">'Дисконт правильно и оборудовани'!$M$3</definedName>
    <definedName name="ф" localSheetId="2">'Заказ дисконтирование'!$M$3</definedName>
    <definedName name="ф" localSheetId="6">обчная!$M$3</definedName>
    <definedName name="ф">'обычная с изм ценой'!$M$3</definedName>
    <definedName name="х1" localSheetId="5">Dгр!$O$3</definedName>
    <definedName name="х1" localSheetId="4">'Dгр нефикс'!$O$3</definedName>
    <definedName name="х1" localSheetId="3">Zaki!$O$3</definedName>
    <definedName name="х1" localSheetId="1">'Дисконт правильно'!$O$3</definedName>
    <definedName name="х1" localSheetId="0">'Дисконт правильно и оборудовани'!$O$3</definedName>
    <definedName name="х1" localSheetId="2">'Заказ дисконтирование'!$O$3</definedName>
    <definedName name="х1" localSheetId="6">обчная!$O$3</definedName>
    <definedName name="х1">'обычная с изм ценой'!$O$3</definedName>
    <definedName name="х2" localSheetId="5">Dгр!$P$3</definedName>
    <definedName name="х2" localSheetId="4">'Dгр нефикс'!$P$3</definedName>
    <definedName name="х2" localSheetId="3">Zaki!$P$3</definedName>
    <definedName name="х2" localSheetId="1">'Дисконт правильно'!$P$3</definedName>
    <definedName name="х2" localSheetId="0">'Дисконт правильно и оборудовани'!$P$3</definedName>
    <definedName name="х2" localSheetId="2">'Заказ дисконтирование'!$P$3</definedName>
    <definedName name="х2" localSheetId="6">обчная!$P$3</definedName>
    <definedName name="х2">'обычная с изм ценой'!$P$3</definedName>
    <definedName name="х3" localSheetId="5">Dгр!$Q$3</definedName>
    <definedName name="х3" localSheetId="4">'Dгр нефикс'!$Q$3</definedName>
    <definedName name="х3" localSheetId="3">Zaki!$Q$3</definedName>
    <definedName name="х3" localSheetId="1">'Дисконт правильно'!$Q$3</definedName>
    <definedName name="х3" localSheetId="0">'Дисконт правильно и оборудовани'!$Q$3</definedName>
    <definedName name="х3" localSheetId="2">'Заказ дисконтирование'!$Q$3</definedName>
    <definedName name="х3" localSheetId="6">обчная!$Q$3</definedName>
    <definedName name="х3">'обычная с изм ценой'!$Q$3</definedName>
    <definedName name="ц1" localSheetId="5">Dгр!$C$3</definedName>
    <definedName name="ц1" localSheetId="4">'Dгр нефикс'!$C$3</definedName>
    <definedName name="ц1" localSheetId="3">Zaki!$C$3</definedName>
    <definedName name="ц1" localSheetId="1">'Дисконт правильно'!$C$3</definedName>
    <definedName name="ц1" localSheetId="0">'Дисконт правильно и оборудовани'!$C$3</definedName>
    <definedName name="ц1" localSheetId="2">'Заказ дисконтирование'!$C$3</definedName>
    <definedName name="ц1" localSheetId="6">обчная!$C$3</definedName>
    <definedName name="ц1">'обычная с изм ценой'!$C$3</definedName>
    <definedName name="ц2" localSheetId="5">Dгр!$D$3</definedName>
    <definedName name="ц2" localSheetId="4">'Dгр нефикс'!$D$3</definedName>
    <definedName name="ц2" localSheetId="3">Zaki!$D$3</definedName>
    <definedName name="ц2" localSheetId="1">'Дисконт правильно'!$D$3</definedName>
    <definedName name="ц2" localSheetId="0">'Дисконт правильно и оборудовани'!$D$3</definedName>
    <definedName name="ц2" localSheetId="2">'Заказ дисконтирование'!$D$3</definedName>
    <definedName name="ц2" localSheetId="6">обчная!$D$3</definedName>
    <definedName name="ц2">'обычная с изм ценой'!$D$3</definedName>
    <definedName name="ц3" localSheetId="5">Dгр!$E$3</definedName>
    <definedName name="ц3" localSheetId="4">'Dгр нефикс'!$E$3</definedName>
    <definedName name="ц3" localSheetId="3">Zaki!$E$3</definedName>
    <definedName name="ц3" localSheetId="1">'Дисконт правильно'!$E$3</definedName>
    <definedName name="ц3" localSheetId="0">'Дисконт правильно и оборудовани'!$E$3</definedName>
    <definedName name="ц3" localSheetId="2">'Заказ дисконтирование'!$E$3</definedName>
    <definedName name="ц3" localSheetId="6">обчная!$E$3</definedName>
    <definedName name="ц3">'обычная с изм ценой'!$E$3</definedName>
  </definedNames>
  <calcPr calcId="145621"/>
</workbook>
</file>

<file path=xl/calcChain.xml><?xml version="1.0" encoding="utf-8"?>
<calcChain xmlns="http://schemas.openxmlformats.org/spreadsheetml/2006/main">
  <c r="M64" i="10" l="1"/>
  <c r="M60" i="10"/>
  <c r="M35" i="10"/>
  <c r="T21" i="10" s="1"/>
  <c r="M34" i="10"/>
  <c r="W32" i="10" s="1"/>
  <c r="W46" i="10"/>
  <c r="W45" i="10"/>
  <c r="W44" i="10" a="1"/>
  <c r="W44" i="10"/>
  <c r="W43" i="10" a="1"/>
  <c r="W43" i="10"/>
  <c r="W42" i="10" a="1"/>
  <c r="W42" i="10"/>
  <c r="W41" i="10" a="1"/>
  <c r="W41" i="10"/>
  <c r="W40" i="10" a="1"/>
  <c r="W40" i="10"/>
  <c r="W39" i="10" a="1"/>
  <c r="W39" i="10"/>
  <c r="W38" i="10" a="1"/>
  <c r="W38" i="10"/>
  <c r="W37" i="10" a="1"/>
  <c r="W37" i="10"/>
  <c r="W13" i="10"/>
  <c r="O27" i="10"/>
  <c r="K29" i="10"/>
  <c r="I49" i="10"/>
  <c r="O22" i="10"/>
  <c r="M22" i="10"/>
  <c r="M54" i="10" s="1"/>
  <c r="O24" i="10"/>
  <c r="O23" i="10"/>
  <c r="U2" i="10"/>
  <c r="K22" i="10" s="1"/>
  <c r="M23" i="10"/>
  <c r="M55" i="10" s="1"/>
  <c r="M27" i="10"/>
  <c r="I27" i="10"/>
  <c r="E16" i="10"/>
  <c r="R77" i="10"/>
  <c r="R76" i="10"/>
  <c r="R75" i="10"/>
  <c r="R72" i="10"/>
  <c r="R71" i="10"/>
  <c r="R70" i="10"/>
  <c r="R69" i="10"/>
  <c r="R66" i="10"/>
  <c r="R65" i="10"/>
  <c r="I65" i="10"/>
  <c r="R64" i="10"/>
  <c r="I64" i="10"/>
  <c r="R53" i="10" s="1"/>
  <c r="O63" i="10"/>
  <c r="I63" i="10"/>
  <c r="R62" i="10"/>
  <c r="R61" i="10"/>
  <c r="K61" i="10"/>
  <c r="I61" i="10"/>
  <c r="I60" i="10"/>
  <c r="R59" i="10"/>
  <c r="I59" i="10"/>
  <c r="R57" i="10"/>
  <c r="K56" i="10"/>
  <c r="I56" i="10"/>
  <c r="K55" i="10"/>
  <c r="I55" i="10"/>
  <c r="K54" i="10"/>
  <c r="I54" i="10"/>
  <c r="T52" i="10"/>
  <c r="T51" i="10"/>
  <c r="R51" i="10"/>
  <c r="V42" i="10"/>
  <c r="V41" i="10"/>
  <c r="V40" i="10" a="1"/>
  <c r="V40" i="10" s="1"/>
  <c r="T40" i="10"/>
  <c r="V39" i="10" a="1"/>
  <c r="V39" i="10" s="1"/>
  <c r="T39" i="10"/>
  <c r="S39" i="10"/>
  <c r="O39" i="10"/>
  <c r="M39" i="10"/>
  <c r="V34" i="10" s="1"/>
  <c r="K39" i="10"/>
  <c r="I39" i="10"/>
  <c r="T49" i="10" s="1"/>
  <c r="V38" i="10"/>
  <c r="V38" i="10" a="1"/>
  <c r="T38" i="10"/>
  <c r="S38" i="10"/>
  <c r="O38" i="10"/>
  <c r="O64" i="10" s="1"/>
  <c r="M38" i="10"/>
  <c r="K38" i="10"/>
  <c r="I38" i="10"/>
  <c r="T48" i="10" s="1"/>
  <c r="V37" i="10" a="1"/>
  <c r="V37" i="10" s="1"/>
  <c r="T37" i="10"/>
  <c r="O37" i="10"/>
  <c r="M37" i="10"/>
  <c r="M63" i="10" s="1"/>
  <c r="I37" i="10"/>
  <c r="W24" i="10" s="1"/>
  <c r="V36" i="10" a="1"/>
  <c r="V36" i="10" s="1"/>
  <c r="V35" i="10" a="1"/>
  <c r="V35" i="10" s="1"/>
  <c r="T35" i="10"/>
  <c r="O35" i="10"/>
  <c r="O61" i="10" s="1"/>
  <c r="I35" i="10"/>
  <c r="W21" i="10" s="1"/>
  <c r="T34" i="10"/>
  <c r="O34" i="10"/>
  <c r="O60" i="10" s="1"/>
  <c r="K34" i="10"/>
  <c r="I34" i="10"/>
  <c r="W20" i="10" s="1"/>
  <c r="T33" i="10"/>
  <c r="O33" i="10"/>
  <c r="M33" i="10"/>
  <c r="M59" i="10" s="1"/>
  <c r="I33" i="10"/>
  <c r="W22" i="10" s="1"/>
  <c r="T32" i="10"/>
  <c r="R31" i="10"/>
  <c r="R30" i="10"/>
  <c r="T29" i="10"/>
  <c r="S29" i="10"/>
  <c r="R29" i="10"/>
  <c r="T28" i="10"/>
  <c r="S28" i="10"/>
  <c r="R28" i="10"/>
  <c r="T27" i="10"/>
  <c r="S27" i="10"/>
  <c r="K27" i="10"/>
  <c r="T26" i="10"/>
  <c r="S26" i="10"/>
  <c r="R26" i="10"/>
  <c r="T25" i="10"/>
  <c r="M24" i="10"/>
  <c r="M56" i="10" s="1"/>
  <c r="T23" i="10"/>
  <c r="R23" i="10"/>
  <c r="T22" i="10"/>
  <c r="S22" i="10"/>
  <c r="R22" i="10"/>
  <c r="S21" i="10"/>
  <c r="S20" i="10"/>
  <c r="S19" i="10"/>
  <c r="R19" i="10"/>
  <c r="S18" i="10"/>
  <c r="R18" i="10"/>
  <c r="S17" i="10"/>
  <c r="R17" i="10"/>
  <c r="S16" i="10"/>
  <c r="R16" i="10"/>
  <c r="M16" i="10"/>
  <c r="K65" i="10" s="1"/>
  <c r="L16" i="10"/>
  <c r="K64" i="10" s="1"/>
  <c r="K16" i="10"/>
  <c r="K63" i="10" s="1"/>
  <c r="I16" i="10"/>
  <c r="K35" i="10" s="1"/>
  <c r="H16" i="10"/>
  <c r="T8" i="10" s="1"/>
  <c r="R24" i="10" s="1"/>
  <c r="G16" i="10"/>
  <c r="K59" i="10" s="1"/>
  <c r="S15" i="10"/>
  <c r="V13" i="10"/>
  <c r="T13" i="10"/>
  <c r="S12" i="10"/>
  <c r="R11" i="10"/>
  <c r="Q11" i="10"/>
  <c r="I19" i="10" s="1"/>
  <c r="T9" i="10"/>
  <c r="R27" i="10" s="1"/>
  <c r="U4" i="10"/>
  <c r="T4" i="10"/>
  <c r="I24" i="10" s="1"/>
  <c r="U3" i="10"/>
  <c r="K23" i="10" s="1"/>
  <c r="T3" i="10"/>
  <c r="I23" i="10" s="1"/>
  <c r="V2" i="10"/>
  <c r="T2" i="10"/>
  <c r="I22" i="10" s="1"/>
  <c r="W12" i="10"/>
  <c r="T12" i="10"/>
  <c r="R50" i="10"/>
  <c r="S11" i="10"/>
  <c r="R10" i="10"/>
  <c r="V12" i="10"/>
  <c r="W33" i="10" l="1"/>
  <c r="W30" i="10"/>
  <c r="I29" i="10"/>
  <c r="W18" i="10" s="1"/>
  <c r="T14" i="10"/>
  <c r="W29" i="10"/>
  <c r="W34" i="10"/>
  <c r="W35" i="10"/>
  <c r="W36" i="10"/>
  <c r="W27" i="10"/>
  <c r="W28" i="10"/>
  <c r="W31" i="10"/>
  <c r="W14" i="10"/>
  <c r="W15" i="10"/>
  <c r="W17" i="10"/>
  <c r="W25" i="10"/>
  <c r="W23" i="10"/>
  <c r="W26" i="10"/>
  <c r="W19" i="10"/>
  <c r="V17" i="10"/>
  <c r="V30" i="10"/>
  <c r="T31" i="10"/>
  <c r="R63" i="10"/>
  <c r="T45" i="10"/>
  <c r="V25" i="10"/>
  <c r="R56" i="10"/>
  <c r="R74" i="10"/>
  <c r="T30" i="10"/>
  <c r="R58" i="10"/>
  <c r="R13" i="10"/>
  <c r="R55" i="10"/>
  <c r="S35" i="10"/>
  <c r="V24" i="10"/>
  <c r="R60" i="10"/>
  <c r="V32" i="10"/>
  <c r="V15" i="10"/>
  <c r="T15" i="10"/>
  <c r="R12" i="10"/>
  <c r="O55" i="10"/>
  <c r="V14" i="10"/>
  <c r="S30" i="10"/>
  <c r="V20" i="10"/>
  <c r="T36" i="10"/>
  <c r="V22" i="10"/>
  <c r="S33" i="10"/>
  <c r="R73" i="10"/>
  <c r="R52" i="10"/>
  <c r="T50" i="10"/>
  <c r="O54" i="10"/>
  <c r="T18" i="10"/>
  <c r="R67" i="10"/>
  <c r="R54" i="10"/>
  <c r="V28" i="10"/>
  <c r="T16" i="10"/>
  <c r="O56" i="10"/>
  <c r="T46" i="10"/>
  <c r="O59" i="10"/>
  <c r="R14" i="10"/>
  <c r="K24" i="10"/>
  <c r="W16" i="10" s="1"/>
  <c r="T7" i="10"/>
  <c r="R20" i="10" s="1"/>
  <c r="R21" i="10"/>
  <c r="K37" i="10"/>
  <c r="M61" i="10"/>
  <c r="M65" i="10"/>
  <c r="R15" i="10"/>
  <c r="T17" i="10"/>
  <c r="S23" i="10"/>
  <c r="S24" i="10"/>
  <c r="V27" i="10"/>
  <c r="V29" i="10"/>
  <c r="V31" i="10"/>
  <c r="V19" i="10"/>
  <c r="V26" i="10"/>
  <c r="V33" i="10"/>
  <c r="S36" i="10"/>
  <c r="O65" i="10"/>
  <c r="T24" i="10"/>
  <c r="S32" i="10"/>
  <c r="R25" i="10"/>
  <c r="T42" i="10"/>
  <c r="K60" i="10"/>
  <c r="R68" i="10" s="1"/>
  <c r="K33" i="10"/>
  <c r="T43" i="10"/>
  <c r="S31" i="10"/>
  <c r="V42" i="9"/>
  <c r="V41" i="9"/>
  <c r="V40" i="9" a="1"/>
  <c r="V40" i="9" s="1"/>
  <c r="V39" i="9" a="1"/>
  <c r="V39" i="9" s="1"/>
  <c r="V38" i="9" a="1"/>
  <c r="V38" i="9" s="1"/>
  <c r="V37" i="9" a="1"/>
  <c r="V37" i="9" s="1"/>
  <c r="V36" i="9" a="1"/>
  <c r="V36" i="9" s="1"/>
  <c r="V35" i="9" a="1"/>
  <c r="V35" i="9" s="1"/>
  <c r="V13" i="9"/>
  <c r="M16" i="9"/>
  <c r="K16" i="9"/>
  <c r="Q11" i="9"/>
  <c r="M23" i="9"/>
  <c r="M22" i="9"/>
  <c r="V12" i="9"/>
  <c r="T20" i="10" l="1"/>
  <c r="S37" i="10"/>
  <c r="V23" i="10"/>
  <c r="S14" i="10"/>
  <c r="S25" i="10"/>
  <c r="T47" i="10"/>
  <c r="T41" i="10"/>
  <c r="V16" i="10"/>
  <c r="T44" i="10"/>
  <c r="T19" i="10"/>
  <c r="S13" i="10"/>
  <c r="V21" i="10"/>
  <c r="S34" i="10"/>
  <c r="V18" i="10"/>
  <c r="I19" i="9"/>
  <c r="T52" i="9"/>
  <c r="T51" i="9"/>
  <c r="T40" i="9"/>
  <c r="T39" i="9"/>
  <c r="T38" i="9"/>
  <c r="T37" i="9"/>
  <c r="T35" i="9"/>
  <c r="T34" i="9"/>
  <c r="T33" i="9"/>
  <c r="T32" i="9"/>
  <c r="T29" i="9"/>
  <c r="T28" i="9"/>
  <c r="T27" i="9"/>
  <c r="T26" i="9"/>
  <c r="T25" i="9"/>
  <c r="T23" i="9"/>
  <c r="T22" i="9"/>
  <c r="T13" i="9"/>
  <c r="M39" i="9"/>
  <c r="M38" i="9"/>
  <c r="M37" i="9"/>
  <c r="O39" i="9"/>
  <c r="O65" i="9" s="1"/>
  <c r="O38" i="9"/>
  <c r="O64" i="9" s="1"/>
  <c r="O37" i="9"/>
  <c r="O63" i="9" s="1"/>
  <c r="M35" i="9"/>
  <c r="M34" i="9"/>
  <c r="M33" i="9"/>
  <c r="O35" i="9"/>
  <c r="O61" i="9" s="1"/>
  <c r="O34" i="9"/>
  <c r="O60" i="9" s="1"/>
  <c r="O33" i="9"/>
  <c r="O59" i="9" s="1"/>
  <c r="M24" i="9"/>
  <c r="M55" i="9"/>
  <c r="M54" i="9"/>
  <c r="T2" i="9"/>
  <c r="U2" i="9"/>
  <c r="K22" i="9" s="1"/>
  <c r="V2" i="9"/>
  <c r="I27" i="9" s="1"/>
  <c r="U4" i="9"/>
  <c r="K24" i="9" s="1"/>
  <c r="U3" i="9"/>
  <c r="K23" i="9" s="1"/>
  <c r="I16" i="9"/>
  <c r="H16" i="9"/>
  <c r="G16" i="9"/>
  <c r="R77" i="9"/>
  <c r="R76" i="9"/>
  <c r="R75" i="9"/>
  <c r="R72" i="9"/>
  <c r="R71" i="9"/>
  <c r="R70" i="9"/>
  <c r="R69" i="9"/>
  <c r="R66" i="9"/>
  <c r="R65" i="9"/>
  <c r="I65" i="9"/>
  <c r="R64" i="9"/>
  <c r="I64" i="9"/>
  <c r="I63" i="9"/>
  <c r="R62" i="9"/>
  <c r="R61" i="9"/>
  <c r="I61" i="9"/>
  <c r="I60" i="9"/>
  <c r="R59" i="9"/>
  <c r="K59" i="9"/>
  <c r="I59" i="9"/>
  <c r="R57" i="9"/>
  <c r="K56" i="9"/>
  <c r="I56" i="9"/>
  <c r="K55" i="9"/>
  <c r="I55" i="9"/>
  <c r="K54" i="9"/>
  <c r="I54" i="9"/>
  <c r="R51" i="9"/>
  <c r="I49" i="9"/>
  <c r="S39" i="9"/>
  <c r="I39" i="9"/>
  <c r="V25" i="9" s="1"/>
  <c r="S38" i="9"/>
  <c r="I38" i="9"/>
  <c r="V24" i="9" s="1"/>
  <c r="I37" i="9"/>
  <c r="V23" i="9" s="1"/>
  <c r="K35" i="9"/>
  <c r="I35" i="9"/>
  <c r="K34" i="9"/>
  <c r="I34" i="9"/>
  <c r="V19" i="9" s="1"/>
  <c r="I33" i="9"/>
  <c r="R31" i="9"/>
  <c r="R30" i="9"/>
  <c r="S29" i="9"/>
  <c r="R29" i="9"/>
  <c r="S28" i="9"/>
  <c r="R28" i="9"/>
  <c r="S27" i="9"/>
  <c r="K27" i="9"/>
  <c r="S26" i="9"/>
  <c r="R26" i="9"/>
  <c r="R23" i="9"/>
  <c r="S22" i="9"/>
  <c r="R22" i="9"/>
  <c r="S21" i="9"/>
  <c r="R21" i="9"/>
  <c r="S20" i="9"/>
  <c r="S19" i="9"/>
  <c r="R19" i="9"/>
  <c r="S18" i="9"/>
  <c r="R18" i="9"/>
  <c r="S17" i="9"/>
  <c r="R17" i="9"/>
  <c r="S16" i="9"/>
  <c r="R16" i="9"/>
  <c r="S15" i="9"/>
  <c r="K39" i="9"/>
  <c r="L16" i="9"/>
  <c r="K64" i="9" s="1"/>
  <c r="K63" i="9"/>
  <c r="K61" i="9"/>
  <c r="K60" i="9"/>
  <c r="K33" i="9"/>
  <c r="S12" i="9"/>
  <c r="R11" i="9"/>
  <c r="T9" i="9"/>
  <c r="R27" i="9" s="1"/>
  <c r="T8" i="9"/>
  <c r="R24" i="9" s="1"/>
  <c r="T7" i="9"/>
  <c r="R20" i="9" s="1"/>
  <c r="T4" i="9"/>
  <c r="T3" i="9"/>
  <c r="I23" i="9" s="1"/>
  <c r="R50" i="9"/>
  <c r="T12" i="9"/>
  <c r="S11" i="9"/>
  <c r="R10" i="9"/>
  <c r="V17" i="9" l="1"/>
  <c r="V15" i="9"/>
  <c r="M56" i="9"/>
  <c r="V18" i="9"/>
  <c r="V21" i="9"/>
  <c r="V22" i="9"/>
  <c r="V20" i="9"/>
  <c r="M63" i="9"/>
  <c r="V32" i="9"/>
  <c r="M64" i="9"/>
  <c r="V33" i="9"/>
  <c r="M65" i="9"/>
  <c r="V34" i="9"/>
  <c r="T14" i="9"/>
  <c r="V30" i="9"/>
  <c r="M59" i="9"/>
  <c r="V29" i="9"/>
  <c r="T21" i="9"/>
  <c r="V31" i="9"/>
  <c r="T49" i="9"/>
  <c r="T46" i="9"/>
  <c r="M61" i="9"/>
  <c r="T30" i="9"/>
  <c r="T15" i="9"/>
  <c r="T44" i="9"/>
  <c r="M60" i="9"/>
  <c r="T45" i="9"/>
  <c r="T36" i="9"/>
  <c r="T31" i="9"/>
  <c r="T43" i="9"/>
  <c r="T24" i="9"/>
  <c r="T42" i="9"/>
  <c r="T19" i="9"/>
  <c r="R68" i="9"/>
  <c r="R55" i="9"/>
  <c r="O22" i="9"/>
  <c r="V26" i="9" s="1"/>
  <c r="R73" i="9"/>
  <c r="O23" i="9"/>
  <c r="V27" i="9" s="1"/>
  <c r="R74" i="9"/>
  <c r="R60" i="9"/>
  <c r="O24" i="9"/>
  <c r="V28" i="9" s="1"/>
  <c r="R12" i="9"/>
  <c r="R14" i="9"/>
  <c r="S33" i="9"/>
  <c r="S32" i="9"/>
  <c r="S35" i="9"/>
  <c r="I24" i="9"/>
  <c r="R58" i="9"/>
  <c r="I22" i="9"/>
  <c r="R56" i="9"/>
  <c r="S34" i="9"/>
  <c r="S13" i="9"/>
  <c r="S30" i="9"/>
  <c r="R63" i="9"/>
  <c r="R53" i="9"/>
  <c r="S23" i="9"/>
  <c r="R52" i="9"/>
  <c r="R13" i="9"/>
  <c r="K37" i="9"/>
  <c r="S37" i="9" s="1"/>
  <c r="K65" i="9"/>
  <c r="S31" i="9"/>
  <c r="K38" i="9"/>
  <c r="S24" i="9" s="1"/>
  <c r="R15" i="9"/>
  <c r="R25" i="9"/>
  <c r="Q9" i="8"/>
  <c r="I15" i="8"/>
  <c r="G15" i="8"/>
  <c r="H15" i="8"/>
  <c r="M15" i="8"/>
  <c r="L15" i="8"/>
  <c r="S36" i="9" l="1"/>
  <c r="V14" i="9"/>
  <c r="S14" i="9"/>
  <c r="V16" i="9"/>
  <c r="T48" i="9"/>
  <c r="T20" i="9"/>
  <c r="T16" i="9"/>
  <c r="O56" i="9"/>
  <c r="T17" i="9"/>
  <c r="O55" i="9"/>
  <c r="T18" i="9"/>
  <c r="O54" i="9"/>
  <c r="T50" i="9"/>
  <c r="T41" i="9"/>
  <c r="T47" i="9"/>
  <c r="S25" i="9"/>
  <c r="R67" i="9"/>
  <c r="R54" i="9"/>
  <c r="K65" i="8"/>
  <c r="K33" i="8"/>
  <c r="T2" i="8"/>
  <c r="I22" i="8" s="1"/>
  <c r="I18" i="8"/>
  <c r="T9" i="8"/>
  <c r="R27" i="8" s="1"/>
  <c r="K64" i="8"/>
  <c r="K15" i="8"/>
  <c r="K37" i="8" s="1"/>
  <c r="U4" i="8"/>
  <c r="K24" i="8" s="1"/>
  <c r="U3" i="8"/>
  <c r="U2" i="8"/>
  <c r="M77" i="8"/>
  <c r="M76" i="8"/>
  <c r="M75" i="8"/>
  <c r="M72" i="8"/>
  <c r="M71" i="8"/>
  <c r="M70" i="8"/>
  <c r="M69" i="8"/>
  <c r="M66" i="8"/>
  <c r="M65" i="8"/>
  <c r="I65" i="8"/>
  <c r="M64" i="8"/>
  <c r="I64" i="8"/>
  <c r="I63" i="8"/>
  <c r="M62" i="8"/>
  <c r="M61" i="8"/>
  <c r="I61" i="8"/>
  <c r="K60" i="8"/>
  <c r="I60" i="8"/>
  <c r="M59" i="8"/>
  <c r="I59" i="8"/>
  <c r="M57" i="8"/>
  <c r="K56" i="8"/>
  <c r="I56" i="8"/>
  <c r="K55" i="8"/>
  <c r="I55" i="8"/>
  <c r="K54" i="8"/>
  <c r="I54" i="8"/>
  <c r="M51" i="8"/>
  <c r="I49" i="8"/>
  <c r="S39" i="8"/>
  <c r="I39" i="8"/>
  <c r="S38" i="8"/>
  <c r="I38" i="8"/>
  <c r="I37" i="8"/>
  <c r="I35" i="8"/>
  <c r="K34" i="8"/>
  <c r="I34" i="8"/>
  <c r="I33" i="8"/>
  <c r="R31" i="8"/>
  <c r="R30" i="8"/>
  <c r="S29" i="8"/>
  <c r="R29" i="8"/>
  <c r="S28" i="8"/>
  <c r="S27" i="8"/>
  <c r="K27" i="8"/>
  <c r="S26" i="8"/>
  <c r="R26" i="8"/>
  <c r="R25" i="8"/>
  <c r="R23" i="8"/>
  <c r="S22" i="8"/>
  <c r="R22" i="8"/>
  <c r="S21" i="8"/>
  <c r="S20" i="8"/>
  <c r="S19" i="8"/>
  <c r="R19" i="8"/>
  <c r="S18" i="8"/>
  <c r="R18" i="8"/>
  <c r="S17" i="8"/>
  <c r="R17" i="8"/>
  <c r="S16" i="8"/>
  <c r="R16" i="8"/>
  <c r="S15" i="8"/>
  <c r="S12" i="8"/>
  <c r="R11" i="8"/>
  <c r="T8" i="8"/>
  <c r="R24" i="8" s="1"/>
  <c r="T4" i="8"/>
  <c r="I24" i="8" s="1"/>
  <c r="T3" i="8"/>
  <c r="I23" i="8" s="1"/>
  <c r="V2" i="8"/>
  <c r="R15" i="8" s="1"/>
  <c r="S11" i="8"/>
  <c r="R10" i="8"/>
  <c r="M50" i="8"/>
  <c r="M58" i="8" l="1"/>
  <c r="M56" i="8"/>
  <c r="M55" i="8"/>
  <c r="S34" i="8"/>
  <c r="R13" i="8"/>
  <c r="S31" i="8"/>
  <c r="M67" i="8"/>
  <c r="K39" i="8"/>
  <c r="S32" i="8" s="1"/>
  <c r="S35" i="8"/>
  <c r="R12" i="8"/>
  <c r="K35" i="8"/>
  <c r="S33" i="8" s="1"/>
  <c r="R28" i="8"/>
  <c r="K61" i="8"/>
  <c r="M74" i="8" s="1"/>
  <c r="R21" i="8"/>
  <c r="K59" i="8"/>
  <c r="M60" i="8" s="1"/>
  <c r="M54" i="8"/>
  <c r="K38" i="8"/>
  <c r="S24" i="8" s="1"/>
  <c r="M63" i="8"/>
  <c r="K63" i="8"/>
  <c r="S37" i="8"/>
  <c r="M68" i="8"/>
  <c r="T7" i="8"/>
  <c r="R20" i="8" s="1"/>
  <c r="S13" i="8"/>
  <c r="K22" i="8"/>
  <c r="S36" i="8" s="1"/>
  <c r="S25" i="8"/>
  <c r="S14" i="8"/>
  <c r="K23" i="8"/>
  <c r="S23" i="8" s="1"/>
  <c r="R14" i="8"/>
  <c r="I27" i="8"/>
  <c r="S30" i="8" s="1"/>
  <c r="M53" i="8"/>
  <c r="M77" i="7"/>
  <c r="M76" i="7"/>
  <c r="M75" i="7"/>
  <c r="M72" i="7"/>
  <c r="M71" i="7"/>
  <c r="M70" i="7"/>
  <c r="M69" i="7"/>
  <c r="M66" i="7"/>
  <c r="M65" i="7"/>
  <c r="M64" i="7"/>
  <c r="M62" i="7"/>
  <c r="M61" i="7"/>
  <c r="M59" i="7"/>
  <c r="M57" i="7"/>
  <c r="M51" i="7"/>
  <c r="I49" i="7"/>
  <c r="S39" i="7"/>
  <c r="S38" i="7"/>
  <c r="S29" i="7"/>
  <c r="S28" i="7"/>
  <c r="S27" i="7"/>
  <c r="S26" i="7"/>
  <c r="S22" i="7"/>
  <c r="S21" i="7"/>
  <c r="S20" i="7"/>
  <c r="S19" i="7"/>
  <c r="S18" i="7"/>
  <c r="S17" i="7"/>
  <c r="S16" i="7"/>
  <c r="S15" i="7"/>
  <c r="S12" i="7"/>
  <c r="M50" i="7"/>
  <c r="M73" i="8" l="1"/>
  <c r="M52" i="8"/>
  <c r="K56" i="7"/>
  <c r="K55" i="7"/>
  <c r="K54" i="7"/>
  <c r="U2" i="7"/>
  <c r="K22" i="7" s="1"/>
  <c r="I56" i="7"/>
  <c r="I55" i="7"/>
  <c r="I54" i="7"/>
  <c r="K65" i="7"/>
  <c r="K64" i="7"/>
  <c r="K63" i="7"/>
  <c r="I65" i="7"/>
  <c r="I64" i="7"/>
  <c r="I63" i="7"/>
  <c r="K61" i="7"/>
  <c r="K60" i="7"/>
  <c r="K59" i="7"/>
  <c r="I61" i="7"/>
  <c r="I60" i="7"/>
  <c r="I59" i="7"/>
  <c r="K39" i="7"/>
  <c r="K38" i="7"/>
  <c r="K37" i="7"/>
  <c r="I39" i="7"/>
  <c r="S32" i="7" s="1"/>
  <c r="I38" i="7"/>
  <c r="S24" i="7" s="1"/>
  <c r="I37" i="7"/>
  <c r="S37" i="7" s="1"/>
  <c r="K35" i="7"/>
  <c r="I35" i="7"/>
  <c r="K34" i="7"/>
  <c r="I34" i="7"/>
  <c r="K33" i="7"/>
  <c r="I33" i="7"/>
  <c r="R31" i="7"/>
  <c r="R30" i="7"/>
  <c r="R29" i="7"/>
  <c r="R28" i="7"/>
  <c r="K27" i="7"/>
  <c r="R26" i="7"/>
  <c r="R25" i="7"/>
  <c r="R23" i="7"/>
  <c r="R22" i="7"/>
  <c r="R21" i="7"/>
  <c r="R19" i="7"/>
  <c r="R18" i="7"/>
  <c r="R17" i="7"/>
  <c r="R16" i="7"/>
  <c r="R11" i="7"/>
  <c r="T9" i="7"/>
  <c r="R27" i="7" s="1"/>
  <c r="Q9" i="7"/>
  <c r="I18" i="7" s="1"/>
  <c r="T8" i="7"/>
  <c r="R24" i="7" s="1"/>
  <c r="T7" i="7"/>
  <c r="R20" i="7" s="1"/>
  <c r="U4" i="7"/>
  <c r="K24" i="7" s="1"/>
  <c r="T4" i="7"/>
  <c r="I24" i="7" s="1"/>
  <c r="U3" i="7"/>
  <c r="K23" i="7" s="1"/>
  <c r="T3" i="7"/>
  <c r="I23" i="7" s="1"/>
  <c r="V2" i="7"/>
  <c r="I27" i="7" s="1"/>
  <c r="T2" i="7"/>
  <c r="I22" i="7" s="1"/>
  <c r="R10" i="7"/>
  <c r="S11" i="7"/>
  <c r="M68" i="7" l="1"/>
  <c r="S33" i="7"/>
  <c r="M60" i="7"/>
  <c r="M74" i="7"/>
  <c r="S30" i="7"/>
  <c r="M58" i="7"/>
  <c r="M73" i="7"/>
  <c r="M52" i="7"/>
  <c r="M53" i="7"/>
  <c r="M63" i="7"/>
  <c r="M67" i="7"/>
  <c r="M54" i="7"/>
  <c r="M55" i="7"/>
  <c r="M56" i="7"/>
  <c r="S23" i="7"/>
  <c r="S36" i="7"/>
  <c r="S13" i="7"/>
  <c r="S34" i="7"/>
  <c r="S31" i="7"/>
  <c r="S35" i="7"/>
  <c r="S14" i="7"/>
  <c r="S25" i="7"/>
  <c r="R12" i="7"/>
  <c r="R13" i="7"/>
  <c r="R14" i="7"/>
  <c r="R15" i="7"/>
  <c r="V2" i="5"/>
  <c r="T4" i="5"/>
  <c r="U4" i="5"/>
  <c r="U3" i="5"/>
  <c r="Q9" i="4"/>
  <c r="I28" i="5"/>
  <c r="V2" i="4"/>
  <c r="I27" i="4" s="1"/>
  <c r="U2" i="4"/>
  <c r="T3" i="5"/>
  <c r="T2" i="5"/>
  <c r="T4" i="4"/>
  <c r="T3" i="4"/>
  <c r="T2" i="4"/>
  <c r="U2" i="5"/>
  <c r="U3" i="4"/>
  <c r="I40" i="6" l="1"/>
  <c r="I39" i="6"/>
  <c r="I38" i="6"/>
  <c r="K33" i="6"/>
  <c r="R31" i="6"/>
  <c r="G31" i="6"/>
  <c r="K40" i="6" s="1"/>
  <c r="R30" i="6"/>
  <c r="G30" i="6"/>
  <c r="K39" i="6" s="1"/>
  <c r="R29" i="6"/>
  <c r="G29" i="6"/>
  <c r="K38" i="6" s="1"/>
  <c r="R28" i="6"/>
  <c r="R26" i="6"/>
  <c r="R25" i="6"/>
  <c r="R23" i="6"/>
  <c r="R22" i="6"/>
  <c r="R21" i="6"/>
  <c r="R19" i="6"/>
  <c r="R18" i="6"/>
  <c r="R17" i="6"/>
  <c r="R16" i="6"/>
  <c r="R11" i="6"/>
  <c r="T9" i="6"/>
  <c r="R27" i="6" s="1"/>
  <c r="Q9" i="6"/>
  <c r="I18" i="6" s="1"/>
  <c r="T8" i="6"/>
  <c r="R24" i="6" s="1"/>
  <c r="T7" i="6"/>
  <c r="R20" i="6" s="1"/>
  <c r="U4" i="6"/>
  <c r="K24" i="6" s="1"/>
  <c r="T4" i="6"/>
  <c r="R14" i="6" s="1"/>
  <c r="U3" i="6"/>
  <c r="K23" i="6" s="1"/>
  <c r="T3" i="6"/>
  <c r="I23" i="6" s="1"/>
  <c r="V2" i="6"/>
  <c r="R15" i="6" s="1"/>
  <c r="U2" i="6"/>
  <c r="K22" i="6" s="1"/>
  <c r="T2" i="6"/>
  <c r="K23" i="5"/>
  <c r="I31" i="5"/>
  <c r="K31" i="5"/>
  <c r="K28" i="5"/>
  <c r="M15" i="5"/>
  <c r="L15" i="5"/>
  <c r="K15" i="5"/>
  <c r="K44" i="5"/>
  <c r="I44" i="5"/>
  <c r="K43" i="5"/>
  <c r="I43" i="5"/>
  <c r="K42" i="5"/>
  <c r="I42" i="5"/>
  <c r="R31" i="5"/>
  <c r="R30" i="5"/>
  <c r="R29" i="5"/>
  <c r="R28" i="5"/>
  <c r="K36" i="5"/>
  <c r="R26" i="5"/>
  <c r="R25" i="5"/>
  <c r="R23" i="5"/>
  <c r="R22" i="5"/>
  <c r="R21" i="5"/>
  <c r="R19" i="5"/>
  <c r="R18" i="5"/>
  <c r="R17" i="5"/>
  <c r="R16" i="5"/>
  <c r="R11" i="5"/>
  <c r="T9" i="5"/>
  <c r="R27" i="5" s="1"/>
  <c r="T8" i="5"/>
  <c r="R24" i="5" s="1"/>
  <c r="T7" i="5"/>
  <c r="R20" i="5" s="1"/>
  <c r="K33" i="5"/>
  <c r="K32" i="5"/>
  <c r="I32" i="5"/>
  <c r="I36" i="5"/>
  <c r="R10" i="6"/>
  <c r="R10" i="5"/>
  <c r="Q9" i="5" l="1"/>
  <c r="I18" i="5" s="1"/>
  <c r="K31" i="6"/>
  <c r="R12" i="6"/>
  <c r="R13" i="6"/>
  <c r="I24" i="6"/>
  <c r="K29" i="6"/>
  <c r="I33" i="6"/>
  <c r="I22" i="6"/>
  <c r="K30" i="6"/>
  <c r="R15" i="5"/>
  <c r="R14" i="5"/>
  <c r="R12" i="5"/>
  <c r="R13" i="5"/>
  <c r="I33" i="5"/>
  <c r="I40" i="1"/>
  <c r="I39" i="1"/>
  <c r="I38" i="1"/>
  <c r="Q9" i="1"/>
  <c r="T2" i="1"/>
  <c r="T4" i="1"/>
  <c r="G31" i="1"/>
  <c r="K31" i="1" s="1"/>
  <c r="G30" i="1"/>
  <c r="K39" i="1" s="1"/>
  <c r="G29" i="1"/>
  <c r="K38" i="1" s="1"/>
  <c r="K35" i="4"/>
  <c r="I35" i="4"/>
  <c r="K34" i="4"/>
  <c r="I34" i="4"/>
  <c r="K33" i="4"/>
  <c r="I33" i="4"/>
  <c r="R31" i="4"/>
  <c r="R30" i="4"/>
  <c r="R29" i="4"/>
  <c r="R28" i="4"/>
  <c r="K27" i="4"/>
  <c r="R26" i="4"/>
  <c r="R25" i="4"/>
  <c r="R23" i="4"/>
  <c r="R22" i="4"/>
  <c r="R21" i="4"/>
  <c r="R19" i="4"/>
  <c r="R18" i="4"/>
  <c r="R17" i="4"/>
  <c r="R16" i="4"/>
  <c r="R11" i="4"/>
  <c r="T9" i="4"/>
  <c r="R27" i="4" s="1"/>
  <c r="I18" i="4"/>
  <c r="T8" i="4"/>
  <c r="R24" i="4" s="1"/>
  <c r="T7" i="4"/>
  <c r="R20" i="4" s="1"/>
  <c r="U4" i="4"/>
  <c r="K24" i="4" s="1"/>
  <c r="K23" i="4"/>
  <c r="I23" i="4"/>
  <c r="K22" i="4"/>
  <c r="I22" i="4"/>
  <c r="R31" i="1"/>
  <c r="R30" i="1"/>
  <c r="R29" i="1"/>
  <c r="R28" i="1"/>
  <c r="R26" i="1"/>
  <c r="R25" i="1"/>
  <c r="R23" i="1"/>
  <c r="R22" i="1"/>
  <c r="R21" i="1"/>
  <c r="R19" i="1"/>
  <c r="R18" i="1"/>
  <c r="R17" i="1"/>
  <c r="R16" i="1"/>
  <c r="R11" i="1"/>
  <c r="K33" i="1"/>
  <c r="R10" i="4"/>
  <c r="R10" i="1"/>
  <c r="R14" i="4" l="1"/>
  <c r="R12" i="4"/>
  <c r="R13" i="4"/>
  <c r="K40" i="1"/>
  <c r="K29" i="1"/>
  <c r="K30" i="1"/>
  <c r="R15" i="4"/>
  <c r="I24" i="4"/>
  <c r="T8" i="1"/>
  <c r="R24" i="1" s="1"/>
  <c r="T9" i="1"/>
  <c r="R27" i="1" s="1"/>
  <c r="T7" i="1"/>
  <c r="R20" i="1" s="1"/>
  <c r="I18" i="1"/>
  <c r="U2" i="1"/>
  <c r="K22" i="1" s="1"/>
  <c r="V2" i="1"/>
  <c r="U4" i="1"/>
  <c r="K24" i="1" s="1"/>
  <c r="U3" i="1"/>
  <c r="K23" i="1" s="1"/>
  <c r="T3" i="1"/>
  <c r="I33" i="1" l="1"/>
  <c r="R15" i="1"/>
  <c r="I22" i="1"/>
  <c r="R12" i="1"/>
  <c r="I23" i="1"/>
  <c r="R13" i="1"/>
  <c r="I24" i="1"/>
  <c r="R14" i="1"/>
</calcChain>
</file>

<file path=xl/sharedStrings.xml><?xml version="1.0" encoding="utf-8"?>
<sst xmlns="http://schemas.openxmlformats.org/spreadsheetml/2006/main" count="933" uniqueCount="123">
  <si>
    <t>цены</t>
  </si>
  <si>
    <t>Целевая функция:</t>
  </si>
  <si>
    <t>yl*rl</t>
  </si>
  <si>
    <t>til*xi</t>
  </si>
  <si>
    <t>ylyl</t>
  </si>
  <si>
    <t>dZSy</t>
  </si>
  <si>
    <t>a1</t>
  </si>
  <si>
    <t>a2</t>
  </si>
  <si>
    <t>a3</t>
  </si>
  <si>
    <t>переменные издержки</t>
  </si>
  <si>
    <t>b1</t>
  </si>
  <si>
    <t>b2</t>
  </si>
  <si>
    <t>b3</t>
  </si>
  <si>
    <t>Постоянные издержки</t>
  </si>
  <si>
    <t>Спрос</t>
  </si>
  <si>
    <t>pt1</t>
  </si>
  <si>
    <t>pt2</t>
  </si>
  <si>
    <t>pt3</t>
  </si>
  <si>
    <t>Стоимость обрудования</t>
  </si>
  <si>
    <t>l1</t>
  </si>
  <si>
    <t>l2</t>
  </si>
  <si>
    <t>l3</t>
  </si>
  <si>
    <t>Площадь, занимаемая оборудованием</t>
  </si>
  <si>
    <t>s1</t>
  </si>
  <si>
    <t>s2</t>
  </si>
  <si>
    <t>s3</t>
  </si>
  <si>
    <t>Цена аренды за 1 м^2</t>
  </si>
  <si>
    <t>d</t>
  </si>
  <si>
    <t>Объем инвестиций</t>
  </si>
  <si>
    <t>F</t>
  </si>
  <si>
    <t>эффективное время использования оборудования</t>
  </si>
  <si>
    <t>r1</t>
  </si>
  <si>
    <t>r2</t>
  </si>
  <si>
    <t>r3</t>
  </si>
  <si>
    <t>Количесвто производимой продукции</t>
  </si>
  <si>
    <t>х1</t>
  </si>
  <si>
    <t>х2</t>
  </si>
  <si>
    <t>х3</t>
  </si>
  <si>
    <t>Количество закупаемого оборудования</t>
  </si>
  <si>
    <t>у1</t>
  </si>
  <si>
    <t>у2</t>
  </si>
  <si>
    <t>у3</t>
  </si>
  <si>
    <t>время обработки единицы продукции</t>
  </si>
  <si>
    <t>t11</t>
  </si>
  <si>
    <t>t12</t>
  </si>
  <si>
    <t>t13</t>
  </si>
  <si>
    <t>t21</t>
  </si>
  <si>
    <t>t31</t>
  </si>
  <si>
    <t>t22</t>
  </si>
  <si>
    <t>t23</t>
  </si>
  <si>
    <t>t33</t>
  </si>
  <si>
    <t>pti-0,1(a-a1)</t>
  </si>
  <si>
    <t>1.</t>
  </si>
  <si>
    <t>4.</t>
  </si>
  <si>
    <t>5.</t>
  </si>
  <si>
    <t>Задача с фиксированной ценой на продукцию</t>
  </si>
  <si>
    <t>Целевая функция - валовая прибыль</t>
  </si>
  <si>
    <t xml:space="preserve">2. </t>
  </si>
  <si>
    <t>Ограничение на производственную мощность</t>
  </si>
  <si>
    <t>&lt;=</t>
  </si>
  <si>
    <t xml:space="preserve">3. </t>
  </si>
  <si>
    <t>Ограничения на привлекаемый объем инвестиций</t>
  </si>
  <si>
    <t>Ограничение на спрос</t>
  </si>
  <si>
    <t>Ограничения на принадлежность ответа к целому неотрицательному числу</t>
  </si>
  <si>
    <t>Задача с изменяющейся ценой на продукцию (текущая цена - минимальная, максимальная цена - текущая цена +20%)</t>
  </si>
  <si>
    <t>фиксир</t>
  </si>
  <si>
    <t xml:space="preserve"> </t>
  </si>
  <si>
    <t>2(1)</t>
  </si>
  <si>
    <t>4(1)</t>
  </si>
  <si>
    <t>)</t>
  </si>
  <si>
    <t>Коэф. Уменьшения объема спроса при увеличении цены</t>
  </si>
  <si>
    <t>Δ1</t>
  </si>
  <si>
    <t>Δ2</t>
  </si>
  <si>
    <t>Δ3</t>
  </si>
  <si>
    <t>Ограничения на изменения цен</t>
  </si>
  <si>
    <t>x1</t>
  </si>
  <si>
    <t>x2</t>
  </si>
  <si>
    <t>x3</t>
  </si>
  <si>
    <t>рублей</t>
  </si>
  <si>
    <t>Целевая функция - критерий рентабельности</t>
  </si>
  <si>
    <t>маржинальный доход</t>
  </si>
  <si>
    <t>c1</t>
  </si>
  <si>
    <t>c2</t>
  </si>
  <si>
    <t>c3</t>
  </si>
  <si>
    <t>1)</t>
  </si>
  <si>
    <t>2)</t>
  </si>
  <si>
    <t>Dmax</t>
  </si>
  <si>
    <t>1.2)</t>
  </si>
  <si>
    <t>Ограничение на минимальную выручку</t>
  </si>
  <si>
    <t xml:space="preserve">    </t>
  </si>
  <si>
    <t>1.3)</t>
  </si>
  <si>
    <t>Ограничение на валовую прибыль</t>
  </si>
  <si>
    <t>3)</t>
  </si>
  <si>
    <t>4)</t>
  </si>
  <si>
    <t>5)</t>
  </si>
  <si>
    <t>&lt;</t>
  </si>
  <si>
    <t>&gt;=</t>
  </si>
  <si>
    <t>Dгр</t>
  </si>
  <si>
    <t>4.1</t>
  </si>
  <si>
    <t>Заказ</t>
  </si>
  <si>
    <t>Zak1</t>
  </si>
  <si>
    <t>Zak2</t>
  </si>
  <si>
    <t>Zak3</t>
  </si>
  <si>
    <t>6.</t>
  </si>
  <si>
    <t>Целевая функция – объем инвестиций</t>
  </si>
  <si>
    <t>7.</t>
  </si>
  <si>
    <t>8.</t>
  </si>
  <si>
    <t>Ограничение на спрос и на заказ</t>
  </si>
  <si>
    <t>9.</t>
  </si>
  <si>
    <t>рублей (F*)</t>
  </si>
  <si>
    <t>Ограничение на заказ</t>
  </si>
  <si>
    <t>задача на заказ</t>
  </si>
  <si>
    <t>инвестиции</t>
  </si>
  <si>
    <t>Ставка дисконтирования</t>
  </si>
  <si>
    <t>D</t>
  </si>
  <si>
    <t>Периоды</t>
  </si>
  <si>
    <t>t1</t>
  </si>
  <si>
    <t>t2</t>
  </si>
  <si>
    <t>дисконт правильная</t>
  </si>
  <si>
    <t>дисконт  самая верная</t>
  </si>
  <si>
    <t>Количество производимой продукции</t>
  </si>
  <si>
    <t>Стоимость аренды обрудования/месяц</t>
  </si>
  <si>
    <t>дисконт оборуд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</si>
</sst>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8" xfId="0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/>
    <xf numFmtId="0" fontId="2" fillId="0" borderId="0" xfId="0" applyFont="1"/>
    <xf numFmtId="16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2" fontId="0" fillId="0" borderId="0" xfId="0" applyNumberFormat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0" fillId="0" borderId="0" xfId="0" applyNumberFormat="1"/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Alignment="1"/>
    <xf numFmtId="0" fontId="0" fillId="0" borderId="1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openxmlformats.org/officeDocument/2006/relationships/image" Target="../media/image12.png"/><Relationship Id="rId1" Type="http://schemas.openxmlformats.org/officeDocument/2006/relationships/image" Target="../media/image1.png"/><Relationship Id="rId6" Type="http://schemas.openxmlformats.org/officeDocument/2006/relationships/image" Target="../media/image13.png"/><Relationship Id="rId5" Type="http://schemas.openxmlformats.org/officeDocument/2006/relationships/image" Target="../media/image4.png"/><Relationship Id="rId10" Type="http://schemas.openxmlformats.org/officeDocument/2006/relationships/image" Target="../media/image8.png"/><Relationship Id="rId4" Type="http://schemas.openxmlformats.org/officeDocument/2006/relationships/image" Target="../media/image3.png"/><Relationship Id="rId9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openxmlformats.org/officeDocument/2006/relationships/image" Target="../media/image12.png"/><Relationship Id="rId1" Type="http://schemas.openxmlformats.org/officeDocument/2006/relationships/image" Target="../media/image1.png"/><Relationship Id="rId6" Type="http://schemas.openxmlformats.org/officeDocument/2006/relationships/image" Target="../media/image13.png"/><Relationship Id="rId5" Type="http://schemas.openxmlformats.org/officeDocument/2006/relationships/image" Target="../media/image4.png"/><Relationship Id="rId10" Type="http://schemas.openxmlformats.org/officeDocument/2006/relationships/image" Target="../media/image8.png"/><Relationship Id="rId4" Type="http://schemas.openxmlformats.org/officeDocument/2006/relationships/image" Target="../media/image3.png"/><Relationship Id="rId9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12.png"/><Relationship Id="rId7" Type="http://schemas.openxmlformats.org/officeDocument/2006/relationships/image" Target="../media/image13.png"/><Relationship Id="rId2" Type="http://schemas.openxmlformats.org/officeDocument/2006/relationships/image" Target="../media/image1.png"/><Relationship Id="rId1" Type="http://schemas.openxmlformats.org/officeDocument/2006/relationships/image" Target="../media/image14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image" Target="../media/image14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2.png"/><Relationship Id="rId7" Type="http://schemas.openxmlformats.org/officeDocument/2006/relationships/image" Target="../media/image18.png"/><Relationship Id="rId2" Type="http://schemas.openxmlformats.org/officeDocument/2006/relationships/image" Target="../media/image12.png"/><Relationship Id="rId1" Type="http://schemas.openxmlformats.org/officeDocument/2006/relationships/image" Target="../media/image1.png"/><Relationship Id="rId6" Type="http://schemas.openxmlformats.org/officeDocument/2006/relationships/image" Target="../media/image17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.png"/><Relationship Id="rId1" Type="http://schemas.openxmlformats.org/officeDocument/2006/relationships/image" Target="../media/image14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image" Target="../media/image14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66675</xdr:rowOff>
    </xdr:from>
    <xdr:to>
      <xdr:col>4</xdr:col>
      <xdr:colOff>495300</xdr:colOff>
      <xdr:row>24</xdr:row>
      <xdr:rowOff>171450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F277111A-A1AB-4186-AAB3-320985292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53150"/>
          <a:ext cx="17145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33</xdr:row>
      <xdr:rowOff>152400</xdr:rowOff>
    </xdr:from>
    <xdr:to>
      <xdr:col>3</xdr:col>
      <xdr:colOff>533400</xdr:colOff>
      <xdr:row>34</xdr:row>
      <xdr:rowOff>171450</xdr:rowOff>
    </xdr:to>
    <xdr:pic>
      <xdr:nvPicPr>
        <xdr:cNvPr id="4" name="Рисунок 3">
          <a:extLst>
            <a:ext uri="{FF2B5EF4-FFF2-40B4-BE49-F238E27FC236}">
              <a16:creationId xmlns="" xmlns:a16="http://schemas.microsoft.com/office/drawing/2014/main" id="{60986BBC-683F-4114-9CCD-4DD50774A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610600"/>
          <a:ext cx="1066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41</xdr:row>
      <xdr:rowOff>123825</xdr:rowOff>
    </xdr:from>
    <xdr:to>
      <xdr:col>2</xdr:col>
      <xdr:colOff>514350</xdr:colOff>
      <xdr:row>42</xdr:row>
      <xdr:rowOff>123825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167915E-A178-4A51-AF93-9E3C223C9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022985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447675</xdr:colOff>
      <xdr:row>16</xdr:row>
      <xdr:rowOff>190500</xdr:rowOff>
    </xdr:to>
    <xdr:pic>
      <xdr:nvPicPr>
        <xdr:cNvPr id="6" name="Рисунок 5">
          <a:extLst>
            <a:ext uri="{FF2B5EF4-FFF2-40B4-BE49-F238E27FC236}">
              <a16:creationId xmlns="" xmlns:a16="http://schemas.microsoft.com/office/drawing/2014/main" id="{01D76130-6908-432C-965D-2A3EB177D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875" y="485775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57150</xdr:colOff>
      <xdr:row>41</xdr:row>
      <xdr:rowOff>133350</xdr:rowOff>
    </xdr:from>
    <xdr:to>
      <xdr:col>3</xdr:col>
      <xdr:colOff>504825</xdr:colOff>
      <xdr:row>42</xdr:row>
      <xdr:rowOff>133350</xdr:rowOff>
    </xdr:to>
    <xdr:pic>
      <xdr:nvPicPr>
        <xdr:cNvPr id="7" name="Рисунок 6">
          <a:extLst>
            <a:ext uri="{FF2B5EF4-FFF2-40B4-BE49-F238E27FC236}">
              <a16:creationId xmlns="" xmlns:a16="http://schemas.microsoft.com/office/drawing/2014/main" id="{E3C974E8-96B2-4C99-A454-E06F7B96B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10239375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54</xdr:row>
      <xdr:rowOff>76200</xdr:rowOff>
    </xdr:from>
    <xdr:to>
      <xdr:col>5</xdr:col>
      <xdr:colOff>0</xdr:colOff>
      <xdr:row>56</xdr:row>
      <xdr:rowOff>161925</xdr:rowOff>
    </xdr:to>
    <xdr:pic>
      <xdr:nvPicPr>
        <xdr:cNvPr id="9" name="Рисунок 8">
          <a:extLst>
            <a:ext uri="{FF2B5EF4-FFF2-40B4-BE49-F238E27FC236}">
              <a16:creationId xmlns="" xmlns:a16="http://schemas.microsoft.com/office/drawing/2014/main" id="{13A8B993-AF22-408E-81AC-93E618AFD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25400"/>
          <a:ext cx="18288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295275</xdr:colOff>
      <xdr:row>59</xdr:row>
      <xdr:rowOff>28575</xdr:rowOff>
    </xdr:from>
    <xdr:to>
      <xdr:col>5</xdr:col>
      <xdr:colOff>161925</xdr:colOff>
      <xdr:row>60</xdr:row>
      <xdr:rowOff>19050</xdr:rowOff>
    </xdr:to>
    <xdr:pic>
      <xdr:nvPicPr>
        <xdr:cNvPr id="10" name="Рисунок 9">
          <a:extLst>
            <a:ext uri="{FF2B5EF4-FFF2-40B4-BE49-F238E27FC236}">
              <a16:creationId xmlns="" xmlns:a16="http://schemas.microsoft.com/office/drawing/2014/main" id="{9FD13798-267B-406D-92BF-81A96410E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13706475"/>
          <a:ext cx="476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314325</xdr:colOff>
      <xdr:row>62</xdr:row>
      <xdr:rowOff>190500</xdr:rowOff>
    </xdr:from>
    <xdr:to>
      <xdr:col>5</xdr:col>
      <xdr:colOff>257175</xdr:colOff>
      <xdr:row>63</xdr:row>
      <xdr:rowOff>161925</xdr:rowOff>
    </xdr:to>
    <xdr:pic>
      <xdr:nvPicPr>
        <xdr:cNvPr id="11" name="Рисунок 10">
          <a:extLst>
            <a:ext uri="{FF2B5EF4-FFF2-40B4-BE49-F238E27FC236}">
              <a16:creationId xmlns="" xmlns:a16="http://schemas.microsoft.com/office/drawing/2014/main" id="{371BDE9B-058D-40DA-81AF-40F8612EC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14497050"/>
          <a:ext cx="552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67</xdr:row>
      <xdr:rowOff>123825</xdr:rowOff>
    </xdr:from>
    <xdr:to>
      <xdr:col>2</xdr:col>
      <xdr:colOff>514350</xdr:colOff>
      <xdr:row>68</xdr:row>
      <xdr:rowOff>123825</xdr:rowOff>
    </xdr:to>
    <xdr:pic>
      <xdr:nvPicPr>
        <xdr:cNvPr id="12" name="Рисунок 11">
          <a:extLst>
            <a:ext uri="{FF2B5EF4-FFF2-40B4-BE49-F238E27FC236}">
              <a16:creationId xmlns="" xmlns:a16="http://schemas.microsoft.com/office/drawing/2014/main" id="{34CDCFE1-4645-4F86-9622-A802630F9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544955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57150</xdr:colOff>
      <xdr:row>67</xdr:row>
      <xdr:rowOff>133350</xdr:rowOff>
    </xdr:from>
    <xdr:to>
      <xdr:col>3</xdr:col>
      <xdr:colOff>504825</xdr:colOff>
      <xdr:row>68</xdr:row>
      <xdr:rowOff>133350</xdr:rowOff>
    </xdr:to>
    <xdr:pic>
      <xdr:nvPicPr>
        <xdr:cNvPr id="13" name="Рисунок 12">
          <a:extLst>
            <a:ext uri="{FF2B5EF4-FFF2-40B4-BE49-F238E27FC236}">
              <a16:creationId xmlns="" xmlns:a16="http://schemas.microsoft.com/office/drawing/2014/main" id="{D719C3E6-1A5A-43DF-B9A7-0E49DFAB4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15459075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133350</xdr:colOff>
      <xdr:row>37</xdr:row>
      <xdr:rowOff>66675</xdr:rowOff>
    </xdr:from>
    <xdr:to>
      <xdr:col>3</xdr:col>
      <xdr:colOff>76200</xdr:colOff>
      <xdr:row>38</xdr:row>
      <xdr:rowOff>38100</xdr:rowOff>
    </xdr:to>
    <xdr:pic>
      <xdr:nvPicPr>
        <xdr:cNvPr id="14" name="Рисунок 13">
          <a:extLst>
            <a:ext uri="{FF2B5EF4-FFF2-40B4-BE49-F238E27FC236}">
              <a16:creationId xmlns="" xmlns:a16="http://schemas.microsoft.com/office/drawing/2014/main" id="{371BDE9B-058D-40DA-81AF-40F8612EC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9363075"/>
          <a:ext cx="552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771525</xdr:colOff>
      <xdr:row>42</xdr:row>
      <xdr:rowOff>71437</xdr:rowOff>
    </xdr:from>
    <xdr:ext cx="1752600" cy="4367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/>
            <xdr:cNvSpPr txBox="1"/>
          </xdr:nvSpPr>
          <xdr:spPr>
            <a:xfrm>
              <a:off x="7029450" y="10367962"/>
              <a:ext cx="1752600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ru-RU" sz="1100" i="1">
                      <a:latin typeface="Cambria Math"/>
                      <a:ea typeface="Cambria Math"/>
                    </a:rPr>
                    <m:t>∆</m:t>
                  </m:r>
                  <m:r>
                    <a:rPr lang="en-US" sz="1100" b="0" i="1">
                      <a:latin typeface="Cambria Math"/>
                      <a:ea typeface="Cambria Math"/>
                    </a:rPr>
                    <m:t>𝐹</m:t>
                  </m:r>
                  <m:r>
                    <a:rPr lang="en-US" sz="1100" b="0" i="1">
                      <a:latin typeface="Cambria Math"/>
                      <a:ea typeface="Cambria Math"/>
                    </a:rPr>
                    <m:t>=</m:t>
                  </m:r>
                  <m:sSup>
                    <m:sSupPr>
                      <m:ctrlPr>
                        <a:rPr lang="en-US" sz="1100" b="0" i="1">
                          <a:latin typeface="Cambria Math"/>
                          <a:ea typeface="Cambria Math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/>
                          <a:ea typeface="Cambria Math"/>
                        </a:rPr>
                        <m:t>𝐹</m:t>
                      </m:r>
                    </m:e>
                    <m:sup>
                      <m:r>
                        <a:rPr lang="en-US" sz="1100" b="0" i="1">
                          <a:latin typeface="Cambria Math"/>
                          <a:ea typeface="Cambria Math"/>
                        </a:rPr>
                        <m:t>∗</m:t>
                      </m:r>
                    </m:sup>
                  </m:sSup>
                </m:oMath>
              </a14:m>
              <a:r>
                <a:rPr lang="en-US" sz="1100"/>
                <a:t>-F</a:t>
              </a:r>
            </a:p>
            <a:p>
              <a14:m>
                <m:oMath xmlns:m="http://schemas.openxmlformats.org/officeDocument/2006/math">
                  <m:r>
                    <a:rPr lang="ru-RU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∆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𝐹</m:t>
                  </m:r>
                </m:oMath>
              </a14:m>
              <a:r>
                <a:rPr lang="en-US" sz="1100"/>
                <a:t>=862800-800000=62800</a:t>
              </a:r>
              <a:endParaRPr lang="ru-RU" sz="1100"/>
            </a:p>
          </xdr:txBody>
        </xdr:sp>
      </mc:Choice>
      <mc:Fallback>
        <xdr:sp macro="" textlink="">
          <xdr:nvSpPr>
            <xdr:cNvPr id="15" name="TextBox 14"/>
            <xdr:cNvSpPr txBox="1"/>
          </xdr:nvSpPr>
          <xdr:spPr>
            <a:xfrm>
              <a:off x="7029450" y="10367962"/>
              <a:ext cx="1752600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𝐹=𝐹^∗</a:t>
              </a:r>
              <a:r>
                <a:rPr lang="en-US" sz="1100"/>
                <a:t>-F</a:t>
              </a:r>
            </a:p>
            <a:p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𝐹</a:t>
              </a:r>
              <a:r>
                <a:rPr lang="en-US" sz="1100"/>
                <a:t>=862800-800000=62800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0</xdr:col>
      <xdr:colOff>304800</xdr:colOff>
      <xdr:row>18</xdr:row>
      <xdr:rowOff>19050</xdr:rowOff>
    </xdr:from>
    <xdr:to>
      <xdr:col>7</xdr:col>
      <xdr:colOff>600075</xdr:colOff>
      <xdr:row>20</xdr:row>
      <xdr:rowOff>120532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" y="5286375"/>
          <a:ext cx="4562475" cy="511057"/>
        </a:xfrm>
        <a:prstGeom prst="rect">
          <a:avLst/>
        </a:prstGeom>
      </xdr:spPr>
    </xdr:pic>
    <xdr:clientData/>
  </xdr:twoCellAnchor>
  <xdr:twoCellAnchor>
    <xdr:from>
      <xdr:col>2</xdr:col>
      <xdr:colOff>200025</xdr:colOff>
      <xdr:row>30</xdr:row>
      <xdr:rowOff>28575</xdr:rowOff>
    </xdr:from>
    <xdr:to>
      <xdr:col>4</xdr:col>
      <xdr:colOff>19050</xdr:colOff>
      <xdr:row>31</xdr:row>
      <xdr:rowOff>76200</xdr:rowOff>
    </xdr:to>
    <xdr:pic>
      <xdr:nvPicPr>
        <xdr:cNvPr id="18" name="Рисунок 17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8077200"/>
          <a:ext cx="10382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27</xdr:row>
      <xdr:rowOff>9526</xdr:rowOff>
    </xdr:from>
    <xdr:to>
      <xdr:col>5</xdr:col>
      <xdr:colOff>504825</xdr:colOff>
      <xdr:row>29</xdr:row>
      <xdr:rowOff>162174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7439026"/>
          <a:ext cx="2295525" cy="571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133350</xdr:colOff>
      <xdr:row>49</xdr:row>
      <xdr:rowOff>47625</xdr:rowOff>
    </xdr:from>
    <xdr:to>
      <xdr:col>6</xdr:col>
      <xdr:colOff>466725</xdr:colOff>
      <xdr:row>52</xdr:row>
      <xdr:rowOff>104775</xdr:rowOff>
    </xdr:to>
    <xdr:pic>
      <xdr:nvPicPr>
        <xdr:cNvPr id="20" name="Рисунок 1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11630025"/>
          <a:ext cx="2771775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66675</xdr:rowOff>
    </xdr:from>
    <xdr:to>
      <xdr:col>4</xdr:col>
      <xdr:colOff>495300</xdr:colOff>
      <xdr:row>24</xdr:row>
      <xdr:rowOff>171450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F277111A-A1AB-4186-AAB3-320985292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72125"/>
          <a:ext cx="17145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27</xdr:row>
      <xdr:rowOff>104775</xdr:rowOff>
    </xdr:from>
    <xdr:to>
      <xdr:col>5</xdr:col>
      <xdr:colOff>0</xdr:colOff>
      <xdr:row>30</xdr:row>
      <xdr:rowOff>28575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18792649-7D79-433F-B18F-6E4B6B395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6800850"/>
          <a:ext cx="17907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33</xdr:row>
      <xdr:rowOff>152400</xdr:rowOff>
    </xdr:from>
    <xdr:to>
      <xdr:col>3</xdr:col>
      <xdr:colOff>533400</xdr:colOff>
      <xdr:row>34</xdr:row>
      <xdr:rowOff>171450</xdr:rowOff>
    </xdr:to>
    <xdr:pic>
      <xdr:nvPicPr>
        <xdr:cNvPr id="4" name="Рисунок 3">
          <a:extLst>
            <a:ext uri="{FF2B5EF4-FFF2-40B4-BE49-F238E27FC236}">
              <a16:creationId xmlns="" xmlns:a16="http://schemas.microsoft.com/office/drawing/2014/main" id="{60986BBC-683F-4114-9CCD-4DD50774A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029575"/>
          <a:ext cx="1066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41</xdr:row>
      <xdr:rowOff>123825</xdr:rowOff>
    </xdr:from>
    <xdr:to>
      <xdr:col>2</xdr:col>
      <xdr:colOff>514350</xdr:colOff>
      <xdr:row>42</xdr:row>
      <xdr:rowOff>123825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167915E-A178-4A51-AF93-9E3C223C9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9648825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447675</xdr:colOff>
      <xdr:row>16</xdr:row>
      <xdr:rowOff>190500</xdr:rowOff>
    </xdr:to>
    <xdr:pic>
      <xdr:nvPicPr>
        <xdr:cNvPr id="6" name="Рисунок 5">
          <a:extLst>
            <a:ext uri="{FF2B5EF4-FFF2-40B4-BE49-F238E27FC236}">
              <a16:creationId xmlns="" xmlns:a16="http://schemas.microsoft.com/office/drawing/2014/main" id="{01D76130-6908-432C-965D-2A3EB177D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875" y="430530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57150</xdr:colOff>
      <xdr:row>41</xdr:row>
      <xdr:rowOff>133350</xdr:rowOff>
    </xdr:from>
    <xdr:to>
      <xdr:col>3</xdr:col>
      <xdr:colOff>504825</xdr:colOff>
      <xdr:row>42</xdr:row>
      <xdr:rowOff>133350</xdr:rowOff>
    </xdr:to>
    <xdr:pic>
      <xdr:nvPicPr>
        <xdr:cNvPr id="7" name="Рисунок 6">
          <a:extLst>
            <a:ext uri="{FF2B5EF4-FFF2-40B4-BE49-F238E27FC236}">
              <a16:creationId xmlns="" xmlns:a16="http://schemas.microsoft.com/office/drawing/2014/main" id="{E3C974E8-96B2-4C99-A454-E06F7B96B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965835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28575</xdr:colOff>
      <xdr:row>49</xdr:row>
      <xdr:rowOff>95250</xdr:rowOff>
    </xdr:from>
    <xdr:to>
      <xdr:col>5</xdr:col>
      <xdr:colOff>161925</xdr:colOff>
      <xdr:row>52</xdr:row>
      <xdr:rowOff>0</xdr:rowOff>
    </xdr:to>
    <xdr:pic>
      <xdr:nvPicPr>
        <xdr:cNvPr id="8" name="Рисунок 7">
          <a:extLst>
            <a:ext uri="{FF2B5EF4-FFF2-40B4-BE49-F238E27FC236}">
              <a16:creationId xmlns="" xmlns:a16="http://schemas.microsoft.com/office/drawing/2014/main" id="{2AA4558B-B538-4A29-AE86-82A667B38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11172825"/>
          <a:ext cx="19621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54</xdr:row>
      <xdr:rowOff>76200</xdr:rowOff>
    </xdr:from>
    <xdr:to>
      <xdr:col>5</xdr:col>
      <xdr:colOff>0</xdr:colOff>
      <xdr:row>56</xdr:row>
      <xdr:rowOff>161925</xdr:rowOff>
    </xdr:to>
    <xdr:pic>
      <xdr:nvPicPr>
        <xdr:cNvPr id="9" name="Рисунок 8">
          <a:extLst>
            <a:ext uri="{FF2B5EF4-FFF2-40B4-BE49-F238E27FC236}">
              <a16:creationId xmlns="" xmlns:a16="http://schemas.microsoft.com/office/drawing/2014/main" id="{13A8B993-AF22-408E-81AC-93E618AFD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44375"/>
          <a:ext cx="18288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295275</xdr:colOff>
      <xdr:row>59</xdr:row>
      <xdr:rowOff>28575</xdr:rowOff>
    </xdr:from>
    <xdr:to>
      <xdr:col>5</xdr:col>
      <xdr:colOff>161925</xdr:colOff>
      <xdr:row>60</xdr:row>
      <xdr:rowOff>19050</xdr:rowOff>
    </xdr:to>
    <xdr:pic>
      <xdr:nvPicPr>
        <xdr:cNvPr id="10" name="Рисунок 9">
          <a:extLst>
            <a:ext uri="{FF2B5EF4-FFF2-40B4-BE49-F238E27FC236}">
              <a16:creationId xmlns="" xmlns:a16="http://schemas.microsoft.com/office/drawing/2014/main" id="{9FD13798-267B-406D-92BF-81A96410E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13125450"/>
          <a:ext cx="476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314325</xdr:colOff>
      <xdr:row>62</xdr:row>
      <xdr:rowOff>190500</xdr:rowOff>
    </xdr:from>
    <xdr:to>
      <xdr:col>5</xdr:col>
      <xdr:colOff>257175</xdr:colOff>
      <xdr:row>63</xdr:row>
      <xdr:rowOff>161925</xdr:rowOff>
    </xdr:to>
    <xdr:pic>
      <xdr:nvPicPr>
        <xdr:cNvPr id="11" name="Рисунок 10">
          <a:extLst>
            <a:ext uri="{FF2B5EF4-FFF2-40B4-BE49-F238E27FC236}">
              <a16:creationId xmlns="" xmlns:a16="http://schemas.microsoft.com/office/drawing/2014/main" id="{371BDE9B-058D-40DA-81AF-40F8612EC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13916025"/>
          <a:ext cx="552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67</xdr:row>
      <xdr:rowOff>123825</xdr:rowOff>
    </xdr:from>
    <xdr:to>
      <xdr:col>2</xdr:col>
      <xdr:colOff>514350</xdr:colOff>
      <xdr:row>68</xdr:row>
      <xdr:rowOff>123825</xdr:rowOff>
    </xdr:to>
    <xdr:pic>
      <xdr:nvPicPr>
        <xdr:cNvPr id="12" name="Рисунок 11">
          <a:extLst>
            <a:ext uri="{FF2B5EF4-FFF2-40B4-BE49-F238E27FC236}">
              <a16:creationId xmlns="" xmlns:a16="http://schemas.microsoft.com/office/drawing/2014/main" id="{34CDCFE1-4645-4F86-9622-A802630F9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4868525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57150</xdr:colOff>
      <xdr:row>67</xdr:row>
      <xdr:rowOff>133350</xdr:rowOff>
    </xdr:from>
    <xdr:to>
      <xdr:col>3</xdr:col>
      <xdr:colOff>504825</xdr:colOff>
      <xdr:row>68</xdr:row>
      <xdr:rowOff>133350</xdr:rowOff>
    </xdr:to>
    <xdr:pic>
      <xdr:nvPicPr>
        <xdr:cNvPr id="13" name="Рисунок 12">
          <a:extLst>
            <a:ext uri="{FF2B5EF4-FFF2-40B4-BE49-F238E27FC236}">
              <a16:creationId xmlns="" xmlns:a16="http://schemas.microsoft.com/office/drawing/2014/main" id="{D719C3E6-1A5A-43DF-B9A7-0E49DFAB4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1487805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133350</xdr:colOff>
      <xdr:row>37</xdr:row>
      <xdr:rowOff>66675</xdr:rowOff>
    </xdr:from>
    <xdr:to>
      <xdr:col>3</xdr:col>
      <xdr:colOff>76200</xdr:colOff>
      <xdr:row>38</xdr:row>
      <xdr:rowOff>38100</xdr:rowOff>
    </xdr:to>
    <xdr:pic>
      <xdr:nvPicPr>
        <xdr:cNvPr id="14" name="Рисунок 13">
          <a:extLst>
            <a:ext uri="{FF2B5EF4-FFF2-40B4-BE49-F238E27FC236}">
              <a16:creationId xmlns="" xmlns:a16="http://schemas.microsoft.com/office/drawing/2014/main" id="{371BDE9B-058D-40DA-81AF-40F8612EC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8782050"/>
          <a:ext cx="552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771525</xdr:colOff>
      <xdr:row>42</xdr:row>
      <xdr:rowOff>71437</xdr:rowOff>
    </xdr:from>
    <xdr:ext cx="1752600" cy="436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7029450" y="9786937"/>
              <a:ext cx="1752600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ru-RU" sz="1100" i="1">
                      <a:latin typeface="Cambria Math"/>
                      <a:ea typeface="Cambria Math"/>
                    </a:rPr>
                    <m:t>∆</m:t>
                  </m:r>
                  <m:r>
                    <a:rPr lang="en-US" sz="1100" b="0" i="1">
                      <a:latin typeface="Cambria Math"/>
                      <a:ea typeface="Cambria Math"/>
                    </a:rPr>
                    <m:t>𝐹</m:t>
                  </m:r>
                  <m:r>
                    <a:rPr lang="en-US" sz="1100" b="0" i="1">
                      <a:latin typeface="Cambria Math"/>
                      <a:ea typeface="Cambria Math"/>
                    </a:rPr>
                    <m:t>=</m:t>
                  </m:r>
                  <m:sSup>
                    <m:sSupPr>
                      <m:ctrlPr>
                        <a:rPr lang="en-US" sz="1100" b="0" i="1">
                          <a:latin typeface="Cambria Math"/>
                          <a:ea typeface="Cambria Math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/>
                          <a:ea typeface="Cambria Math"/>
                        </a:rPr>
                        <m:t>𝐹</m:t>
                      </m:r>
                    </m:e>
                    <m:sup>
                      <m:r>
                        <a:rPr lang="en-US" sz="1100" b="0" i="1">
                          <a:latin typeface="Cambria Math"/>
                          <a:ea typeface="Cambria Math"/>
                        </a:rPr>
                        <m:t>∗</m:t>
                      </m:r>
                    </m:sup>
                  </m:sSup>
                </m:oMath>
              </a14:m>
              <a:r>
                <a:rPr lang="en-US" sz="1100"/>
                <a:t>-F</a:t>
              </a:r>
            </a:p>
            <a:p>
              <a14:m>
                <m:oMath xmlns:m="http://schemas.openxmlformats.org/officeDocument/2006/math">
                  <m:r>
                    <a:rPr lang="ru-RU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∆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𝐹</m:t>
                  </m:r>
                </m:oMath>
              </a14:m>
              <a:r>
                <a:rPr lang="en-US" sz="1100"/>
                <a:t>=862800-800000=62800</a:t>
              </a:r>
              <a:endParaRPr lang="ru-RU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7029450" y="9786937"/>
              <a:ext cx="1752600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𝐹=𝐹^∗</a:t>
              </a:r>
              <a:r>
                <a:rPr lang="en-US" sz="1100"/>
                <a:t>-F</a:t>
              </a:r>
            </a:p>
            <a:p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𝐹</a:t>
              </a:r>
              <a:r>
                <a:rPr lang="en-US" sz="1100"/>
                <a:t>=862800-800000=62800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0</xdr:col>
      <xdr:colOff>304800</xdr:colOff>
      <xdr:row>18</xdr:row>
      <xdr:rowOff>19050</xdr:rowOff>
    </xdr:from>
    <xdr:to>
      <xdr:col>7</xdr:col>
      <xdr:colOff>600075</xdr:colOff>
      <xdr:row>20</xdr:row>
      <xdr:rowOff>120532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4800" y="4724400"/>
          <a:ext cx="4562475" cy="5110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66675</xdr:rowOff>
    </xdr:from>
    <xdr:to>
      <xdr:col>4</xdr:col>
      <xdr:colOff>495300</xdr:colOff>
      <xdr:row>24</xdr:row>
      <xdr:rowOff>171450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F277111A-A1AB-4186-AAB3-320985292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43550"/>
          <a:ext cx="17145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27</xdr:row>
      <xdr:rowOff>104775</xdr:rowOff>
    </xdr:from>
    <xdr:to>
      <xdr:col>5</xdr:col>
      <xdr:colOff>0</xdr:colOff>
      <xdr:row>30</xdr:row>
      <xdr:rowOff>28575</xdr:rowOff>
    </xdr:to>
    <xdr:pic>
      <xdr:nvPicPr>
        <xdr:cNvPr id="4" name="Рисунок 3">
          <a:extLst>
            <a:ext uri="{FF2B5EF4-FFF2-40B4-BE49-F238E27FC236}">
              <a16:creationId xmlns="" xmlns:a16="http://schemas.microsoft.com/office/drawing/2014/main" id="{18792649-7D79-433F-B18F-6E4B6B395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6772275"/>
          <a:ext cx="17907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33</xdr:row>
      <xdr:rowOff>152400</xdr:rowOff>
    </xdr:from>
    <xdr:to>
      <xdr:col>3</xdr:col>
      <xdr:colOff>533400</xdr:colOff>
      <xdr:row>34</xdr:row>
      <xdr:rowOff>171450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60986BBC-683F-4114-9CCD-4DD50774A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001000"/>
          <a:ext cx="1066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41</xdr:row>
      <xdr:rowOff>123825</xdr:rowOff>
    </xdr:from>
    <xdr:to>
      <xdr:col>2</xdr:col>
      <xdr:colOff>514350</xdr:colOff>
      <xdr:row>42</xdr:row>
      <xdr:rowOff>123825</xdr:rowOff>
    </xdr:to>
    <xdr:pic>
      <xdr:nvPicPr>
        <xdr:cNvPr id="6" name="Рисунок 5">
          <a:extLst>
            <a:ext uri="{FF2B5EF4-FFF2-40B4-BE49-F238E27FC236}">
              <a16:creationId xmlns="" xmlns:a16="http://schemas.microsoft.com/office/drawing/2014/main" id="{0167915E-A178-4A51-AF93-9E3C223C9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962025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447675</xdr:colOff>
      <xdr:row>16</xdr:row>
      <xdr:rowOff>190500</xdr:rowOff>
    </xdr:to>
    <xdr:pic>
      <xdr:nvPicPr>
        <xdr:cNvPr id="7" name="Рисунок 6">
          <a:extLst>
            <a:ext uri="{FF2B5EF4-FFF2-40B4-BE49-F238E27FC236}">
              <a16:creationId xmlns="" xmlns:a16="http://schemas.microsoft.com/office/drawing/2014/main" id="{01D76130-6908-432C-965D-2A3EB177D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875" y="4276725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57150</xdr:colOff>
      <xdr:row>41</xdr:row>
      <xdr:rowOff>133350</xdr:rowOff>
    </xdr:from>
    <xdr:to>
      <xdr:col>3</xdr:col>
      <xdr:colOff>504825</xdr:colOff>
      <xdr:row>42</xdr:row>
      <xdr:rowOff>133350</xdr:rowOff>
    </xdr:to>
    <xdr:pic>
      <xdr:nvPicPr>
        <xdr:cNvPr id="8" name="Рисунок 7">
          <a:extLst>
            <a:ext uri="{FF2B5EF4-FFF2-40B4-BE49-F238E27FC236}">
              <a16:creationId xmlns="" xmlns:a16="http://schemas.microsoft.com/office/drawing/2014/main" id="{E3C974E8-96B2-4C99-A454-E06F7B96B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9629775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28575</xdr:colOff>
      <xdr:row>49</xdr:row>
      <xdr:rowOff>95250</xdr:rowOff>
    </xdr:from>
    <xdr:to>
      <xdr:col>5</xdr:col>
      <xdr:colOff>161925</xdr:colOff>
      <xdr:row>52</xdr:row>
      <xdr:rowOff>0</xdr:rowOff>
    </xdr:to>
    <xdr:pic>
      <xdr:nvPicPr>
        <xdr:cNvPr id="9" name="Рисунок 8">
          <a:extLst>
            <a:ext uri="{FF2B5EF4-FFF2-40B4-BE49-F238E27FC236}">
              <a16:creationId xmlns="" xmlns:a16="http://schemas.microsoft.com/office/drawing/2014/main" id="{2AA4558B-B538-4A29-AE86-82A667B38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11144250"/>
          <a:ext cx="19621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54</xdr:row>
      <xdr:rowOff>76200</xdr:rowOff>
    </xdr:from>
    <xdr:to>
      <xdr:col>5</xdr:col>
      <xdr:colOff>0</xdr:colOff>
      <xdr:row>56</xdr:row>
      <xdr:rowOff>161925</xdr:rowOff>
    </xdr:to>
    <xdr:pic>
      <xdr:nvPicPr>
        <xdr:cNvPr id="10" name="Рисунок 9">
          <a:extLst>
            <a:ext uri="{FF2B5EF4-FFF2-40B4-BE49-F238E27FC236}">
              <a16:creationId xmlns="" xmlns:a16="http://schemas.microsoft.com/office/drawing/2014/main" id="{13A8B993-AF22-408E-81AC-93E618AFD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15800"/>
          <a:ext cx="18288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295275</xdr:colOff>
      <xdr:row>59</xdr:row>
      <xdr:rowOff>28575</xdr:rowOff>
    </xdr:from>
    <xdr:to>
      <xdr:col>5</xdr:col>
      <xdr:colOff>161925</xdr:colOff>
      <xdr:row>60</xdr:row>
      <xdr:rowOff>19050</xdr:rowOff>
    </xdr:to>
    <xdr:pic>
      <xdr:nvPicPr>
        <xdr:cNvPr id="11" name="Рисунок 10">
          <a:extLst>
            <a:ext uri="{FF2B5EF4-FFF2-40B4-BE49-F238E27FC236}">
              <a16:creationId xmlns="" xmlns:a16="http://schemas.microsoft.com/office/drawing/2014/main" id="{9FD13798-267B-406D-92BF-81A96410E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13096875"/>
          <a:ext cx="476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314325</xdr:colOff>
      <xdr:row>62</xdr:row>
      <xdr:rowOff>190500</xdr:rowOff>
    </xdr:from>
    <xdr:to>
      <xdr:col>5</xdr:col>
      <xdr:colOff>257175</xdr:colOff>
      <xdr:row>63</xdr:row>
      <xdr:rowOff>161925</xdr:rowOff>
    </xdr:to>
    <xdr:pic>
      <xdr:nvPicPr>
        <xdr:cNvPr id="12" name="Рисунок 11">
          <a:extLst>
            <a:ext uri="{FF2B5EF4-FFF2-40B4-BE49-F238E27FC236}">
              <a16:creationId xmlns="" xmlns:a16="http://schemas.microsoft.com/office/drawing/2014/main" id="{371BDE9B-058D-40DA-81AF-40F8612EC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13887450"/>
          <a:ext cx="552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67</xdr:row>
      <xdr:rowOff>123825</xdr:rowOff>
    </xdr:from>
    <xdr:to>
      <xdr:col>2</xdr:col>
      <xdr:colOff>514350</xdr:colOff>
      <xdr:row>68</xdr:row>
      <xdr:rowOff>123825</xdr:rowOff>
    </xdr:to>
    <xdr:pic>
      <xdr:nvPicPr>
        <xdr:cNvPr id="13" name="Рисунок 12">
          <a:extLst>
            <a:ext uri="{FF2B5EF4-FFF2-40B4-BE49-F238E27FC236}">
              <a16:creationId xmlns="" xmlns:a16="http://schemas.microsoft.com/office/drawing/2014/main" id="{34CDCFE1-4645-4F86-9622-A802630F9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483995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57150</xdr:colOff>
      <xdr:row>67</xdr:row>
      <xdr:rowOff>133350</xdr:rowOff>
    </xdr:from>
    <xdr:to>
      <xdr:col>3</xdr:col>
      <xdr:colOff>504825</xdr:colOff>
      <xdr:row>68</xdr:row>
      <xdr:rowOff>133350</xdr:rowOff>
    </xdr:to>
    <xdr:pic>
      <xdr:nvPicPr>
        <xdr:cNvPr id="14" name="Рисунок 13">
          <a:extLst>
            <a:ext uri="{FF2B5EF4-FFF2-40B4-BE49-F238E27FC236}">
              <a16:creationId xmlns="" xmlns:a16="http://schemas.microsoft.com/office/drawing/2014/main" id="{D719C3E6-1A5A-43DF-B9A7-0E49DFAB4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14849475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133350</xdr:colOff>
      <xdr:row>37</xdr:row>
      <xdr:rowOff>66675</xdr:rowOff>
    </xdr:from>
    <xdr:to>
      <xdr:col>3</xdr:col>
      <xdr:colOff>76200</xdr:colOff>
      <xdr:row>38</xdr:row>
      <xdr:rowOff>38100</xdr:rowOff>
    </xdr:to>
    <xdr:pic>
      <xdr:nvPicPr>
        <xdr:cNvPr id="15" name="Рисунок 14">
          <a:extLst>
            <a:ext uri="{FF2B5EF4-FFF2-40B4-BE49-F238E27FC236}">
              <a16:creationId xmlns="" xmlns:a16="http://schemas.microsoft.com/office/drawing/2014/main" id="{371BDE9B-058D-40DA-81AF-40F8612EC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8753475"/>
          <a:ext cx="552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771525</xdr:colOff>
      <xdr:row>42</xdr:row>
      <xdr:rowOff>71437</xdr:rowOff>
    </xdr:from>
    <xdr:ext cx="1752600" cy="436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7029450" y="9758362"/>
              <a:ext cx="1752600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ru-RU" sz="1100" i="1">
                      <a:latin typeface="Cambria Math"/>
                      <a:ea typeface="Cambria Math"/>
                    </a:rPr>
                    <m:t>∆</m:t>
                  </m:r>
                  <m:r>
                    <a:rPr lang="en-US" sz="1100" b="0" i="1">
                      <a:latin typeface="Cambria Math"/>
                      <a:ea typeface="Cambria Math"/>
                    </a:rPr>
                    <m:t>𝐹</m:t>
                  </m:r>
                  <m:r>
                    <a:rPr lang="en-US" sz="1100" b="0" i="1">
                      <a:latin typeface="Cambria Math"/>
                      <a:ea typeface="Cambria Math"/>
                    </a:rPr>
                    <m:t>=</m:t>
                  </m:r>
                  <m:sSup>
                    <m:sSupPr>
                      <m:ctrlPr>
                        <a:rPr lang="en-US" sz="1100" b="0" i="1">
                          <a:latin typeface="Cambria Math"/>
                          <a:ea typeface="Cambria Math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/>
                          <a:ea typeface="Cambria Math"/>
                        </a:rPr>
                        <m:t>𝐹</m:t>
                      </m:r>
                    </m:e>
                    <m:sup>
                      <m:r>
                        <a:rPr lang="en-US" sz="1100" b="0" i="1">
                          <a:latin typeface="Cambria Math"/>
                          <a:ea typeface="Cambria Math"/>
                        </a:rPr>
                        <m:t>∗</m:t>
                      </m:r>
                    </m:sup>
                  </m:sSup>
                </m:oMath>
              </a14:m>
              <a:r>
                <a:rPr lang="en-US" sz="1100"/>
                <a:t>-F</a:t>
              </a:r>
            </a:p>
            <a:p>
              <a14:m>
                <m:oMath xmlns:m="http://schemas.openxmlformats.org/officeDocument/2006/math">
                  <m:r>
                    <a:rPr lang="ru-RU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∆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𝐹</m:t>
                  </m:r>
                </m:oMath>
              </a14:m>
              <a:r>
                <a:rPr lang="en-US" sz="1100"/>
                <a:t>=862800-800000=62800</a:t>
              </a:r>
              <a:endParaRPr lang="ru-RU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7029450" y="9758362"/>
              <a:ext cx="1752600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𝐹=𝐹^∗</a:t>
              </a:r>
              <a:r>
                <a:rPr lang="en-US" sz="1100"/>
                <a:t>-F</a:t>
              </a:r>
            </a:p>
            <a:p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𝐹</a:t>
              </a:r>
              <a:r>
                <a:rPr lang="en-US" sz="1100"/>
                <a:t>=862800-800000=62800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0</xdr:col>
      <xdr:colOff>304800</xdr:colOff>
      <xdr:row>18</xdr:row>
      <xdr:rowOff>19050</xdr:rowOff>
    </xdr:from>
    <xdr:to>
      <xdr:col>7</xdr:col>
      <xdr:colOff>600075</xdr:colOff>
      <xdr:row>20</xdr:row>
      <xdr:rowOff>139582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4800" y="4695825"/>
          <a:ext cx="4562475" cy="5110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18</xdr:row>
      <xdr:rowOff>57150</xdr:rowOff>
    </xdr:from>
    <xdr:to>
      <xdr:col>5</xdr:col>
      <xdr:colOff>219075</xdr:colOff>
      <xdr:row>20</xdr:row>
      <xdr:rowOff>110049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BECB49C7-FD65-412A-A7B8-94B2404AB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4733925"/>
          <a:ext cx="2019300" cy="443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66675</xdr:rowOff>
    </xdr:from>
    <xdr:to>
      <xdr:col>4</xdr:col>
      <xdr:colOff>495300</xdr:colOff>
      <xdr:row>24</xdr:row>
      <xdr:rowOff>171450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F277111A-A1AB-4186-AAB3-320985292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43550"/>
          <a:ext cx="17145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27</xdr:row>
      <xdr:rowOff>104775</xdr:rowOff>
    </xdr:from>
    <xdr:to>
      <xdr:col>5</xdr:col>
      <xdr:colOff>0</xdr:colOff>
      <xdr:row>30</xdr:row>
      <xdr:rowOff>28575</xdr:rowOff>
    </xdr:to>
    <xdr:pic>
      <xdr:nvPicPr>
        <xdr:cNvPr id="4" name="Рисунок 3">
          <a:extLst>
            <a:ext uri="{FF2B5EF4-FFF2-40B4-BE49-F238E27FC236}">
              <a16:creationId xmlns="" xmlns:a16="http://schemas.microsoft.com/office/drawing/2014/main" id="{18792649-7D79-433F-B18F-6E4B6B395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6772275"/>
          <a:ext cx="17907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33</xdr:row>
      <xdr:rowOff>152400</xdr:rowOff>
    </xdr:from>
    <xdr:to>
      <xdr:col>3</xdr:col>
      <xdr:colOff>533400</xdr:colOff>
      <xdr:row>34</xdr:row>
      <xdr:rowOff>171450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60986BBC-683F-4114-9CCD-4DD50774A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001000"/>
          <a:ext cx="1066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41</xdr:row>
      <xdr:rowOff>123825</xdr:rowOff>
    </xdr:from>
    <xdr:to>
      <xdr:col>2</xdr:col>
      <xdr:colOff>514350</xdr:colOff>
      <xdr:row>42</xdr:row>
      <xdr:rowOff>123825</xdr:rowOff>
    </xdr:to>
    <xdr:pic>
      <xdr:nvPicPr>
        <xdr:cNvPr id="6" name="Рисунок 5">
          <a:extLst>
            <a:ext uri="{FF2B5EF4-FFF2-40B4-BE49-F238E27FC236}">
              <a16:creationId xmlns="" xmlns:a16="http://schemas.microsoft.com/office/drawing/2014/main" id="{0167915E-A178-4A51-AF93-9E3C223C9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897255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447675</xdr:colOff>
      <xdr:row>16</xdr:row>
      <xdr:rowOff>190500</xdr:rowOff>
    </xdr:to>
    <xdr:pic>
      <xdr:nvPicPr>
        <xdr:cNvPr id="7" name="Рисунок 6">
          <a:extLst>
            <a:ext uri="{FF2B5EF4-FFF2-40B4-BE49-F238E27FC236}">
              <a16:creationId xmlns="" xmlns:a16="http://schemas.microsoft.com/office/drawing/2014/main" id="{01D76130-6908-432C-965D-2A3EB177D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4975" y="4276725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57150</xdr:colOff>
      <xdr:row>41</xdr:row>
      <xdr:rowOff>133350</xdr:rowOff>
    </xdr:from>
    <xdr:to>
      <xdr:col>3</xdr:col>
      <xdr:colOff>504825</xdr:colOff>
      <xdr:row>42</xdr:row>
      <xdr:rowOff>133350</xdr:rowOff>
    </xdr:to>
    <xdr:pic>
      <xdr:nvPicPr>
        <xdr:cNvPr id="8" name="Рисунок 7">
          <a:extLst>
            <a:ext uri="{FF2B5EF4-FFF2-40B4-BE49-F238E27FC236}">
              <a16:creationId xmlns="" xmlns:a16="http://schemas.microsoft.com/office/drawing/2014/main" id="{E3C974E8-96B2-4C99-A454-E06F7B96B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8982075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28575</xdr:colOff>
      <xdr:row>49</xdr:row>
      <xdr:rowOff>95250</xdr:rowOff>
    </xdr:from>
    <xdr:to>
      <xdr:col>5</xdr:col>
      <xdr:colOff>161925</xdr:colOff>
      <xdr:row>52</xdr:row>
      <xdr:rowOff>0</xdr:rowOff>
    </xdr:to>
    <xdr:pic>
      <xdr:nvPicPr>
        <xdr:cNvPr id="9" name="Рисунок 8">
          <a:extLst>
            <a:ext uri="{FF2B5EF4-FFF2-40B4-BE49-F238E27FC236}">
              <a16:creationId xmlns="" xmlns:a16="http://schemas.microsoft.com/office/drawing/2014/main" id="{2AA4558B-B538-4A29-AE86-82A667B38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11144250"/>
          <a:ext cx="19621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54</xdr:row>
      <xdr:rowOff>76200</xdr:rowOff>
    </xdr:from>
    <xdr:to>
      <xdr:col>5</xdr:col>
      <xdr:colOff>0</xdr:colOff>
      <xdr:row>56</xdr:row>
      <xdr:rowOff>161925</xdr:rowOff>
    </xdr:to>
    <xdr:pic>
      <xdr:nvPicPr>
        <xdr:cNvPr id="10" name="Рисунок 9">
          <a:extLst>
            <a:ext uri="{FF2B5EF4-FFF2-40B4-BE49-F238E27FC236}">
              <a16:creationId xmlns="" xmlns:a16="http://schemas.microsoft.com/office/drawing/2014/main" id="{13A8B993-AF22-408E-81AC-93E618AFD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87225"/>
          <a:ext cx="18288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295275</xdr:colOff>
      <xdr:row>59</xdr:row>
      <xdr:rowOff>28575</xdr:rowOff>
    </xdr:from>
    <xdr:to>
      <xdr:col>5</xdr:col>
      <xdr:colOff>161925</xdr:colOff>
      <xdr:row>60</xdr:row>
      <xdr:rowOff>19050</xdr:rowOff>
    </xdr:to>
    <xdr:pic>
      <xdr:nvPicPr>
        <xdr:cNvPr id="11" name="Рисунок 10">
          <a:extLst>
            <a:ext uri="{FF2B5EF4-FFF2-40B4-BE49-F238E27FC236}">
              <a16:creationId xmlns="" xmlns:a16="http://schemas.microsoft.com/office/drawing/2014/main" id="{9FD13798-267B-406D-92BF-81A96410E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13096875"/>
          <a:ext cx="476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314325</xdr:colOff>
      <xdr:row>62</xdr:row>
      <xdr:rowOff>190500</xdr:rowOff>
    </xdr:from>
    <xdr:to>
      <xdr:col>5</xdr:col>
      <xdr:colOff>257175</xdr:colOff>
      <xdr:row>63</xdr:row>
      <xdr:rowOff>161925</xdr:rowOff>
    </xdr:to>
    <xdr:pic>
      <xdr:nvPicPr>
        <xdr:cNvPr id="12" name="Рисунок 11">
          <a:extLst>
            <a:ext uri="{FF2B5EF4-FFF2-40B4-BE49-F238E27FC236}">
              <a16:creationId xmlns="" xmlns:a16="http://schemas.microsoft.com/office/drawing/2014/main" id="{371BDE9B-058D-40DA-81AF-40F8612EC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13887450"/>
          <a:ext cx="552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67</xdr:row>
      <xdr:rowOff>123825</xdr:rowOff>
    </xdr:from>
    <xdr:to>
      <xdr:col>2</xdr:col>
      <xdr:colOff>514350</xdr:colOff>
      <xdr:row>68</xdr:row>
      <xdr:rowOff>123825</xdr:rowOff>
    </xdr:to>
    <xdr:pic>
      <xdr:nvPicPr>
        <xdr:cNvPr id="13" name="Рисунок 12">
          <a:extLst>
            <a:ext uri="{FF2B5EF4-FFF2-40B4-BE49-F238E27FC236}">
              <a16:creationId xmlns="" xmlns:a16="http://schemas.microsoft.com/office/drawing/2014/main" id="{34CDCFE1-4645-4F86-9622-A802630F9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962025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57150</xdr:colOff>
      <xdr:row>67</xdr:row>
      <xdr:rowOff>133350</xdr:rowOff>
    </xdr:from>
    <xdr:to>
      <xdr:col>3</xdr:col>
      <xdr:colOff>504825</xdr:colOff>
      <xdr:row>68</xdr:row>
      <xdr:rowOff>133350</xdr:rowOff>
    </xdr:to>
    <xdr:pic>
      <xdr:nvPicPr>
        <xdr:cNvPr id="14" name="Рисунок 13">
          <a:extLst>
            <a:ext uri="{FF2B5EF4-FFF2-40B4-BE49-F238E27FC236}">
              <a16:creationId xmlns="" xmlns:a16="http://schemas.microsoft.com/office/drawing/2014/main" id="{D719C3E6-1A5A-43DF-B9A7-0E49DFAB4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9629775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133350</xdr:colOff>
      <xdr:row>37</xdr:row>
      <xdr:rowOff>66675</xdr:rowOff>
    </xdr:from>
    <xdr:to>
      <xdr:col>3</xdr:col>
      <xdr:colOff>76200</xdr:colOff>
      <xdr:row>38</xdr:row>
      <xdr:rowOff>38100</xdr:rowOff>
    </xdr:to>
    <xdr:pic>
      <xdr:nvPicPr>
        <xdr:cNvPr id="15" name="Рисунок 14">
          <a:extLst>
            <a:ext uri="{FF2B5EF4-FFF2-40B4-BE49-F238E27FC236}">
              <a16:creationId xmlns="" xmlns:a16="http://schemas.microsoft.com/office/drawing/2014/main" id="{371BDE9B-058D-40DA-81AF-40F8612EC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8753475"/>
          <a:ext cx="552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771525</xdr:colOff>
      <xdr:row>42</xdr:row>
      <xdr:rowOff>71437</xdr:rowOff>
    </xdr:from>
    <xdr:ext cx="1752600" cy="436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7029450" y="9758362"/>
              <a:ext cx="1752600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ru-RU" sz="1100" i="1">
                      <a:latin typeface="Cambria Math"/>
                      <a:ea typeface="Cambria Math"/>
                    </a:rPr>
                    <m:t>∆</m:t>
                  </m:r>
                  <m:r>
                    <a:rPr lang="en-US" sz="1100" b="0" i="1">
                      <a:latin typeface="Cambria Math"/>
                      <a:ea typeface="Cambria Math"/>
                    </a:rPr>
                    <m:t>𝐹</m:t>
                  </m:r>
                  <m:r>
                    <a:rPr lang="en-US" sz="1100" b="0" i="1">
                      <a:latin typeface="Cambria Math"/>
                      <a:ea typeface="Cambria Math"/>
                    </a:rPr>
                    <m:t>=</m:t>
                  </m:r>
                  <m:sSup>
                    <m:sSupPr>
                      <m:ctrlPr>
                        <a:rPr lang="en-US" sz="1100" b="0" i="1">
                          <a:latin typeface="Cambria Math"/>
                          <a:ea typeface="Cambria Math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/>
                          <a:ea typeface="Cambria Math"/>
                        </a:rPr>
                        <m:t>𝐹</m:t>
                      </m:r>
                    </m:e>
                    <m:sup>
                      <m:r>
                        <a:rPr lang="en-US" sz="1100" b="0" i="1">
                          <a:latin typeface="Cambria Math"/>
                          <a:ea typeface="Cambria Math"/>
                        </a:rPr>
                        <m:t>∗</m:t>
                      </m:r>
                    </m:sup>
                  </m:sSup>
                </m:oMath>
              </a14:m>
              <a:r>
                <a:rPr lang="en-US" sz="1100"/>
                <a:t>-F</a:t>
              </a:r>
            </a:p>
            <a:p>
              <a14:m>
                <m:oMath xmlns:m="http://schemas.openxmlformats.org/officeDocument/2006/math">
                  <m:r>
                    <a:rPr lang="ru-RU" sz="110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∆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𝐹</m:t>
                  </m:r>
                </m:oMath>
              </a14:m>
              <a:r>
                <a:rPr lang="en-US" sz="1100"/>
                <a:t>=862800-800000=62800</a:t>
              </a:r>
              <a:endParaRPr lang="ru-RU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7029450" y="9758362"/>
              <a:ext cx="1752600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𝐹=𝐹^∗</a:t>
              </a:r>
              <a:r>
                <a:rPr lang="en-US" sz="1100"/>
                <a:t>-F</a:t>
              </a:r>
            </a:p>
            <a:p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</a:t>
              </a:r>
              <a:r>
                <a:rPr lang="en-US" sz="1100"/>
                <a:t>=862800-800000=62800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18</xdr:row>
      <xdr:rowOff>57150</xdr:rowOff>
    </xdr:from>
    <xdr:to>
      <xdr:col>5</xdr:col>
      <xdr:colOff>219075</xdr:colOff>
      <xdr:row>20</xdr:row>
      <xdr:rowOff>110049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4857750"/>
          <a:ext cx="2019300" cy="443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66675</xdr:rowOff>
    </xdr:from>
    <xdr:to>
      <xdr:col>4</xdr:col>
      <xdr:colOff>495300</xdr:colOff>
      <xdr:row>24</xdr:row>
      <xdr:rowOff>171450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67375"/>
          <a:ext cx="17145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33</xdr:row>
      <xdr:rowOff>104775</xdr:rowOff>
    </xdr:from>
    <xdr:to>
      <xdr:col>5</xdr:col>
      <xdr:colOff>0</xdr:colOff>
      <xdr:row>36</xdr:row>
      <xdr:rowOff>28575</xdr:rowOff>
    </xdr:to>
    <xdr:pic>
      <xdr:nvPicPr>
        <xdr:cNvPr id="4" name="Рисунок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8420100"/>
          <a:ext cx="17907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43</xdr:row>
      <xdr:rowOff>123825</xdr:rowOff>
    </xdr:from>
    <xdr:to>
      <xdr:col>2</xdr:col>
      <xdr:colOff>514350</xdr:colOff>
      <xdr:row>44</xdr:row>
      <xdr:rowOff>123825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0429875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28575</xdr:colOff>
      <xdr:row>27</xdr:row>
      <xdr:rowOff>180975</xdr:rowOff>
    </xdr:from>
    <xdr:to>
      <xdr:col>3</xdr:col>
      <xdr:colOff>266700</xdr:colOff>
      <xdr:row>28</xdr:row>
      <xdr:rowOff>180975</xdr:rowOff>
    </xdr:to>
    <xdr:pic>
      <xdr:nvPicPr>
        <xdr:cNvPr id="6" name="Рисунок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6962775"/>
          <a:ext cx="847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476250</xdr:colOff>
      <xdr:row>38</xdr:row>
      <xdr:rowOff>38100</xdr:rowOff>
    </xdr:from>
    <xdr:to>
      <xdr:col>4</xdr:col>
      <xdr:colOff>38100</xdr:colOff>
      <xdr:row>39</xdr:row>
      <xdr:rowOff>28575</xdr:rowOff>
    </xdr:to>
    <xdr:pic>
      <xdr:nvPicPr>
        <xdr:cNvPr id="7" name="Рисунок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9344025"/>
          <a:ext cx="13906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28575</xdr:colOff>
      <xdr:row>43</xdr:row>
      <xdr:rowOff>95250</xdr:rowOff>
    </xdr:from>
    <xdr:to>
      <xdr:col>3</xdr:col>
      <xdr:colOff>476250</xdr:colOff>
      <xdr:row>44</xdr:row>
      <xdr:rowOff>95250</xdr:rowOff>
    </xdr:to>
    <xdr:pic>
      <xdr:nvPicPr>
        <xdr:cNvPr id="8" name="Рисунок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040130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31</xdr:row>
      <xdr:rowOff>66675</xdr:rowOff>
    </xdr:from>
    <xdr:to>
      <xdr:col>4</xdr:col>
      <xdr:colOff>495300</xdr:colOff>
      <xdr:row>33</xdr:row>
      <xdr:rowOff>171450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43550"/>
          <a:ext cx="17145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36</xdr:row>
      <xdr:rowOff>104775</xdr:rowOff>
    </xdr:from>
    <xdr:to>
      <xdr:col>5</xdr:col>
      <xdr:colOff>0</xdr:colOff>
      <xdr:row>39</xdr:row>
      <xdr:rowOff>28575</xdr:rowOff>
    </xdr:to>
    <xdr:pic>
      <xdr:nvPicPr>
        <xdr:cNvPr id="4" name="Рисунок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6772275"/>
          <a:ext cx="17907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42</xdr:row>
      <xdr:rowOff>152400</xdr:rowOff>
    </xdr:from>
    <xdr:to>
      <xdr:col>3</xdr:col>
      <xdr:colOff>533400</xdr:colOff>
      <xdr:row>43</xdr:row>
      <xdr:rowOff>171450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001000"/>
          <a:ext cx="1066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47</xdr:row>
      <xdr:rowOff>123825</xdr:rowOff>
    </xdr:from>
    <xdr:to>
      <xdr:col>2</xdr:col>
      <xdr:colOff>514350</xdr:colOff>
      <xdr:row>48</xdr:row>
      <xdr:rowOff>123825</xdr:rowOff>
    </xdr:to>
    <xdr:pic>
      <xdr:nvPicPr>
        <xdr:cNvPr id="6" name="Рисунок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897255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447675</xdr:colOff>
      <xdr:row>16</xdr:row>
      <xdr:rowOff>190500</xdr:rowOff>
    </xdr:to>
    <xdr:pic>
      <xdr:nvPicPr>
        <xdr:cNvPr id="7" name="Рисунок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4975" y="4276725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57150</xdr:colOff>
      <xdr:row>47</xdr:row>
      <xdr:rowOff>133350</xdr:rowOff>
    </xdr:from>
    <xdr:to>
      <xdr:col>3</xdr:col>
      <xdr:colOff>504825</xdr:colOff>
      <xdr:row>48</xdr:row>
      <xdr:rowOff>133350</xdr:rowOff>
    </xdr:to>
    <xdr:pic>
      <xdr:nvPicPr>
        <xdr:cNvPr id="8" name="Рисунок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8982075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200025</xdr:colOff>
      <xdr:row>18</xdr:row>
      <xdr:rowOff>47625</xdr:rowOff>
    </xdr:from>
    <xdr:to>
      <xdr:col>5</xdr:col>
      <xdr:colOff>533400</xdr:colOff>
      <xdr:row>20</xdr:row>
      <xdr:rowOff>47625</xdr:rowOff>
    </xdr:to>
    <xdr:pic>
      <xdr:nvPicPr>
        <xdr:cNvPr id="9" name="Рисунок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4724400"/>
          <a:ext cx="216217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533400</xdr:colOff>
      <xdr:row>22</xdr:row>
      <xdr:rowOff>142875</xdr:rowOff>
    </xdr:from>
    <xdr:to>
      <xdr:col>4</xdr:col>
      <xdr:colOff>200025</xdr:colOff>
      <xdr:row>23</xdr:row>
      <xdr:rowOff>152400</xdr:rowOff>
    </xdr:to>
    <xdr:pic>
      <xdr:nvPicPr>
        <xdr:cNvPr id="10" name="Рисунок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5591175"/>
          <a:ext cx="9810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428625</xdr:colOff>
      <xdr:row>26</xdr:row>
      <xdr:rowOff>104775</xdr:rowOff>
    </xdr:from>
    <xdr:to>
      <xdr:col>6</xdr:col>
      <xdr:colOff>371475</xdr:colOff>
      <xdr:row>28</xdr:row>
      <xdr:rowOff>66675</xdr:rowOff>
    </xdr:to>
    <xdr:pic>
      <xdr:nvPicPr>
        <xdr:cNvPr id="11" name="Рисунок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6315075"/>
          <a:ext cx="24765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18</xdr:row>
      <xdr:rowOff>57150</xdr:rowOff>
    </xdr:from>
    <xdr:to>
      <xdr:col>5</xdr:col>
      <xdr:colOff>219075</xdr:colOff>
      <xdr:row>20</xdr:row>
      <xdr:rowOff>110049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4733925"/>
          <a:ext cx="2019300" cy="443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66675</xdr:rowOff>
    </xdr:from>
    <xdr:to>
      <xdr:col>4</xdr:col>
      <xdr:colOff>495300</xdr:colOff>
      <xdr:row>24</xdr:row>
      <xdr:rowOff>171450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43550"/>
          <a:ext cx="17145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27</xdr:row>
      <xdr:rowOff>104775</xdr:rowOff>
    </xdr:from>
    <xdr:to>
      <xdr:col>5</xdr:col>
      <xdr:colOff>0</xdr:colOff>
      <xdr:row>30</xdr:row>
      <xdr:rowOff>28575</xdr:rowOff>
    </xdr:to>
    <xdr:pic>
      <xdr:nvPicPr>
        <xdr:cNvPr id="4" name="Рисунок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6772275"/>
          <a:ext cx="17907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33</xdr:row>
      <xdr:rowOff>152400</xdr:rowOff>
    </xdr:from>
    <xdr:to>
      <xdr:col>3</xdr:col>
      <xdr:colOff>533400</xdr:colOff>
      <xdr:row>34</xdr:row>
      <xdr:rowOff>171450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8001000"/>
          <a:ext cx="1066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38</xdr:row>
      <xdr:rowOff>123825</xdr:rowOff>
    </xdr:from>
    <xdr:to>
      <xdr:col>2</xdr:col>
      <xdr:colOff>514350</xdr:colOff>
      <xdr:row>39</xdr:row>
      <xdr:rowOff>123825</xdr:rowOff>
    </xdr:to>
    <xdr:pic>
      <xdr:nvPicPr>
        <xdr:cNvPr id="6" name="Рисунок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897255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0</xdr:colOff>
      <xdr:row>16</xdr:row>
      <xdr:rowOff>0</xdr:rowOff>
    </xdr:from>
    <xdr:to>
      <xdr:col>20</xdr:col>
      <xdr:colOff>447675</xdr:colOff>
      <xdr:row>16</xdr:row>
      <xdr:rowOff>190500</xdr:rowOff>
    </xdr:to>
    <xdr:pic>
      <xdr:nvPicPr>
        <xdr:cNvPr id="7" name="Рисунок 6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4975" y="4276725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57150</xdr:colOff>
      <xdr:row>38</xdr:row>
      <xdr:rowOff>133350</xdr:rowOff>
    </xdr:from>
    <xdr:to>
      <xdr:col>3</xdr:col>
      <xdr:colOff>504825</xdr:colOff>
      <xdr:row>39</xdr:row>
      <xdr:rowOff>133350</xdr:rowOff>
    </xdr:to>
    <xdr:pic>
      <xdr:nvPicPr>
        <xdr:cNvPr id="8" name="Рисунок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8982075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18</xdr:row>
      <xdr:rowOff>57150</xdr:rowOff>
    </xdr:from>
    <xdr:to>
      <xdr:col>5</xdr:col>
      <xdr:colOff>219075</xdr:colOff>
      <xdr:row>20</xdr:row>
      <xdr:rowOff>110049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4724400"/>
          <a:ext cx="2019300" cy="43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66675</xdr:rowOff>
    </xdr:from>
    <xdr:to>
      <xdr:col>4</xdr:col>
      <xdr:colOff>495300</xdr:colOff>
      <xdr:row>24</xdr:row>
      <xdr:rowOff>171450</xdr:rowOff>
    </xdr:to>
    <xdr:pic>
      <xdr:nvPicPr>
        <xdr:cNvPr id="4" name="Рисунок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95925"/>
          <a:ext cx="171450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33</xdr:row>
      <xdr:rowOff>104775</xdr:rowOff>
    </xdr:from>
    <xdr:to>
      <xdr:col>5</xdr:col>
      <xdr:colOff>0</xdr:colOff>
      <xdr:row>36</xdr:row>
      <xdr:rowOff>28575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6667500"/>
          <a:ext cx="17907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66675</xdr:colOff>
      <xdr:row>43</xdr:row>
      <xdr:rowOff>123825</xdr:rowOff>
    </xdr:from>
    <xdr:to>
      <xdr:col>2</xdr:col>
      <xdr:colOff>514350</xdr:colOff>
      <xdr:row>44</xdr:row>
      <xdr:rowOff>123825</xdr:rowOff>
    </xdr:to>
    <xdr:pic>
      <xdr:nvPicPr>
        <xdr:cNvPr id="7" name="Рисунок 6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878205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28575</xdr:colOff>
      <xdr:row>27</xdr:row>
      <xdr:rowOff>180975</xdr:rowOff>
    </xdr:from>
    <xdr:to>
      <xdr:col>3</xdr:col>
      <xdr:colOff>266700</xdr:colOff>
      <xdr:row>28</xdr:row>
      <xdr:rowOff>180975</xdr:rowOff>
    </xdr:to>
    <xdr:pic>
      <xdr:nvPicPr>
        <xdr:cNvPr id="8" name="Рисунок 7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6838950"/>
          <a:ext cx="8477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476250</xdr:colOff>
      <xdr:row>38</xdr:row>
      <xdr:rowOff>38100</xdr:rowOff>
    </xdr:from>
    <xdr:to>
      <xdr:col>4</xdr:col>
      <xdr:colOff>38100</xdr:colOff>
      <xdr:row>39</xdr:row>
      <xdr:rowOff>28575</xdr:rowOff>
    </xdr:to>
    <xdr:pic>
      <xdr:nvPicPr>
        <xdr:cNvPr id="11" name="Рисунок 10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10553700"/>
          <a:ext cx="13906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28575</xdr:colOff>
      <xdr:row>43</xdr:row>
      <xdr:rowOff>95250</xdr:rowOff>
    </xdr:from>
    <xdr:to>
      <xdr:col>3</xdr:col>
      <xdr:colOff>476250</xdr:colOff>
      <xdr:row>44</xdr:row>
      <xdr:rowOff>95250</xdr:rowOff>
    </xdr:to>
    <xdr:pic>
      <xdr:nvPicPr>
        <xdr:cNvPr id="12" name="Рисунок 11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040130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77"/>
  <sheetViews>
    <sheetView tabSelected="1" topLeftCell="B16" workbookViewId="0">
      <selection activeCell="Q11" sqref="Q11"/>
    </sheetView>
  </sheetViews>
  <sheetFormatPr defaultRowHeight="15" x14ac:dyDescent="0.25"/>
  <cols>
    <col min="9" max="9" width="11.5703125" customWidth="1"/>
    <col min="11" max="11" width="13" customWidth="1"/>
    <col min="12" max="12" width="11.140625" customWidth="1"/>
    <col min="13" max="13" width="12.140625" customWidth="1"/>
    <col min="20" max="20" width="11.42578125" customWidth="1"/>
  </cols>
  <sheetData>
    <row r="1" spans="3:23" ht="30.75" customHeight="1" thickTop="1" thickBot="1" x14ac:dyDescent="0.3">
      <c r="C1" s="51" t="s">
        <v>0</v>
      </c>
      <c r="D1" s="52"/>
      <c r="E1" s="53"/>
      <c r="F1" s="3"/>
      <c r="G1" s="54" t="s">
        <v>9</v>
      </c>
      <c r="H1" s="54"/>
      <c r="I1" s="54"/>
      <c r="J1" s="3"/>
      <c r="K1" s="8" t="s">
        <v>13</v>
      </c>
      <c r="L1" s="3"/>
      <c r="M1" s="46" t="s">
        <v>28</v>
      </c>
      <c r="O1" s="50" t="s">
        <v>120</v>
      </c>
      <c r="P1" s="50"/>
      <c r="Q1" s="50"/>
      <c r="T1" t="s">
        <v>3</v>
      </c>
      <c r="U1" t="s">
        <v>2</v>
      </c>
      <c r="V1" t="s">
        <v>4</v>
      </c>
      <c r="W1" t="s">
        <v>5</v>
      </c>
    </row>
    <row r="2" spans="3:23" ht="16.5" thickTop="1" thickBot="1" x14ac:dyDescent="0.3">
      <c r="C2" s="47" t="s">
        <v>6</v>
      </c>
      <c r="D2" s="47" t="s">
        <v>7</v>
      </c>
      <c r="E2" s="47" t="s">
        <v>8</v>
      </c>
      <c r="F2" s="3"/>
      <c r="G2" s="47" t="s">
        <v>10</v>
      </c>
      <c r="H2" s="47" t="s">
        <v>11</v>
      </c>
      <c r="I2" s="47" t="s">
        <v>12</v>
      </c>
      <c r="J2" s="3"/>
      <c r="K2" s="55">
        <v>250000</v>
      </c>
      <c r="L2" s="3"/>
      <c r="M2" s="47" t="s">
        <v>29</v>
      </c>
      <c r="O2" s="47" t="s">
        <v>35</v>
      </c>
      <c r="P2" s="47" t="s">
        <v>36</v>
      </c>
      <c r="Q2" s="47" t="s">
        <v>37</v>
      </c>
      <c r="S2">
        <v>1</v>
      </c>
      <c r="T2">
        <f>во1*х1+во2*х2+во3*х3</f>
        <v>8711.99</v>
      </c>
      <c r="U2">
        <f>вд1*у1*22*12</f>
        <v>8712</v>
      </c>
      <c r="V2">
        <f>(об1*у1+об2*у2+об3*у3)+д*(п1*у1+п2*у2+п3*у3)</f>
        <v>173250</v>
      </c>
    </row>
    <row r="3" spans="3:23" ht="16.5" thickTop="1" thickBot="1" x14ac:dyDescent="0.3">
      <c r="C3" s="47">
        <v>3200</v>
      </c>
      <c r="D3" s="47">
        <v>2500</v>
      </c>
      <c r="E3" s="47">
        <v>4500</v>
      </c>
      <c r="F3" s="3">
        <v>0</v>
      </c>
      <c r="G3" s="47">
        <v>2850</v>
      </c>
      <c r="H3" s="47">
        <v>2150</v>
      </c>
      <c r="I3" s="47">
        <v>4150</v>
      </c>
      <c r="J3" s="3"/>
      <c r="K3" s="56"/>
      <c r="L3" s="3"/>
      <c r="M3" s="47">
        <v>2675600</v>
      </c>
      <c r="O3" s="6">
        <v>3611</v>
      </c>
      <c r="P3" s="6">
        <v>3000</v>
      </c>
      <c r="Q3" s="6">
        <v>3146</v>
      </c>
      <c r="S3">
        <v>2</v>
      </c>
      <c r="T3">
        <f>во21*х1+во22*х2+во23*х3</f>
        <v>10447.25</v>
      </c>
      <c r="U3">
        <f>вд2*у2*22*12</f>
        <v>11476.079999999998</v>
      </c>
    </row>
    <row r="4" spans="3:23" ht="31.5" customHeight="1" thickTop="1" thickBot="1" x14ac:dyDescent="0.3">
      <c r="C4" s="47">
        <v>3300</v>
      </c>
      <c r="D4" s="47">
        <v>2550</v>
      </c>
      <c r="E4" s="47">
        <v>4300</v>
      </c>
      <c r="F4" s="3">
        <v>1</v>
      </c>
      <c r="G4" s="47">
        <v>2950</v>
      </c>
      <c r="H4" s="47">
        <v>2300</v>
      </c>
      <c r="I4" s="47">
        <v>4100</v>
      </c>
      <c r="J4" s="3"/>
      <c r="K4" s="47">
        <v>275000</v>
      </c>
      <c r="L4" s="3"/>
      <c r="M4" s="67"/>
      <c r="O4" s="6">
        <v>3599</v>
      </c>
      <c r="P4" s="6">
        <v>1581</v>
      </c>
      <c r="Q4" s="6">
        <v>2951</v>
      </c>
      <c r="S4">
        <v>3</v>
      </c>
      <c r="T4">
        <f>во31*х1+во32*х2+во33*х3</f>
        <v>9127.08</v>
      </c>
      <c r="U4">
        <f>вд3*у3*22*12</f>
        <v>9424.8000000000011</v>
      </c>
    </row>
    <row r="5" spans="3:23" ht="36.75" customHeight="1" thickTop="1" thickBot="1" x14ac:dyDescent="0.3">
      <c r="F5" s="3"/>
      <c r="J5" s="3"/>
    </row>
    <row r="6" spans="3:23" ht="28.5" customHeight="1" thickTop="1" thickBot="1" x14ac:dyDescent="0.3">
      <c r="C6" s="50" t="s">
        <v>42</v>
      </c>
      <c r="D6" s="50"/>
      <c r="E6" s="50"/>
      <c r="F6" s="3"/>
      <c r="G6" s="57" t="s">
        <v>42</v>
      </c>
      <c r="H6" s="58"/>
      <c r="I6" s="59"/>
      <c r="J6" s="3"/>
      <c r="K6" s="50" t="s">
        <v>42</v>
      </c>
      <c r="L6" s="50"/>
      <c r="M6" s="50"/>
      <c r="O6" s="50" t="s">
        <v>38</v>
      </c>
      <c r="P6" s="50"/>
      <c r="Q6" s="50"/>
      <c r="T6" s="9" t="s">
        <v>51</v>
      </c>
    </row>
    <row r="7" spans="3:23" ht="16.5" thickTop="1" thickBot="1" x14ac:dyDescent="0.3">
      <c r="C7" s="47" t="s">
        <v>43</v>
      </c>
      <c r="D7" s="47" t="s">
        <v>46</v>
      </c>
      <c r="E7" s="47" t="s">
        <v>47</v>
      </c>
      <c r="F7" s="3"/>
      <c r="G7" s="47" t="s">
        <v>44</v>
      </c>
      <c r="H7" s="47" t="s">
        <v>48</v>
      </c>
      <c r="I7" s="47" t="s">
        <v>49</v>
      </c>
      <c r="J7" s="3"/>
      <c r="K7" s="47" t="s">
        <v>45</v>
      </c>
      <c r="L7" s="47" t="s">
        <v>49</v>
      </c>
      <c r="M7" s="47" t="s">
        <v>50</v>
      </c>
      <c r="O7" s="47" t="s">
        <v>39</v>
      </c>
      <c r="P7" s="47" t="s">
        <v>40</v>
      </c>
      <c r="Q7" s="47" t="s">
        <v>41</v>
      </c>
      <c r="S7" s="9">
        <v>1</v>
      </c>
      <c r="T7">
        <f>с1-0.1*(J21-F21)</f>
        <v>4000</v>
      </c>
    </row>
    <row r="8" spans="3:23" ht="16.5" thickTop="1" thickBot="1" x14ac:dyDescent="0.3">
      <c r="C8" s="47">
        <v>0.85</v>
      </c>
      <c r="D8" s="47">
        <v>1</v>
      </c>
      <c r="E8" s="47">
        <v>0.84</v>
      </c>
      <c r="F8" s="3"/>
      <c r="G8" s="47">
        <v>0.95</v>
      </c>
      <c r="H8" s="47">
        <v>1.5</v>
      </c>
      <c r="I8" s="47">
        <v>0.8</v>
      </c>
      <c r="J8" s="3"/>
      <c r="K8" s="47">
        <v>1.2</v>
      </c>
      <c r="L8" s="47">
        <v>0.78</v>
      </c>
      <c r="M8" s="47">
        <v>0.78</v>
      </c>
      <c r="O8" s="6">
        <v>6</v>
      </c>
      <c r="P8" s="6">
        <v>7</v>
      </c>
      <c r="Q8" s="6">
        <v>6</v>
      </c>
      <c r="S8" s="3">
        <v>2</v>
      </c>
      <c r="T8">
        <f>с2-0.2*(K21-G21)</f>
        <v>5100</v>
      </c>
    </row>
    <row r="9" spans="3:23" ht="21.75" customHeight="1" thickTop="1" thickBot="1" x14ac:dyDescent="0.3">
      <c r="F9" s="3"/>
      <c r="J9" s="3"/>
      <c r="L9" s="3"/>
      <c r="O9" s="6">
        <v>5</v>
      </c>
      <c r="P9" s="6">
        <v>5</v>
      </c>
      <c r="Q9" s="6">
        <v>5</v>
      </c>
      <c r="R9" t="s">
        <v>65</v>
      </c>
      <c r="S9" s="3">
        <v>3</v>
      </c>
      <c r="T9">
        <f>с3-0.3*(L21-H21)</f>
        <v>3250</v>
      </c>
    </row>
    <row r="10" spans="3:23" ht="30" customHeight="1" thickTop="1" thickBot="1" x14ac:dyDescent="0.3">
      <c r="C10" s="50" t="s">
        <v>30</v>
      </c>
      <c r="D10" s="50"/>
      <c r="E10" s="50"/>
      <c r="F10" s="3"/>
      <c r="G10" s="57" t="s">
        <v>22</v>
      </c>
      <c r="H10" s="58"/>
      <c r="I10" s="59"/>
      <c r="J10" s="3"/>
      <c r="K10" s="46" t="s">
        <v>26</v>
      </c>
      <c r="L10" s="3"/>
      <c r="M10" s="46" t="s">
        <v>113</v>
      </c>
      <c r="R10" t="e">
        <f ca="1">_xludf.MAX($Q$11)</f>
        <v>#NAME?</v>
      </c>
      <c r="S10" t="s">
        <v>111</v>
      </c>
    </row>
    <row r="11" spans="3:23" ht="31.5" customHeight="1" thickTop="1" thickBot="1" x14ac:dyDescent="0.3">
      <c r="C11" s="47" t="s">
        <v>31</v>
      </c>
      <c r="D11" s="47" t="s">
        <v>32</v>
      </c>
      <c r="E11" s="47" t="s">
        <v>33</v>
      </c>
      <c r="F11" s="3"/>
      <c r="G11" s="47" t="s">
        <v>23</v>
      </c>
      <c r="H11" s="47" t="s">
        <v>24</v>
      </c>
      <c r="I11" s="47" t="s">
        <v>25</v>
      </c>
      <c r="J11" s="3"/>
      <c r="K11" s="47" t="s">
        <v>27</v>
      </c>
      <c r="L11" s="3"/>
      <c r="M11" s="40" t="s">
        <v>114</v>
      </c>
      <c r="O11" s="54" t="s">
        <v>1</v>
      </c>
      <c r="P11" s="54"/>
      <c r="Q11" s="7">
        <f>(ц1*х1+ц2*х2+х3*ц3)+((C4*O4+D4*P4+E4*Q4)/(1+M12))-((и1*х1+и2*х2+и3*х3)+(G4*O4+H4*P4+I4*Q4)/(1+M12))-(пи+K4/(1+M12))</f>
        <v>4989116.6666666688</v>
      </c>
      <c r="R11">
        <f>COUNT($O$3:$Q$3,$O$8:$Q$8)</f>
        <v>6</v>
      </c>
      <c r="S11" t="e">
        <f ca="1">_xludf.MAX($Q$11)</f>
        <v>#NAME?</v>
      </c>
      <c r="T11" t="s">
        <v>118</v>
      </c>
      <c r="V11" t="s">
        <v>119</v>
      </c>
      <c r="W11" t="s">
        <v>122</v>
      </c>
    </row>
    <row r="12" spans="3:23" ht="16.5" customHeight="1" thickTop="1" thickBot="1" x14ac:dyDescent="0.3">
      <c r="C12" s="47">
        <v>5.5</v>
      </c>
      <c r="D12" s="47">
        <v>6.21</v>
      </c>
      <c r="E12" s="47">
        <v>5.95</v>
      </c>
      <c r="F12" s="3"/>
      <c r="G12" s="47">
        <v>1.5</v>
      </c>
      <c r="H12" s="47">
        <v>1.6</v>
      </c>
      <c r="I12" s="47">
        <v>1.25</v>
      </c>
      <c r="J12" s="3"/>
      <c r="K12" s="47">
        <v>2000</v>
      </c>
      <c r="L12" s="3"/>
      <c r="M12" s="40">
        <v>0.08</v>
      </c>
      <c r="R12" t="b">
        <f>$T$2&lt;=$U$2</f>
        <v>1</v>
      </c>
      <c r="S12">
        <f>COUNT($O$3:$Q$3,$O$8:$Q$8)</f>
        <v>6</v>
      </c>
      <c r="T12" t="e">
        <f ca="1">_xludf.MAX($Q$11)</f>
        <v>#NAME?</v>
      </c>
      <c r="V12" t="e">
        <f ca="1">_xludf.MAX($Q$11)</f>
        <v>#NAME?</v>
      </c>
      <c r="W12" t="e">
        <f ca="1">_xludf.MAX($Q$11)</f>
        <v>#NAME?</v>
      </c>
    </row>
    <row r="13" spans="3:23" ht="18.75" customHeight="1" thickTop="1" thickBot="1" x14ac:dyDescent="0.3">
      <c r="F13" s="3"/>
      <c r="J13" s="3"/>
      <c r="O13" s="60" t="s">
        <v>115</v>
      </c>
      <c r="P13" s="60"/>
      <c r="R13" t="b">
        <f>$T$3&lt;=$U$3</f>
        <v>1</v>
      </c>
      <c r="S13" t="b">
        <f>$K$33&gt;=$I$33</f>
        <v>1</v>
      </c>
      <c r="T13">
        <f>COUNT($O$3:$Q$3,$O$8:$Q$8)</f>
        <v>6</v>
      </c>
      <c r="V13">
        <f>COUNT($O$3:$Q$3,$O$4:$Q$4,$O$8:$Q$8)</f>
        <v>9</v>
      </c>
      <c r="W13">
        <f>COUNT($O$3:$Q$4,$O$8:$Q$9)</f>
        <v>12</v>
      </c>
    </row>
    <row r="14" spans="3:23" ht="28.5" customHeight="1" thickTop="1" thickBot="1" x14ac:dyDescent="0.3">
      <c r="C14" s="57" t="s">
        <v>121</v>
      </c>
      <c r="D14" s="58"/>
      <c r="E14" s="59"/>
      <c r="F14" s="3"/>
      <c r="G14" s="50" t="s">
        <v>14</v>
      </c>
      <c r="H14" s="50"/>
      <c r="I14" s="50"/>
      <c r="J14" s="3"/>
      <c r="K14" s="54" t="s">
        <v>99</v>
      </c>
      <c r="L14" s="54"/>
      <c r="M14" s="54"/>
      <c r="O14" s="40" t="s">
        <v>116</v>
      </c>
      <c r="P14" s="40" t="s">
        <v>117</v>
      </c>
      <c r="R14" t="b">
        <f>$T$4&lt;=$U$4</f>
        <v>1</v>
      </c>
      <c r="S14" t="b">
        <f>$K$24&gt;=$I$24</f>
        <v>1</v>
      </c>
      <c r="T14" t="b">
        <f>$M$34&lt;=$O$34</f>
        <v>1</v>
      </c>
      <c r="V14" t="b">
        <f>$I$22&lt;=$K$22</f>
        <v>1</v>
      </c>
      <c r="W14" t="b">
        <f>$I$23&lt;=$K$23</f>
        <v>1</v>
      </c>
    </row>
    <row r="15" spans="3:23" ht="16.5" thickTop="1" thickBot="1" x14ac:dyDescent="0.3">
      <c r="C15" s="47" t="s">
        <v>19</v>
      </c>
      <c r="D15" s="47" t="s">
        <v>20</v>
      </c>
      <c r="E15" s="47" t="s">
        <v>21</v>
      </c>
      <c r="F15" s="3"/>
      <c r="G15" s="47" t="s">
        <v>15</v>
      </c>
      <c r="H15" s="47" t="s">
        <v>16</v>
      </c>
      <c r="I15" s="47" t="s">
        <v>17</v>
      </c>
      <c r="J15" s="3"/>
      <c r="K15" s="47" t="s">
        <v>100</v>
      </c>
      <c r="L15" s="47" t="s">
        <v>101</v>
      </c>
      <c r="M15" s="47" t="s">
        <v>102</v>
      </c>
      <c r="O15" s="40">
        <v>0</v>
      </c>
      <c r="P15" s="40">
        <v>1</v>
      </c>
      <c r="R15" t="b">
        <f>$V$2&lt;=ф</f>
        <v>1</v>
      </c>
      <c r="S15" t="b">
        <f>х3&gt;=0</f>
        <v>1</v>
      </c>
      <c r="T15" t="b">
        <f>$M$33&lt;=$O$33</f>
        <v>1</v>
      </c>
      <c r="V15" t="b">
        <f>$I$23&lt;=$K$23</f>
        <v>1</v>
      </c>
      <c r="W15" t="b">
        <f>$I$22&lt;=$K$22</f>
        <v>1</v>
      </c>
    </row>
    <row r="16" spans="3:23" ht="16.5" thickTop="1" thickBot="1" x14ac:dyDescent="0.3">
      <c r="C16" s="47">
        <v>7950</v>
      </c>
      <c r="D16" s="47">
        <v>5200</v>
      </c>
      <c r="E16" s="47">
        <f>67500/12</f>
        <v>5625</v>
      </c>
      <c r="G16" s="47">
        <f>4000</f>
        <v>4000</v>
      </c>
      <c r="H16" s="47">
        <f>5100</f>
        <v>5100</v>
      </c>
      <c r="I16" s="47">
        <f>3250</f>
        <v>3250</v>
      </c>
      <c r="J16" s="3">
        <v>0</v>
      </c>
      <c r="K16" s="47">
        <f>2*1800</f>
        <v>3600</v>
      </c>
      <c r="L16" s="47">
        <f>1.5*2000</f>
        <v>3000</v>
      </c>
      <c r="M16" s="47">
        <f>2*1200</f>
        <v>2400</v>
      </c>
      <c r="R16" t="b">
        <f>$O$8=INT($O$8)</f>
        <v>1</v>
      </c>
      <c r="S16" t="b">
        <f>$P$8=INT($P$8)</f>
        <v>1</v>
      </c>
      <c r="T16" t="b">
        <f>$M$24&lt;=$O$24</f>
        <v>1</v>
      </c>
      <c r="V16" t="b">
        <f>$I$24&lt;=$K$24</f>
        <v>1</v>
      </c>
      <c r="W16" t="b">
        <f>$I$24&lt;=$K$24</f>
        <v>1</v>
      </c>
    </row>
    <row r="17" spans="2:23" ht="16.5" thickTop="1" thickBot="1" x14ac:dyDescent="0.3">
      <c r="B17" s="66"/>
      <c r="C17" s="47">
        <v>8300</v>
      </c>
      <c r="D17" s="47">
        <v>5500</v>
      </c>
      <c r="E17" s="47">
        <v>5575</v>
      </c>
      <c r="F17" s="11"/>
      <c r="G17" s="47">
        <v>4400</v>
      </c>
      <c r="H17" s="47">
        <v>4500</v>
      </c>
      <c r="I17" s="47">
        <v>3300</v>
      </c>
      <c r="J17" s="48">
        <v>1</v>
      </c>
      <c r="K17" s="47">
        <v>3500</v>
      </c>
      <c r="L17" s="47">
        <v>1500</v>
      </c>
      <c r="M17" s="47">
        <v>2950</v>
      </c>
      <c r="N17" s="12"/>
      <c r="O17" s="12"/>
      <c r="P17" s="12"/>
      <c r="Q17" s="12"/>
      <c r="R17" t="b">
        <f>у1&gt;=1</f>
        <v>1</v>
      </c>
      <c r="S17" t="b">
        <f>у3&gt;=0</f>
        <v>1</v>
      </c>
      <c r="T17" t="b">
        <f>$M$23&lt;=$O$23</f>
        <v>1</v>
      </c>
      <c r="U17" s="18" t="s">
        <v>66</v>
      </c>
      <c r="V17" t="b">
        <f>$I$27&lt;=$K$27</f>
        <v>1</v>
      </c>
      <c r="W17" t="b">
        <f>$I$27&lt;=$K$27</f>
        <v>1</v>
      </c>
    </row>
    <row r="18" spans="2:23" ht="15.75" customHeight="1" thickTop="1" thickBot="1" x14ac:dyDescent="0.3">
      <c r="C18" t="s">
        <v>52</v>
      </c>
      <c r="D18" t="s">
        <v>56</v>
      </c>
      <c r="F18" s="12"/>
      <c r="G18" s="12"/>
      <c r="J18" s="12"/>
      <c r="K18" s="12"/>
      <c r="L18" s="12"/>
      <c r="M18" s="12"/>
      <c r="N18" s="13"/>
      <c r="O18" s="13"/>
      <c r="P18" s="14"/>
      <c r="Q18" s="14"/>
      <c r="R18" t="b">
        <f>$P$8=INT($P$8)</f>
        <v>1</v>
      </c>
      <c r="S18" t="b">
        <f>$O$3=INT($O$3)</f>
        <v>1</v>
      </c>
      <c r="T18" t="b">
        <f>$M$22&lt;=$O$22</f>
        <v>1</v>
      </c>
      <c r="V18" t="b">
        <f>$I$33&lt;=$K$33</f>
        <v>1</v>
      </c>
      <c r="W18" t="b">
        <f>$I$29&lt;=$K$29</f>
        <v>1</v>
      </c>
    </row>
    <row r="19" spans="2:23" ht="16.5" thickTop="1" thickBot="1" x14ac:dyDescent="0.3">
      <c r="F19" s="14"/>
      <c r="G19" s="14"/>
      <c r="H19" s="14"/>
      <c r="I19" s="24">
        <f>Q11</f>
        <v>4989116.6666666688</v>
      </c>
      <c r="J19" s="49" t="s">
        <v>78</v>
      </c>
      <c r="K19" s="14"/>
      <c r="L19" s="14"/>
      <c r="M19" s="12"/>
      <c r="N19" s="13"/>
      <c r="O19" s="13"/>
      <c r="P19" s="14"/>
      <c r="Q19" s="14"/>
      <c r="R19" t="b">
        <f>$Q$8=INT($Q$8)</f>
        <v>1</v>
      </c>
      <c r="S19" t="b">
        <f>$Q$3=INT($Q$3)</f>
        <v>1</v>
      </c>
      <c r="T19" t="b">
        <f>$K$33&gt;=$I$33</f>
        <v>1</v>
      </c>
      <c r="V19" t="b">
        <f>$I$34&lt;=$K$34</f>
        <v>1</v>
      </c>
      <c r="W19" t="b">
        <f>$I$33&lt;=$K$33</f>
        <v>1</v>
      </c>
    </row>
    <row r="20" spans="2:23" ht="15.75" thickTop="1" x14ac:dyDescent="0.25">
      <c r="F20" s="45"/>
      <c r="G20" s="45"/>
      <c r="H20" s="45"/>
      <c r="I20" s="12"/>
      <c r="J20" s="45"/>
      <c r="K20" s="45"/>
      <c r="L20" s="45"/>
      <c r="M20" s="12"/>
      <c r="N20" s="13"/>
      <c r="O20" s="13"/>
      <c r="P20" s="14"/>
      <c r="Q20" s="14"/>
      <c r="R20" t="b">
        <f>х1&lt;=$T$7</f>
        <v>1</v>
      </c>
      <c r="S20" t="b">
        <f>х2&gt;=0</f>
        <v>1</v>
      </c>
      <c r="T20" t="b">
        <f>$K$37&lt;=$I$37</f>
        <v>1</v>
      </c>
      <c r="V20" t="b">
        <f>$I$35&lt;=$K$35</f>
        <v>1</v>
      </c>
      <c r="W20" t="b">
        <f>$I$34&lt;=$K$34</f>
        <v>1</v>
      </c>
    </row>
    <row r="21" spans="2:23" ht="15.75" thickBot="1" x14ac:dyDescent="0.3">
      <c r="F21" s="45"/>
      <c r="G21" s="45"/>
      <c r="H21" s="45"/>
      <c r="I21" s="12"/>
      <c r="J21" s="45">
        <v>0</v>
      </c>
      <c r="K21" s="45"/>
      <c r="L21" s="45"/>
      <c r="M21" s="12"/>
      <c r="N21" s="45">
        <v>1</v>
      </c>
      <c r="O21" s="13"/>
      <c r="P21" s="14"/>
      <c r="Q21" s="14"/>
      <c r="R21" t="b">
        <f>х1&lt;=с1</f>
        <v>1</v>
      </c>
      <c r="S21" t="b">
        <f>х1&gt;=0</f>
        <v>1</v>
      </c>
      <c r="T21" t="b">
        <f>$M$35&lt;=$O$35</f>
        <v>1</v>
      </c>
      <c r="V21" t="b">
        <f>$K$33&gt;=$I$33</f>
        <v>1</v>
      </c>
      <c r="W21" t="b">
        <f>$I$35&lt;=$K$35</f>
        <v>1</v>
      </c>
    </row>
    <row r="22" spans="2:23" ht="16.5" thickTop="1" thickBot="1" x14ac:dyDescent="0.3">
      <c r="C22" t="s">
        <v>57</v>
      </c>
      <c r="D22" s="62" t="s">
        <v>58</v>
      </c>
      <c r="E22" s="62"/>
      <c r="F22" s="62"/>
      <c r="G22" s="62"/>
      <c r="H22" s="62"/>
      <c r="I22" s="47">
        <f>T2</f>
        <v>8711.99</v>
      </c>
      <c r="J22" s="47" t="s">
        <v>59</v>
      </c>
      <c r="K22" s="47">
        <f>U2</f>
        <v>8712</v>
      </c>
      <c r="L22" s="3" t="s">
        <v>19</v>
      </c>
      <c r="M22" s="17">
        <f>во1*O4+во2*P4+во3*Q4</f>
        <v>7118.99</v>
      </c>
      <c r="N22" s="47" t="s">
        <v>59</v>
      </c>
      <c r="O22" s="17">
        <f>вд1*O9*22*12</f>
        <v>7260</v>
      </c>
      <c r="R22" t="b">
        <f>$O$3=INT($O$3)</f>
        <v>1</v>
      </c>
      <c r="S22" t="b">
        <f>$P$3=INT($P$3)</f>
        <v>1</v>
      </c>
      <c r="T22" t="b">
        <f>$P$3=INT($P$3)</f>
        <v>1</v>
      </c>
      <c r="V22" t="b">
        <f>$K$35&gt;=$I$35</f>
        <v>1</v>
      </c>
      <c r="W22" t="b">
        <f>$K$33&gt;=$I$33</f>
        <v>1</v>
      </c>
    </row>
    <row r="23" spans="2:23" ht="16.5" thickTop="1" thickBot="1" x14ac:dyDescent="0.3">
      <c r="I23" s="47">
        <f>T3</f>
        <v>10447.25</v>
      </c>
      <c r="J23" s="47" t="s">
        <v>59</v>
      </c>
      <c r="K23" s="47">
        <f>U3</f>
        <v>11476.079999999998</v>
      </c>
      <c r="L23" s="3" t="s">
        <v>20</v>
      </c>
      <c r="M23" s="17">
        <f>во21*O4+во22*P4+во23*Q4</f>
        <v>8151.3499999999995</v>
      </c>
      <c r="N23" s="47" t="s">
        <v>59</v>
      </c>
      <c r="O23" s="17">
        <f>вд2*P9*22*12</f>
        <v>8197.2000000000007</v>
      </c>
      <c r="R23" t="b">
        <f>х1&gt;=1</f>
        <v>1</v>
      </c>
      <c r="S23" t="b">
        <f>$K$23&gt;=$I$23</f>
        <v>1</v>
      </c>
      <c r="T23" t="b">
        <f>$P$8=INT($P$8)</f>
        <v>1</v>
      </c>
      <c r="V23" t="b">
        <f>$K$37&lt;=$I$37</f>
        <v>1</v>
      </c>
      <c r="W23" t="b">
        <f>$K$35&gt;=$I$35</f>
        <v>1</v>
      </c>
    </row>
    <row r="24" spans="2:23" ht="16.5" thickTop="1" thickBot="1" x14ac:dyDescent="0.3">
      <c r="I24" s="47">
        <f>T4</f>
        <v>9127.08</v>
      </c>
      <c r="J24" s="47" t="s">
        <v>59</v>
      </c>
      <c r="K24" s="47">
        <f>U4</f>
        <v>9424.8000000000011</v>
      </c>
      <c r="L24" s="3" t="s">
        <v>21</v>
      </c>
      <c r="M24" s="17">
        <f>во31*O4+во32*P4+во33*Q4</f>
        <v>7853.76</v>
      </c>
      <c r="N24" s="47" t="s">
        <v>59</v>
      </c>
      <c r="O24" s="17">
        <f>вд3*Q9*22*12</f>
        <v>7854</v>
      </c>
      <c r="R24" t="b">
        <f>х2&lt;=$T$8</f>
        <v>1</v>
      </c>
      <c r="S24" t="b">
        <f>$I$38&gt;=$K$38</f>
        <v>1</v>
      </c>
      <c r="T24" t="b">
        <f>$O$37&lt;=$M$37</f>
        <v>1</v>
      </c>
      <c r="V24" t="b">
        <f>$K$38&lt;=$I$38</f>
        <v>1</v>
      </c>
      <c r="W24" t="b">
        <f>$K$37&lt;=$I$37</f>
        <v>1</v>
      </c>
    </row>
    <row r="25" spans="2:23" ht="15.75" thickTop="1" x14ac:dyDescent="0.25">
      <c r="J25" s="3"/>
      <c r="L25" s="3"/>
      <c r="N25" s="3"/>
      <c r="R25" t="b">
        <f>х2&lt;=с2</f>
        <v>1</v>
      </c>
      <c r="S25" t="b">
        <f>$K$24&gt;=$I$24</f>
        <v>1</v>
      </c>
      <c r="T25" t="b">
        <f>х1&gt;=0</f>
        <v>1</v>
      </c>
      <c r="V25" t="b">
        <f>$K$39&lt;=$I$39</f>
        <v>1</v>
      </c>
      <c r="W25" t="b">
        <f>$K$38&lt;=$I$38</f>
        <v>1</v>
      </c>
    </row>
    <row r="26" spans="2:23" ht="15.75" thickBot="1" x14ac:dyDescent="0.3">
      <c r="J26" s="3"/>
      <c r="L26" s="3"/>
      <c r="N26" s="3"/>
      <c r="R26" t="b">
        <f>$P$3=INT($P$3)</f>
        <v>1</v>
      </c>
      <c r="S26" t="b">
        <f>$O$8=INT($O$8)</f>
        <v>1</v>
      </c>
      <c r="T26" t="b">
        <f>$O$3=INT($O$3)</f>
        <v>1</v>
      </c>
      <c r="V26" t="b">
        <f>$M$22&lt;=$O$22</f>
        <v>1</v>
      </c>
      <c r="W26" t="b">
        <f>$K$39&lt;=$I$39</f>
        <v>1</v>
      </c>
    </row>
    <row r="27" spans="2:23" ht="29.25" customHeight="1" thickTop="1" thickBot="1" x14ac:dyDescent="0.3">
      <c r="C27" t="s">
        <v>60</v>
      </c>
      <c r="D27" s="63" t="s">
        <v>61</v>
      </c>
      <c r="E27" s="63"/>
      <c r="F27" s="63"/>
      <c r="G27" s="63"/>
      <c r="H27" s="63"/>
      <c r="I27" s="47">
        <f>у1*об1*12+у2*об2*12+у3*об3*12+д*(п1*у1+п2*у2+п3*у3)</f>
        <v>1469600</v>
      </c>
      <c r="J27" s="47" t="s">
        <v>59</v>
      </c>
      <c r="K27" s="47">
        <f>ф</f>
        <v>2675600</v>
      </c>
      <c r="L27" s="3" t="s">
        <v>29</v>
      </c>
      <c r="M27" s="47">
        <f>C17*O9*12+D17*P9*12+E17*Q9*12+д*(п1*O9+п2*P9+п3*Q9)</f>
        <v>1206000</v>
      </c>
      <c r="N27" s="47" t="s">
        <v>59</v>
      </c>
      <c r="O27" s="47">
        <f>ф</f>
        <v>2675600</v>
      </c>
      <c r="R27" t="b">
        <f>х3&lt;=$T$9</f>
        <v>1</v>
      </c>
      <c r="S27" t="b">
        <f>у1&gt;=0</f>
        <v>1</v>
      </c>
      <c r="T27" t="b">
        <f>$Q$3=INT($Q$3)</f>
        <v>1</v>
      </c>
      <c r="V27" t="b">
        <f>$M$23&lt;=$O$23</f>
        <v>1</v>
      </c>
      <c r="W27" t="b">
        <f>$M$22&lt;=$O$22</f>
        <v>1</v>
      </c>
    </row>
    <row r="28" spans="2:23" ht="16.5" thickTop="1" thickBot="1" x14ac:dyDescent="0.3">
      <c r="J28" s="3"/>
      <c r="L28" s="3"/>
      <c r="N28" s="3"/>
      <c r="R28" t="b">
        <f>х3&lt;=с3</f>
        <v>1</v>
      </c>
      <c r="S28" t="b">
        <f>у2&gt;=0</f>
        <v>1</v>
      </c>
      <c r="T28" t="b">
        <f>у3&gt;=0</f>
        <v>1</v>
      </c>
      <c r="V28" t="b">
        <f>$M$24&lt;=$O$24</f>
        <v>1</v>
      </c>
      <c r="W28" t="b">
        <f>$M$23&lt;=$O$23</f>
        <v>1</v>
      </c>
    </row>
    <row r="29" spans="2:23" ht="16.5" thickTop="1" thickBot="1" x14ac:dyDescent="0.3">
      <c r="I29" s="17">
        <f>I27+M27</f>
        <v>2675600</v>
      </c>
      <c r="J29" s="47" t="s">
        <v>59</v>
      </c>
      <c r="K29" s="17">
        <f>ф</f>
        <v>2675600</v>
      </c>
      <c r="L29" s="3"/>
      <c r="N29" s="3"/>
      <c r="R29" t="b">
        <f>$Q$3=INT($Q$3)</f>
        <v>1</v>
      </c>
      <c r="S29" t="b">
        <f>$Q$8=INT($Q$8)</f>
        <v>1</v>
      </c>
      <c r="T29" t="b">
        <f>х2&gt;=0</f>
        <v>1</v>
      </c>
      <c r="V29" t="b">
        <f>$M$33&lt;=$O$33</f>
        <v>1</v>
      </c>
      <c r="W29" t="b">
        <f>$M$24&lt;=$O$24</f>
        <v>1</v>
      </c>
    </row>
    <row r="30" spans="2:23" ht="15.75" thickTop="1" x14ac:dyDescent="0.25">
      <c r="J30" s="3"/>
      <c r="L30" s="3"/>
      <c r="N30" s="3"/>
      <c r="R30">
        <f>{32767;32767;0.000001;0.01;FALSE;FALSE;FALSE;1;2;1;0.0001;FALSE}</f>
        <v>32767</v>
      </c>
      <c r="S30" t="b">
        <f>$K$27&gt;=$I$27</f>
        <v>1</v>
      </c>
      <c r="T30" t="b">
        <f>$O$39&lt;=$M$39</f>
        <v>1</v>
      </c>
      <c r="V30" t="b">
        <f>$M$34&lt;=$O$34</f>
        <v>1</v>
      </c>
      <c r="W30" t="b">
        <f>$M$27&lt;=$O$27</f>
        <v>1</v>
      </c>
    </row>
    <row r="31" spans="2:23" x14ac:dyDescent="0.25">
      <c r="J31" s="3"/>
      <c r="L31" s="3"/>
      <c r="N31" s="3"/>
      <c r="R31">
        <f>{0;0;1;100;0;FALSE;FALSE;0.075;0;0;FALSE;30}</f>
        <v>0</v>
      </c>
      <c r="S31" t="b">
        <f>$K$34&gt;=$I$34</f>
        <v>1</v>
      </c>
      <c r="T31" t="b">
        <f>$O$38&lt;=$M$38</f>
        <v>1</v>
      </c>
      <c r="V31" t="b">
        <f>$M$35&lt;=$O$35</f>
        <v>1</v>
      </c>
      <c r="W31" t="b">
        <f>$M$33&lt;=$O$33</f>
        <v>1</v>
      </c>
    </row>
    <row r="32" spans="2:23" ht="15.75" thickBot="1" x14ac:dyDescent="0.3">
      <c r="J32" s="3">
        <v>0</v>
      </c>
      <c r="L32" s="3"/>
      <c r="N32" s="3">
        <v>1</v>
      </c>
      <c r="S32" t="b">
        <f>$I$39&gt;=$K$39</f>
        <v>1</v>
      </c>
      <c r="T32" t="b">
        <f>у1&gt;=0</f>
        <v>1</v>
      </c>
      <c r="V32" t="b">
        <f>$O$37&lt;=$M$37</f>
        <v>1</v>
      </c>
      <c r="W32" t="b">
        <f>$M$34&lt;=$O$34</f>
        <v>1</v>
      </c>
    </row>
    <row r="33" spans="3:23" ht="16.5" thickTop="1" thickBot="1" x14ac:dyDescent="0.3">
      <c r="C33" t="s">
        <v>53</v>
      </c>
      <c r="D33" s="62" t="s">
        <v>62</v>
      </c>
      <c r="E33" s="62"/>
      <c r="F33" s="62"/>
      <c r="G33" s="62"/>
      <c r="H33" s="62"/>
      <c r="I33" s="47">
        <f>х1</f>
        <v>3611</v>
      </c>
      <c r="J33" s="47" t="s">
        <v>59</v>
      </c>
      <c r="K33" s="47">
        <f>с1</f>
        <v>4000</v>
      </c>
      <c r="L33" s="3" t="s">
        <v>75</v>
      </c>
      <c r="M33" s="17">
        <f>O4</f>
        <v>3599</v>
      </c>
      <c r="N33" s="47" t="s">
        <v>59</v>
      </c>
      <c r="O33" s="17">
        <f>G17</f>
        <v>4400</v>
      </c>
      <c r="S33" t="b">
        <f>$K$35&gt;=$I$35</f>
        <v>1</v>
      </c>
      <c r="T33" t="b">
        <f>$O$8=INT($O$8)</f>
        <v>1</v>
      </c>
      <c r="V33" t="b">
        <f>$O$38&lt;=$M$38</f>
        <v>1</v>
      </c>
      <c r="W33" t="b">
        <f>$M$35&lt;=$O$35</f>
        <v>1</v>
      </c>
    </row>
    <row r="34" spans="3:23" ht="16.5" thickTop="1" thickBot="1" x14ac:dyDescent="0.3">
      <c r="I34" s="47">
        <f>х2</f>
        <v>3000</v>
      </c>
      <c r="J34" s="47" t="s">
        <v>59</v>
      </c>
      <c r="K34" s="47">
        <f>с2</f>
        <v>5100</v>
      </c>
      <c r="L34" s="3" t="s">
        <v>76</v>
      </c>
      <c r="M34" s="17">
        <f>P4</f>
        <v>1581</v>
      </c>
      <c r="N34" s="47" t="s">
        <v>59</v>
      </c>
      <c r="O34" s="17">
        <f>H17</f>
        <v>4500</v>
      </c>
      <c r="S34" t="b">
        <f>$K$33&gt;=$I$33</f>
        <v>1</v>
      </c>
      <c r="T34" t="b">
        <f>у2&gt;=0</f>
        <v>1</v>
      </c>
      <c r="V34" t="b">
        <f>$O$39&lt;=$M$39</f>
        <v>1</v>
      </c>
      <c r="W34" t="b">
        <f>$O$37&lt;=$M$37</f>
        <v>1</v>
      </c>
    </row>
    <row r="35" spans="3:23" ht="16.5" thickTop="1" thickBot="1" x14ac:dyDescent="0.3">
      <c r="I35" s="47">
        <f>х3</f>
        <v>3146</v>
      </c>
      <c r="J35" s="47" t="s">
        <v>59</v>
      </c>
      <c r="K35" s="47">
        <f>с3</f>
        <v>3250</v>
      </c>
      <c r="L35" s="3" t="s">
        <v>77</v>
      </c>
      <c r="M35" s="17">
        <f>Q4</f>
        <v>2951</v>
      </c>
      <c r="N35" s="47" t="s">
        <v>59</v>
      </c>
      <c r="O35" s="17">
        <f>I17</f>
        <v>3300</v>
      </c>
      <c r="S35" t="b">
        <f>$K$34&gt;=$I$34</f>
        <v>1</v>
      </c>
      <c r="T35" t="b">
        <f>$Q$8=INT($Q$8)</f>
        <v>1</v>
      </c>
      <c r="V35" t="b">
        <f t="array" ref="V35">$O$3:$Q$3=INT($O$3:$Q$3)</f>
        <v>1</v>
      </c>
      <c r="W35" t="b">
        <f>$O$38&lt;=$M$38</f>
        <v>1</v>
      </c>
    </row>
    <row r="36" spans="3:23" ht="16.5" thickTop="1" thickBot="1" x14ac:dyDescent="0.3">
      <c r="I36" s="3"/>
      <c r="J36" s="3">
        <v>0</v>
      </c>
      <c r="K36" s="3"/>
      <c r="L36" s="3"/>
      <c r="N36" s="3">
        <v>1</v>
      </c>
      <c r="S36" t="b">
        <f>$K$22&gt;=$I$22</f>
        <v>1</v>
      </c>
      <c r="T36" t="b">
        <f>$K$35&gt;=$I$35</f>
        <v>1</v>
      </c>
      <c r="V36" t="b">
        <f t="array" ref="V36">$O$3:$Q$3&gt;=0</f>
        <v>1</v>
      </c>
      <c r="W36" t="b">
        <f>$O$39&lt;=$M$39</f>
        <v>1</v>
      </c>
    </row>
    <row r="37" spans="3:23" ht="16.5" thickTop="1" thickBot="1" x14ac:dyDescent="0.3">
      <c r="C37" s="36" t="s">
        <v>98</v>
      </c>
      <c r="E37" t="s">
        <v>110</v>
      </c>
      <c r="I37" s="47">
        <f>х1</f>
        <v>3611</v>
      </c>
      <c r="J37" s="47" t="s">
        <v>96</v>
      </c>
      <c r="K37" s="47">
        <f>K16</f>
        <v>3600</v>
      </c>
      <c r="L37" s="3" t="s">
        <v>35</v>
      </c>
      <c r="M37" s="17">
        <f>O4</f>
        <v>3599</v>
      </c>
      <c r="N37" s="47" t="s">
        <v>96</v>
      </c>
      <c r="O37" s="17">
        <f>K17</f>
        <v>3500</v>
      </c>
      <c r="S37" t="b">
        <f>$K$37&lt;=$I$37</f>
        <v>1</v>
      </c>
      <c r="T37" t="b">
        <f>х3&gt;=0</f>
        <v>1</v>
      </c>
      <c r="V37" t="b">
        <f t="array" ref="V37">$O$4:$Q$4=INT($O$4:$Q$4)</f>
        <v>1</v>
      </c>
      <c r="W37" t="b">
        <f t="array" ref="W37">$O$3:$Q$3=INT($O$3:$Q$3)</f>
        <v>1</v>
      </c>
    </row>
    <row r="38" spans="3:23" ht="16.5" thickTop="1" thickBot="1" x14ac:dyDescent="0.3">
      <c r="I38" s="47">
        <f>х2</f>
        <v>3000</v>
      </c>
      <c r="J38" s="47" t="s">
        <v>96</v>
      </c>
      <c r="K38" s="47">
        <f>L16</f>
        <v>3000</v>
      </c>
      <c r="L38" s="3" t="s">
        <v>36</v>
      </c>
      <c r="M38" s="17">
        <f>P4</f>
        <v>1581</v>
      </c>
      <c r="N38" s="47" t="s">
        <v>96</v>
      </c>
      <c r="O38" s="17">
        <f>L17</f>
        <v>1500</v>
      </c>
      <c r="S38">
        <f>{32767;32767;0.000001;0.01;FALSE;FALSE;FALSE;1;2;1;0.0001;FALSE}</f>
        <v>32767</v>
      </c>
      <c r="T38" t="b">
        <f>$Q$8=INT($Q$8)</f>
        <v>1</v>
      </c>
      <c r="V38" t="b">
        <f t="array" ref="V38">$O$4:$Q$4&gt;=0</f>
        <v>1</v>
      </c>
      <c r="W38" t="b">
        <f t="array" ref="W38">$O$3:$Q$3&gt;=0</f>
        <v>1</v>
      </c>
    </row>
    <row r="39" spans="3:23" ht="16.5" thickTop="1" thickBot="1" x14ac:dyDescent="0.3">
      <c r="I39" s="47">
        <f>х3</f>
        <v>3146</v>
      </c>
      <c r="J39" s="47" t="s">
        <v>96</v>
      </c>
      <c r="K39" s="47">
        <f>M16</f>
        <v>2400</v>
      </c>
      <c r="L39" s="3" t="s">
        <v>37</v>
      </c>
      <c r="M39" s="17">
        <f>Q4</f>
        <v>2951</v>
      </c>
      <c r="N39" s="47" t="s">
        <v>96</v>
      </c>
      <c r="O39" s="17">
        <f>M17</f>
        <v>2950</v>
      </c>
      <c r="S39">
        <f>{0;0;1;100;0;FALSE;FALSE;0.075;0;0;FALSE;30}</f>
        <v>0</v>
      </c>
      <c r="T39" t="b">
        <f>$P$8=INT($P$8)</f>
        <v>1</v>
      </c>
      <c r="V39" t="b">
        <f t="array" ref="V39">$O$8:$Q$8=INT($O$8:$Q$8)</f>
        <v>1</v>
      </c>
      <c r="W39" t="b">
        <f t="array" ref="W39">$O$4:$Q$4=INT($O$4:$Q$4)</f>
        <v>1</v>
      </c>
    </row>
    <row r="40" spans="3:23" ht="15.75" thickTop="1" x14ac:dyDescent="0.25">
      <c r="T40" t="b">
        <f>$O$8=INT($O$8)</f>
        <v>1</v>
      </c>
      <c r="V40" t="b">
        <f t="array" ref="V40">$O$8:$Q$8&gt;=0</f>
        <v>1</v>
      </c>
      <c r="W40" t="b">
        <f t="array" ref="W40">$O$4:$Q$4&gt;=0</f>
        <v>1</v>
      </c>
    </row>
    <row r="41" spans="3:23" x14ac:dyDescent="0.25">
      <c r="C41" t="s">
        <v>54</v>
      </c>
      <c r="D41" t="s">
        <v>63</v>
      </c>
      <c r="T41" t="b">
        <f>$K$24&gt;=$I$24</f>
        <v>1</v>
      </c>
      <c r="V41">
        <f>{32767;32767;0.000001;0.01;TRUE;FALSE;TRUE;1;1;1;0.0001;FALSE}</f>
        <v>32767</v>
      </c>
      <c r="W41" t="b">
        <f t="array" ref="W41">$O$8:$Q$8=INT($O$8:$Q$8)</f>
        <v>1</v>
      </c>
    </row>
    <row r="42" spans="3:23" x14ac:dyDescent="0.25">
      <c r="T42" t="b">
        <f>$K$34&gt;=$I$34</f>
        <v>1</v>
      </c>
      <c r="V42">
        <f>{0;0;2;100;0;FALSE;TRUE;0.075;0;0;FALSE;30}</f>
        <v>0</v>
      </c>
      <c r="W42" t="b">
        <f t="array" ref="W42">$O$8:$Q$8&gt;=0</f>
        <v>1</v>
      </c>
    </row>
    <row r="43" spans="3:23" x14ac:dyDescent="0.25">
      <c r="D43" s="18" t="s">
        <v>66</v>
      </c>
      <c r="T43" t="b">
        <f>$K$34&gt;=$I$34</f>
        <v>1</v>
      </c>
      <c r="W43" t="b">
        <f t="array" ref="W43">$O$9:$Q$9=INT($O$9:$Q$9)</f>
        <v>1</v>
      </c>
    </row>
    <row r="44" spans="3:23" x14ac:dyDescent="0.25">
      <c r="T44" t="b">
        <f>$K$33&gt;=$I$33</f>
        <v>1</v>
      </c>
      <c r="W44" t="b">
        <f t="array" ref="W44">$O$9:$Q$9&gt;=0</f>
        <v>1</v>
      </c>
    </row>
    <row r="45" spans="3:23" x14ac:dyDescent="0.25">
      <c r="T45" t="b">
        <f>$K$23&gt;=$I$23</f>
        <v>1</v>
      </c>
      <c r="W45">
        <f>{32767;32767;0.000001;0.01;TRUE;FALSE;TRUE;1;1;1;0.0001;FALSE}</f>
        <v>32767</v>
      </c>
    </row>
    <row r="46" spans="3:23" x14ac:dyDescent="0.25">
      <c r="T46" t="b">
        <f>$K$27&gt;=$I$27</f>
        <v>1</v>
      </c>
      <c r="W46">
        <f>{0;0;2;100;0;FALSE;TRUE;0.075;0;0;FALSE;30}</f>
        <v>0</v>
      </c>
    </row>
    <row r="47" spans="3:23" x14ac:dyDescent="0.25">
      <c r="T47" t="b">
        <f>$K$24&gt;=$I$24</f>
        <v>1</v>
      </c>
    </row>
    <row r="48" spans="3:23" ht="15.75" thickBot="1" x14ac:dyDescent="0.3">
      <c r="T48" t="b">
        <f>$I$38&gt;=$K$38</f>
        <v>1</v>
      </c>
    </row>
    <row r="49" spans="3:20" ht="16.5" thickTop="1" thickBot="1" x14ac:dyDescent="0.3">
      <c r="C49" t="s">
        <v>103</v>
      </c>
      <c r="D49" s="20" t="s">
        <v>104</v>
      </c>
      <c r="I49" s="17">
        <f>об1*у1*12+об2*у2*12+об3*у3*12+C17*O9*12+D17*P9*12+E17*Q9*12+д*(п1*у1+п2*у2+п3*у3+п1*O9+п2*P9+п3*Q9)</f>
        <v>2675600</v>
      </c>
      <c r="J49" t="s">
        <v>109</v>
      </c>
      <c r="R49" t="s">
        <v>112</v>
      </c>
      <c r="T49" t="b">
        <f>$I$39&gt;=$K$39</f>
        <v>1</v>
      </c>
    </row>
    <row r="50" spans="3:20" ht="15.75" thickTop="1" x14ac:dyDescent="0.25">
      <c r="R50" t="e">
        <f ca="1">_xludf.MIN($I$49)</f>
        <v>#NAME?</v>
      </c>
      <c r="T50" t="b">
        <f>$K$22&gt;=$I$22</f>
        <v>1</v>
      </c>
    </row>
    <row r="51" spans="3:20" x14ac:dyDescent="0.25">
      <c r="R51">
        <f>COUNT($O$3:$Q$3,$O$8:$Q$8)</f>
        <v>6</v>
      </c>
      <c r="T51">
        <f>{32767;32767;0.000001;0.01;FALSE;FALSE;FALSE;1;2;1;0.0001;FALSE}</f>
        <v>32767</v>
      </c>
    </row>
    <row r="52" spans="3:20" x14ac:dyDescent="0.25">
      <c r="R52" t="b">
        <f>$I$63&gt;=$K$63</f>
        <v>1</v>
      </c>
      <c r="T52">
        <f>{0;0;1;100;0;FALSE;FALSE;0.075;0;0;FALSE;30}</f>
        <v>0</v>
      </c>
    </row>
    <row r="53" spans="3:20" ht="15.75" thickBot="1" x14ac:dyDescent="0.3">
      <c r="R53" t="b">
        <f>$I$64&gt;=$K$64</f>
        <v>1</v>
      </c>
    </row>
    <row r="54" spans="3:20" ht="16.5" thickTop="1" thickBot="1" x14ac:dyDescent="0.3">
      <c r="C54" t="s">
        <v>105</v>
      </c>
      <c r="D54" t="s">
        <v>58</v>
      </c>
      <c r="I54" s="47">
        <f>во1*х1+во2*х2+во3*х3</f>
        <v>8711.99</v>
      </c>
      <c r="J54" s="47" t="s">
        <v>59</v>
      </c>
      <c r="K54" s="47">
        <f>вд1*22*12*у1</f>
        <v>8712</v>
      </c>
      <c r="L54" t="s">
        <v>19</v>
      </c>
      <c r="M54" s="17">
        <f>M22</f>
        <v>7118.99</v>
      </c>
      <c r="N54" s="47" t="s">
        <v>59</v>
      </c>
      <c r="O54" s="17">
        <f>O22</f>
        <v>7260</v>
      </c>
      <c r="R54" t="b">
        <f>$I$65&gt;=$K$65</f>
        <v>1</v>
      </c>
    </row>
    <row r="55" spans="3:20" ht="16.5" thickTop="1" thickBot="1" x14ac:dyDescent="0.3">
      <c r="I55" s="47">
        <f>во21*х1+во22*х2+во23*х3</f>
        <v>10447.25</v>
      </c>
      <c r="J55" s="47" t="s">
        <v>59</v>
      </c>
      <c r="K55" s="47">
        <f>вд2*у2*12*22</f>
        <v>11476.08</v>
      </c>
      <c r="L55" t="s">
        <v>20</v>
      </c>
      <c r="M55" s="17">
        <f t="shared" ref="M55:M56" si="0">M23</f>
        <v>8151.3499999999995</v>
      </c>
      <c r="N55" s="47" t="s">
        <v>59</v>
      </c>
      <c r="O55" s="17">
        <f t="shared" ref="O55:O56" si="1">O23</f>
        <v>8197.2000000000007</v>
      </c>
      <c r="R55" t="b">
        <f>$K$54&gt;=$I$54</f>
        <v>1</v>
      </c>
    </row>
    <row r="56" spans="3:20" ht="16.5" thickTop="1" thickBot="1" x14ac:dyDescent="0.3">
      <c r="I56" s="47">
        <f>во31*х1+во32*х2+во33*х3</f>
        <v>9127.08</v>
      </c>
      <c r="J56" s="47" t="s">
        <v>59</v>
      </c>
      <c r="K56" s="47">
        <f>вд3*у3*12*22</f>
        <v>9424.8000000000011</v>
      </c>
      <c r="L56" t="s">
        <v>21</v>
      </c>
      <c r="M56" s="17">
        <f t="shared" si="0"/>
        <v>7853.76</v>
      </c>
      <c r="N56" s="47" t="s">
        <v>59</v>
      </c>
      <c r="O56" s="17">
        <f t="shared" si="1"/>
        <v>7854</v>
      </c>
      <c r="R56" t="b">
        <f>$K$55&gt;=$I$55</f>
        <v>1</v>
      </c>
    </row>
    <row r="57" spans="3:20" ht="15.75" thickTop="1" x14ac:dyDescent="0.25">
      <c r="I57" s="3"/>
      <c r="J57" s="3"/>
      <c r="K57" s="3"/>
      <c r="N57" s="3"/>
      <c r="R57" t="b">
        <f>$Q$8=INT($Q$8)</f>
        <v>1</v>
      </c>
    </row>
    <row r="58" spans="3:20" ht="15.75" thickBot="1" x14ac:dyDescent="0.3">
      <c r="I58" s="3"/>
      <c r="J58" s="3"/>
      <c r="K58" s="3"/>
      <c r="N58" s="3"/>
      <c r="R58" t="b">
        <f>$K$56&gt;=$I$56</f>
        <v>1</v>
      </c>
    </row>
    <row r="59" spans="3:20" ht="16.5" thickTop="1" thickBot="1" x14ac:dyDescent="0.3">
      <c r="C59" t="s">
        <v>106</v>
      </c>
      <c r="D59" t="s">
        <v>107</v>
      </c>
      <c r="I59" s="47">
        <f>х1</f>
        <v>3611</v>
      </c>
      <c r="J59" s="47" t="s">
        <v>59</v>
      </c>
      <c r="K59" s="47">
        <f>с1</f>
        <v>4000</v>
      </c>
      <c r="L59" t="s">
        <v>75</v>
      </c>
      <c r="M59" s="17">
        <f>M33</f>
        <v>3599</v>
      </c>
      <c r="N59" s="47" t="s">
        <v>59</v>
      </c>
      <c r="O59" s="17">
        <f>O33</f>
        <v>4400</v>
      </c>
      <c r="R59" t="b">
        <f>$P$3=INT($P$3)</f>
        <v>1</v>
      </c>
    </row>
    <row r="60" spans="3:20" ht="16.5" thickTop="1" thickBot="1" x14ac:dyDescent="0.3">
      <c r="I60" s="47">
        <f>х2</f>
        <v>3000</v>
      </c>
      <c r="J60" s="47" t="s">
        <v>59</v>
      </c>
      <c r="K60" s="47">
        <f>с2</f>
        <v>5100</v>
      </c>
      <c r="L60" t="s">
        <v>76</v>
      </c>
      <c r="M60" s="17">
        <f>P4</f>
        <v>1581</v>
      </c>
      <c r="N60" s="47" t="s">
        <v>59</v>
      </c>
      <c r="O60" s="17">
        <f t="shared" ref="O60:O61" si="2">O34</f>
        <v>4500</v>
      </c>
      <c r="R60" t="b">
        <f>$K$59&gt;=$I$59</f>
        <v>1</v>
      </c>
    </row>
    <row r="61" spans="3:20" ht="16.5" thickTop="1" thickBot="1" x14ac:dyDescent="0.3">
      <c r="I61" s="47">
        <f>х3</f>
        <v>3146</v>
      </c>
      <c r="J61" s="47" t="s">
        <v>59</v>
      </c>
      <c r="K61" s="47">
        <f>с3</f>
        <v>3250</v>
      </c>
      <c r="L61" t="s">
        <v>77</v>
      </c>
      <c r="M61" s="17">
        <f t="shared" ref="M60:M61" si="3">M35</f>
        <v>2951</v>
      </c>
      <c r="N61" s="47" t="s">
        <v>59</v>
      </c>
      <c r="O61" s="17">
        <f t="shared" si="2"/>
        <v>3300</v>
      </c>
      <c r="R61" t="b">
        <f>х2&gt;=0</f>
        <v>1</v>
      </c>
    </row>
    <row r="62" spans="3:20" ht="16.5" thickTop="1" thickBot="1" x14ac:dyDescent="0.3">
      <c r="I62" s="3"/>
      <c r="J62" s="3"/>
      <c r="K62" s="3"/>
      <c r="N62" s="3"/>
      <c r="R62" t="b">
        <f>х1&gt;=0</f>
        <v>1</v>
      </c>
    </row>
    <row r="63" spans="3:20" ht="16.5" thickTop="1" thickBot="1" x14ac:dyDescent="0.3">
      <c r="I63" s="47">
        <f>х1</f>
        <v>3611</v>
      </c>
      <c r="J63" s="47" t="s">
        <v>96</v>
      </c>
      <c r="K63" s="47">
        <f>K16</f>
        <v>3600</v>
      </c>
      <c r="L63" t="s">
        <v>75</v>
      </c>
      <c r="M63" s="17">
        <f>M37</f>
        <v>3599</v>
      </c>
      <c r="N63" s="47" t="s">
        <v>96</v>
      </c>
      <c r="O63" s="17">
        <f>O37</f>
        <v>3500</v>
      </c>
      <c r="R63" t="b">
        <f>$K$64&gt;=$I$64</f>
        <v>1</v>
      </c>
    </row>
    <row r="64" spans="3:20" ht="16.5" thickTop="1" thickBot="1" x14ac:dyDescent="0.3">
      <c r="I64" s="47">
        <f>х2</f>
        <v>3000</v>
      </c>
      <c r="J64" s="47" t="s">
        <v>96</v>
      </c>
      <c r="K64" s="47">
        <f>L16</f>
        <v>3000</v>
      </c>
      <c r="L64" t="s">
        <v>76</v>
      </c>
      <c r="M64" s="17">
        <f>P4</f>
        <v>1581</v>
      </c>
      <c r="N64" s="47" t="s">
        <v>96</v>
      </c>
      <c r="O64" s="17">
        <f t="shared" ref="O64:O65" si="4">O38</f>
        <v>1500</v>
      </c>
      <c r="R64" t="b">
        <f>$Q$3=INT($Q$3)</f>
        <v>1</v>
      </c>
    </row>
    <row r="65" spans="3:18" ht="16.5" thickTop="1" thickBot="1" x14ac:dyDescent="0.3">
      <c r="I65" s="47">
        <f>х3</f>
        <v>3146</v>
      </c>
      <c r="J65" s="47" t="s">
        <v>96</v>
      </c>
      <c r="K65" s="47">
        <f>M16</f>
        <v>2400</v>
      </c>
      <c r="L65" t="s">
        <v>77</v>
      </c>
      <c r="M65" s="17">
        <f t="shared" ref="M64:M65" si="5">M39</f>
        <v>2951</v>
      </c>
      <c r="N65" s="47" t="s">
        <v>96</v>
      </c>
      <c r="O65" s="17">
        <f t="shared" si="4"/>
        <v>2950</v>
      </c>
      <c r="R65" t="b">
        <f>$O$8=INT($O$8)</f>
        <v>1</v>
      </c>
    </row>
    <row r="66" spans="3:18" ht="15.75" thickTop="1" x14ac:dyDescent="0.25">
      <c r="R66" t="b">
        <f>х3&gt;=0</f>
        <v>1</v>
      </c>
    </row>
    <row r="67" spans="3:18" x14ac:dyDescent="0.25">
      <c r="C67" t="s">
        <v>108</v>
      </c>
      <c r="D67" t="s">
        <v>63</v>
      </c>
      <c r="R67" t="b">
        <f>$K$65&gt;=$I$65</f>
        <v>0</v>
      </c>
    </row>
    <row r="68" spans="3:18" x14ac:dyDescent="0.25">
      <c r="R68" t="b">
        <f>$K$60&gt;=$I$60</f>
        <v>1</v>
      </c>
    </row>
    <row r="69" spans="3:18" x14ac:dyDescent="0.25">
      <c r="D69" s="18" t="s">
        <v>66</v>
      </c>
      <c r="R69" t="b">
        <f>у2&gt;=0</f>
        <v>1</v>
      </c>
    </row>
    <row r="70" spans="3:18" x14ac:dyDescent="0.25">
      <c r="R70" t="b">
        <f>$P$8=INT($P$8)</f>
        <v>1</v>
      </c>
    </row>
    <row r="71" spans="3:18" x14ac:dyDescent="0.25">
      <c r="R71" t="b">
        <f>у3&gt;=0</f>
        <v>1</v>
      </c>
    </row>
    <row r="72" spans="3:18" x14ac:dyDescent="0.25">
      <c r="R72" t="b">
        <f>$O$3=INT($O$3)</f>
        <v>1</v>
      </c>
    </row>
    <row r="73" spans="3:18" x14ac:dyDescent="0.25">
      <c r="R73" t="b">
        <f>$K$63&gt;=$I$63</f>
        <v>0</v>
      </c>
    </row>
    <row r="74" spans="3:18" x14ac:dyDescent="0.25">
      <c r="R74" t="b">
        <f>$K$61&gt;=$I$61</f>
        <v>1</v>
      </c>
    </row>
    <row r="75" spans="3:18" x14ac:dyDescent="0.25">
      <c r="R75" t="b">
        <f>у1&gt;=0</f>
        <v>1</v>
      </c>
    </row>
    <row r="76" spans="3:18" x14ac:dyDescent="0.25">
      <c r="R76">
        <f>{32767;32767;0.000001;0.01;FALSE;FALSE;FALSE;1;2;1;0.0001;FALSE}</f>
        <v>32767</v>
      </c>
    </row>
    <row r="77" spans="3:18" x14ac:dyDescent="0.25">
      <c r="R77">
        <f>{0;0;1;100;0;FALSE;FALSE;0.075;0;0;FALSE;30}</f>
        <v>0</v>
      </c>
    </row>
  </sheetData>
  <mergeCells count="18">
    <mergeCell ref="D22:H22"/>
    <mergeCell ref="D27:H27"/>
    <mergeCell ref="D33:H33"/>
    <mergeCell ref="C10:E10"/>
    <mergeCell ref="G10:I10"/>
    <mergeCell ref="O11:P11"/>
    <mergeCell ref="O13:P13"/>
    <mergeCell ref="C14:E14"/>
    <mergeCell ref="G14:I14"/>
    <mergeCell ref="K14:M14"/>
    <mergeCell ref="C1:E1"/>
    <mergeCell ref="G1:I1"/>
    <mergeCell ref="O1:Q1"/>
    <mergeCell ref="K2:K3"/>
    <mergeCell ref="C6:E6"/>
    <mergeCell ref="G6:I6"/>
    <mergeCell ref="K6:M6"/>
    <mergeCell ref="O6:Q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77"/>
  <sheetViews>
    <sheetView workbookViewId="0">
      <selection activeCell="Q11" sqref="Q11"/>
    </sheetView>
  </sheetViews>
  <sheetFormatPr defaultRowHeight="15" x14ac:dyDescent="0.25"/>
  <cols>
    <col min="9" max="9" width="11.5703125" customWidth="1"/>
    <col min="11" max="11" width="13" customWidth="1"/>
    <col min="12" max="12" width="11.140625" customWidth="1"/>
    <col min="13" max="13" width="12.140625" customWidth="1"/>
    <col min="20" max="20" width="11.42578125" customWidth="1"/>
  </cols>
  <sheetData>
    <row r="1" spans="3:23" ht="30.75" customHeight="1" thickTop="1" thickBot="1" x14ac:dyDescent="0.3">
      <c r="C1" s="51" t="s">
        <v>0</v>
      </c>
      <c r="D1" s="52"/>
      <c r="E1" s="53"/>
      <c r="F1" s="3"/>
      <c r="G1" s="54" t="s">
        <v>9</v>
      </c>
      <c r="H1" s="54"/>
      <c r="I1" s="54"/>
      <c r="J1" s="3"/>
      <c r="K1" s="8" t="s">
        <v>13</v>
      </c>
      <c r="L1" s="3"/>
      <c r="M1" s="42" t="s">
        <v>28</v>
      </c>
      <c r="O1" s="50" t="s">
        <v>120</v>
      </c>
      <c r="P1" s="50"/>
      <c r="Q1" s="50"/>
      <c r="T1" t="s">
        <v>3</v>
      </c>
      <c r="U1" t="s">
        <v>2</v>
      </c>
      <c r="V1" t="s">
        <v>4</v>
      </c>
      <c r="W1" t="s">
        <v>5</v>
      </c>
    </row>
    <row r="2" spans="3:23" ht="16.5" thickTop="1" thickBot="1" x14ac:dyDescent="0.3">
      <c r="C2" s="43" t="s">
        <v>6</v>
      </c>
      <c r="D2" s="43" t="s">
        <v>7</v>
      </c>
      <c r="E2" s="43" t="s">
        <v>8</v>
      </c>
      <c r="F2" s="3"/>
      <c r="G2" s="43" t="s">
        <v>10</v>
      </c>
      <c r="H2" s="43" t="s">
        <v>11</v>
      </c>
      <c r="I2" s="43" t="s">
        <v>12</v>
      </c>
      <c r="J2" s="3"/>
      <c r="K2" s="55">
        <v>250000</v>
      </c>
      <c r="L2" s="3"/>
      <c r="M2" s="43" t="s">
        <v>29</v>
      </c>
      <c r="O2" s="43" t="s">
        <v>35</v>
      </c>
      <c r="P2" s="43" t="s">
        <v>36</v>
      </c>
      <c r="Q2" s="43" t="s">
        <v>37</v>
      </c>
      <c r="S2">
        <v>1</v>
      </c>
      <c r="T2">
        <f>во1*х1+во2*х2+во3*х3</f>
        <v>8711.66</v>
      </c>
      <c r="U2">
        <f>вд1*у1*22*12</f>
        <v>8712</v>
      </c>
      <c r="V2">
        <f>(об1*у1+об2*у2+об3*у3)+д*(п1*у1+п2*у2+п3*у3)</f>
        <v>1464400</v>
      </c>
    </row>
    <row r="3" spans="3:23" ht="16.5" thickTop="1" thickBot="1" x14ac:dyDescent="0.3">
      <c r="C3" s="43">
        <v>3200</v>
      </c>
      <c r="D3" s="43">
        <v>2500</v>
      </c>
      <c r="E3" s="43">
        <v>4500</v>
      </c>
      <c r="F3" s="3">
        <v>0</v>
      </c>
      <c r="G3" s="43">
        <v>2850</v>
      </c>
      <c r="H3" s="43">
        <v>2150</v>
      </c>
      <c r="I3" s="43">
        <v>4150</v>
      </c>
      <c r="J3" s="3"/>
      <c r="K3" s="56"/>
      <c r="L3" s="3"/>
      <c r="M3" s="43">
        <v>1464400</v>
      </c>
      <c r="O3" s="6">
        <v>3814</v>
      </c>
      <c r="P3" s="6">
        <v>3001</v>
      </c>
      <c r="Q3" s="6">
        <v>2939</v>
      </c>
      <c r="S3">
        <v>2</v>
      </c>
      <c r="T3">
        <f>во21*х1+во22*х2+во23*х3</f>
        <v>10476</v>
      </c>
      <c r="U3">
        <f>вд2*у2*22*12</f>
        <v>11476.079999999998</v>
      </c>
    </row>
    <row r="4" spans="3:23" ht="31.5" customHeight="1" thickTop="1" thickBot="1" x14ac:dyDescent="0.3">
      <c r="C4" s="44">
        <v>3300</v>
      </c>
      <c r="D4" s="44">
        <v>2550</v>
      </c>
      <c r="E4" s="44">
        <v>4300</v>
      </c>
      <c r="F4" s="3">
        <v>1</v>
      </c>
      <c r="G4" s="44">
        <v>2950</v>
      </c>
      <c r="H4" s="44">
        <v>2300</v>
      </c>
      <c r="I4" s="44">
        <v>4100</v>
      </c>
      <c r="J4" s="3"/>
      <c r="K4" s="44">
        <v>275000</v>
      </c>
      <c r="L4" s="3"/>
      <c r="M4" s="3"/>
      <c r="O4" s="6">
        <v>4097</v>
      </c>
      <c r="P4" s="6">
        <v>2751</v>
      </c>
      <c r="Q4" s="6">
        <v>2950</v>
      </c>
      <c r="S4">
        <v>3</v>
      </c>
      <c r="T4">
        <f>во31*х1+во32*х2+во33*х3</f>
        <v>9210</v>
      </c>
      <c r="U4">
        <f>вд3*у3*22*12</f>
        <v>9424.8000000000011</v>
      </c>
    </row>
    <row r="5" spans="3:23" ht="36.75" customHeight="1" thickTop="1" thickBot="1" x14ac:dyDescent="0.3">
      <c r="F5" s="3"/>
      <c r="J5" s="3"/>
    </row>
    <row r="6" spans="3:23" ht="28.5" customHeight="1" thickTop="1" thickBot="1" x14ac:dyDescent="0.3">
      <c r="C6" s="50" t="s">
        <v>42</v>
      </c>
      <c r="D6" s="50"/>
      <c r="E6" s="50"/>
      <c r="F6" s="3"/>
      <c r="G6" s="57" t="s">
        <v>42</v>
      </c>
      <c r="H6" s="58"/>
      <c r="I6" s="59"/>
      <c r="J6" s="3"/>
      <c r="K6" s="50" t="s">
        <v>42</v>
      </c>
      <c r="L6" s="50"/>
      <c r="M6" s="50"/>
      <c r="O6" s="50" t="s">
        <v>38</v>
      </c>
      <c r="P6" s="50"/>
      <c r="Q6" s="50"/>
      <c r="T6" s="9" t="s">
        <v>51</v>
      </c>
    </row>
    <row r="7" spans="3:23" ht="16.5" thickTop="1" thickBot="1" x14ac:dyDescent="0.3">
      <c r="C7" s="43" t="s">
        <v>43</v>
      </c>
      <c r="D7" s="43" t="s">
        <v>46</v>
      </c>
      <c r="E7" s="43" t="s">
        <v>47</v>
      </c>
      <c r="F7" s="3"/>
      <c r="G7" s="43" t="s">
        <v>44</v>
      </c>
      <c r="H7" s="43" t="s">
        <v>48</v>
      </c>
      <c r="I7" s="43" t="s">
        <v>49</v>
      </c>
      <c r="J7" s="3"/>
      <c r="K7" s="43" t="s">
        <v>45</v>
      </c>
      <c r="L7" s="43" t="s">
        <v>49</v>
      </c>
      <c r="M7" s="43" t="s">
        <v>50</v>
      </c>
      <c r="O7" s="43" t="s">
        <v>39</v>
      </c>
      <c r="P7" s="43" t="s">
        <v>40</v>
      </c>
      <c r="Q7" s="43" t="s">
        <v>41</v>
      </c>
      <c r="S7" s="9">
        <v>1</v>
      </c>
      <c r="T7">
        <f>с1-0.1*(J21-F21)</f>
        <v>4000</v>
      </c>
    </row>
    <row r="8" spans="3:23" ht="16.5" thickTop="1" thickBot="1" x14ac:dyDescent="0.3">
      <c r="C8" s="43">
        <v>0.85</v>
      </c>
      <c r="D8" s="43">
        <v>1</v>
      </c>
      <c r="E8" s="43">
        <v>0.84</v>
      </c>
      <c r="F8" s="3"/>
      <c r="G8" s="43">
        <v>0.95</v>
      </c>
      <c r="H8" s="43">
        <v>1.5</v>
      </c>
      <c r="I8" s="43">
        <v>0.8</v>
      </c>
      <c r="J8" s="3"/>
      <c r="K8" s="43">
        <v>1.2</v>
      </c>
      <c r="L8" s="43">
        <v>0.78</v>
      </c>
      <c r="M8" s="43">
        <v>0.78</v>
      </c>
      <c r="O8" s="6">
        <v>6</v>
      </c>
      <c r="P8" s="6">
        <v>7</v>
      </c>
      <c r="Q8" s="6">
        <v>6</v>
      </c>
      <c r="S8" s="3">
        <v>2</v>
      </c>
      <c r="T8">
        <f>с2-0.2*(K21-G21)</f>
        <v>5100</v>
      </c>
    </row>
    <row r="9" spans="3:23" ht="42.75" customHeight="1" thickTop="1" thickBot="1" x14ac:dyDescent="0.3">
      <c r="F9" s="3"/>
      <c r="J9" s="3"/>
      <c r="L9" s="3"/>
      <c r="R9" t="s">
        <v>65</v>
      </c>
      <c r="S9" s="3">
        <v>3</v>
      </c>
      <c r="T9">
        <f>с3-0.3*(L21-H21)</f>
        <v>3250</v>
      </c>
    </row>
    <row r="10" spans="3:23" ht="30" customHeight="1" thickTop="1" thickBot="1" x14ac:dyDescent="0.3">
      <c r="C10" s="50" t="s">
        <v>30</v>
      </c>
      <c r="D10" s="50"/>
      <c r="E10" s="50"/>
      <c r="F10" s="3"/>
      <c r="G10" s="57" t="s">
        <v>22</v>
      </c>
      <c r="H10" s="58"/>
      <c r="I10" s="59"/>
      <c r="J10" s="3"/>
      <c r="K10" s="42" t="s">
        <v>26</v>
      </c>
      <c r="L10" s="3"/>
      <c r="M10" s="42" t="s">
        <v>113</v>
      </c>
      <c r="R10" t="e">
        <f ca="1">_xludf.MAX($Q$11)</f>
        <v>#NAME?</v>
      </c>
      <c r="S10" t="s">
        <v>111</v>
      </c>
    </row>
    <row r="11" spans="3:23" ht="31.5" customHeight="1" thickTop="1" thickBot="1" x14ac:dyDescent="0.3">
      <c r="C11" s="43" t="s">
        <v>31</v>
      </c>
      <c r="D11" s="43" t="s">
        <v>32</v>
      </c>
      <c r="E11" s="43" t="s">
        <v>33</v>
      </c>
      <c r="F11" s="3"/>
      <c r="G11" s="43" t="s">
        <v>23</v>
      </c>
      <c r="H11" s="43" t="s">
        <v>24</v>
      </c>
      <c r="I11" s="43" t="s">
        <v>25</v>
      </c>
      <c r="J11" s="3"/>
      <c r="K11" s="43" t="s">
        <v>27</v>
      </c>
      <c r="L11" s="3"/>
      <c r="M11" s="40" t="s">
        <v>114</v>
      </c>
      <c r="O11" s="54" t="s">
        <v>1</v>
      </c>
      <c r="P11" s="54"/>
      <c r="Q11" s="7">
        <f>(ц1*х1+ц2*х2+х3*ц3)+((C4*O4+D4*P4+E4*Q4)/(1+M12))-((и1*х1+и2*х2+и3*х3)+(G4*O4+H4*P4+I4*Q4)/(1+M12))-(пи+K4/(1+M12))</f>
        <v>5420103.7037037062</v>
      </c>
      <c r="R11">
        <f>COUNT($O$3:$Q$3,$O$8:$Q$8)</f>
        <v>6</v>
      </c>
      <c r="S11" t="e">
        <f ca="1">_xludf.MAX($Q$11)</f>
        <v>#NAME?</v>
      </c>
      <c r="T11" t="s">
        <v>118</v>
      </c>
      <c r="V11" t="s">
        <v>119</v>
      </c>
    </row>
    <row r="12" spans="3:23" ht="16.5" customHeight="1" thickTop="1" thickBot="1" x14ac:dyDescent="0.3">
      <c r="C12" s="43">
        <v>5.5</v>
      </c>
      <c r="D12" s="43">
        <v>6.21</v>
      </c>
      <c r="E12" s="43">
        <v>5.95</v>
      </c>
      <c r="F12" s="3"/>
      <c r="G12" s="43">
        <v>1.5</v>
      </c>
      <c r="H12" s="43">
        <v>1.6</v>
      </c>
      <c r="I12" s="43">
        <v>1.25</v>
      </c>
      <c r="J12" s="3"/>
      <c r="K12" s="43">
        <v>2000</v>
      </c>
      <c r="L12" s="3"/>
      <c r="M12" s="40">
        <v>0.08</v>
      </c>
      <c r="R12" t="b">
        <f>$T$2&lt;=$U$2</f>
        <v>1</v>
      </c>
      <c r="S12">
        <f>COUNT($O$3:$Q$3,$O$8:$Q$8)</f>
        <v>6</v>
      </c>
      <c r="T12" t="e">
        <f ca="1">_xludf.MAX($Q$11)</f>
        <v>#NAME?</v>
      </c>
      <c r="V12" t="e">
        <f ca="1">_xludf.MAX($Q$11)</f>
        <v>#NAME?</v>
      </c>
    </row>
    <row r="13" spans="3:23" ht="18.75" customHeight="1" thickTop="1" thickBot="1" x14ac:dyDescent="0.3">
      <c r="F13" s="3"/>
      <c r="J13" s="3"/>
      <c r="O13" s="60" t="s">
        <v>115</v>
      </c>
      <c r="P13" s="60"/>
      <c r="R13" t="b">
        <f>$T$3&lt;=$U$3</f>
        <v>1</v>
      </c>
      <c r="S13" t="b">
        <f>$K$33&gt;=$I$33</f>
        <v>1</v>
      </c>
      <c r="T13">
        <f>COUNT($O$3:$Q$3,$O$8:$Q$8)</f>
        <v>6</v>
      </c>
      <c r="V13">
        <f>COUNT($O$3:$Q$3,$O$4:$Q$4,$O$8:$Q$8)</f>
        <v>9</v>
      </c>
    </row>
    <row r="14" spans="3:23" ht="16.5" thickTop="1" thickBot="1" x14ac:dyDescent="0.3">
      <c r="C14" s="57" t="s">
        <v>18</v>
      </c>
      <c r="D14" s="58"/>
      <c r="E14" s="59"/>
      <c r="F14" s="3"/>
      <c r="G14" s="50" t="s">
        <v>14</v>
      </c>
      <c r="H14" s="50"/>
      <c r="I14" s="50"/>
      <c r="J14" s="3"/>
      <c r="K14" s="54" t="s">
        <v>99</v>
      </c>
      <c r="L14" s="54"/>
      <c r="M14" s="54"/>
      <c r="O14" s="40" t="s">
        <v>116</v>
      </c>
      <c r="P14" s="40" t="s">
        <v>117</v>
      </c>
      <c r="R14" t="b">
        <f>$T$4&lt;=$U$4</f>
        <v>1</v>
      </c>
      <c r="S14" t="b">
        <f>$K$24&gt;=$I$24</f>
        <v>1</v>
      </c>
      <c r="T14" t="b">
        <f>$M$34&lt;=$O$34</f>
        <v>1</v>
      </c>
      <c r="V14" t="b">
        <f>$I$22&lt;=$K$22</f>
        <v>1</v>
      </c>
    </row>
    <row r="15" spans="3:23" ht="16.5" thickTop="1" thickBot="1" x14ac:dyDescent="0.3">
      <c r="C15" s="43" t="s">
        <v>19</v>
      </c>
      <c r="D15" s="43" t="s">
        <v>20</v>
      </c>
      <c r="E15" s="43" t="s">
        <v>21</v>
      </c>
      <c r="F15" s="3"/>
      <c r="G15" s="43" t="s">
        <v>15</v>
      </c>
      <c r="H15" s="43" t="s">
        <v>16</v>
      </c>
      <c r="I15" s="43" t="s">
        <v>17</v>
      </c>
      <c r="J15" s="3"/>
      <c r="K15" s="43" t="s">
        <v>100</v>
      </c>
      <c r="L15" s="43" t="s">
        <v>101</v>
      </c>
      <c r="M15" s="43" t="s">
        <v>102</v>
      </c>
      <c r="O15" s="40">
        <v>0</v>
      </c>
      <c r="P15" s="40">
        <v>1</v>
      </c>
      <c r="R15" t="b">
        <f>$V$2&lt;=ф</f>
        <v>1</v>
      </c>
      <c r="S15" t="b">
        <f>х3&gt;=0</f>
        <v>1</v>
      </c>
      <c r="T15" t="b">
        <f>$M$33&lt;=$O$33</f>
        <v>1</v>
      </c>
      <c r="V15" t="b">
        <f>$I$23&lt;=$K$23</f>
        <v>1</v>
      </c>
    </row>
    <row r="16" spans="3:23" ht="16.5" thickTop="1" thickBot="1" x14ac:dyDescent="0.3">
      <c r="C16" s="43">
        <v>95000</v>
      </c>
      <c r="D16" s="43">
        <v>62000</v>
      </c>
      <c r="E16" s="43">
        <v>67500</v>
      </c>
      <c r="G16" s="43">
        <f>4000</f>
        <v>4000</v>
      </c>
      <c r="H16" s="43">
        <f>5100</f>
        <v>5100</v>
      </c>
      <c r="I16" s="43">
        <f>3250</f>
        <v>3250</v>
      </c>
      <c r="J16" s="3">
        <v>0</v>
      </c>
      <c r="K16" s="43">
        <f>2*1800</f>
        <v>3600</v>
      </c>
      <c r="L16" s="43">
        <f>1.5*2000</f>
        <v>3000</v>
      </c>
      <c r="M16" s="43">
        <f>2*1200</f>
        <v>2400</v>
      </c>
      <c r="R16" t="b">
        <f>$O$8=INT($O$8)</f>
        <v>1</v>
      </c>
      <c r="S16" t="b">
        <f>$P$8=INT($P$8)</f>
        <v>1</v>
      </c>
      <c r="T16" t="b">
        <f>$M$24&lt;=$O$24</f>
        <v>1</v>
      </c>
      <c r="V16" t="b">
        <f>$I$24&lt;=$K$24</f>
        <v>1</v>
      </c>
    </row>
    <row r="17" spans="2:22" ht="16.5" thickTop="1" thickBot="1" x14ac:dyDescent="0.3">
      <c r="B17" s="61"/>
      <c r="C17" s="62"/>
      <c r="D17" s="62"/>
      <c r="E17" s="62"/>
      <c r="F17" s="62"/>
      <c r="G17" s="43">
        <v>4400</v>
      </c>
      <c r="H17" s="43">
        <v>4500</v>
      </c>
      <c r="I17" s="43">
        <v>3300</v>
      </c>
      <c r="J17" s="48">
        <v>1</v>
      </c>
      <c r="K17" s="43">
        <v>3500</v>
      </c>
      <c r="L17" s="43">
        <v>1500</v>
      </c>
      <c r="M17" s="43">
        <v>2950</v>
      </c>
      <c r="N17" s="12"/>
      <c r="O17" s="12"/>
      <c r="P17" s="12"/>
      <c r="Q17" s="12"/>
      <c r="R17" t="b">
        <f>у1&gt;=1</f>
        <v>1</v>
      </c>
      <c r="S17" t="b">
        <f>у3&gt;=0</f>
        <v>1</v>
      </c>
      <c r="T17" t="b">
        <f>$M$23&lt;=$O$23</f>
        <v>1</v>
      </c>
      <c r="U17" s="18" t="s">
        <v>66</v>
      </c>
      <c r="V17" t="b">
        <f>$I$27&lt;=$K$27</f>
        <v>1</v>
      </c>
    </row>
    <row r="18" spans="2:22" ht="15.75" customHeight="1" thickTop="1" thickBot="1" x14ac:dyDescent="0.3">
      <c r="C18" t="s">
        <v>52</v>
      </c>
      <c r="D18" t="s">
        <v>56</v>
      </c>
      <c r="F18" s="12"/>
      <c r="G18" s="12"/>
      <c r="J18" s="12"/>
      <c r="K18" s="12"/>
      <c r="L18" s="12"/>
      <c r="M18" s="12"/>
      <c r="N18" s="13"/>
      <c r="O18" s="13"/>
      <c r="P18" s="14"/>
      <c r="Q18" s="14"/>
      <c r="R18" t="b">
        <f>$P$8=INT($P$8)</f>
        <v>1</v>
      </c>
      <c r="S18" t="b">
        <f>$O$3=INT($O$3)</f>
        <v>1</v>
      </c>
      <c r="T18" t="b">
        <f>$M$22&lt;=$O$22</f>
        <v>1</v>
      </c>
      <c r="V18" t="b">
        <f>$I$33&lt;=$K$33</f>
        <v>1</v>
      </c>
    </row>
    <row r="19" spans="2:22" ht="16.5" thickTop="1" thickBot="1" x14ac:dyDescent="0.3">
      <c r="F19" s="14"/>
      <c r="G19" s="14"/>
      <c r="H19" s="14"/>
      <c r="I19" s="24">
        <f>Q11</f>
        <v>5420103.7037037062</v>
      </c>
      <c r="J19" s="49" t="s">
        <v>78</v>
      </c>
      <c r="K19" s="14"/>
      <c r="L19" s="14"/>
      <c r="M19" s="12"/>
      <c r="N19" s="13"/>
      <c r="O19" s="13"/>
      <c r="P19" s="14"/>
      <c r="Q19" s="14"/>
      <c r="R19" t="b">
        <f>$Q$8=INT($Q$8)</f>
        <v>1</v>
      </c>
      <c r="S19" t="b">
        <f>$Q$3=INT($Q$3)</f>
        <v>1</v>
      </c>
      <c r="T19" t="b">
        <f>$K$33&gt;=$I$33</f>
        <v>1</v>
      </c>
      <c r="V19" t="b">
        <f>$I$34&lt;=$K$34</f>
        <v>1</v>
      </c>
    </row>
    <row r="20" spans="2:22" ht="15.75" thickTop="1" x14ac:dyDescent="0.25">
      <c r="F20" s="41"/>
      <c r="G20" s="41"/>
      <c r="H20" s="41"/>
      <c r="I20" s="12"/>
      <c r="J20" s="41"/>
      <c r="K20" s="41"/>
      <c r="L20" s="41"/>
      <c r="M20" s="12"/>
      <c r="N20" s="13"/>
      <c r="O20" s="13"/>
      <c r="P20" s="14"/>
      <c r="Q20" s="14"/>
      <c r="R20" t="b">
        <f>х1&lt;=$T$7</f>
        <v>1</v>
      </c>
      <c r="S20" t="b">
        <f>х2&gt;=0</f>
        <v>1</v>
      </c>
      <c r="T20" t="b">
        <f>$K$37&lt;=$I$37</f>
        <v>1</v>
      </c>
      <c r="V20" t="b">
        <f>$I$35&lt;=$K$35</f>
        <v>1</v>
      </c>
    </row>
    <row r="21" spans="2:22" ht="15.75" thickBot="1" x14ac:dyDescent="0.3">
      <c r="F21" s="41"/>
      <c r="G21" s="41"/>
      <c r="H21" s="41"/>
      <c r="I21" s="12"/>
      <c r="J21" s="41">
        <v>0</v>
      </c>
      <c r="K21" s="41"/>
      <c r="L21" s="41"/>
      <c r="M21" s="12"/>
      <c r="N21" s="41">
        <v>1</v>
      </c>
      <c r="O21" s="13"/>
      <c r="P21" s="14"/>
      <c r="Q21" s="14"/>
      <c r="R21" t="b">
        <f>х1&lt;=с1</f>
        <v>1</v>
      </c>
      <c r="S21" t="b">
        <f>х1&gt;=0</f>
        <v>1</v>
      </c>
      <c r="T21" t="b">
        <f>$M$35&lt;=$O$35</f>
        <v>1</v>
      </c>
      <c r="V21" t="b">
        <f>$K$33&gt;=$I$33</f>
        <v>1</v>
      </c>
    </row>
    <row r="22" spans="2:22" ht="16.5" thickTop="1" thickBot="1" x14ac:dyDescent="0.3">
      <c r="C22" t="s">
        <v>57</v>
      </c>
      <c r="D22" s="62" t="s">
        <v>58</v>
      </c>
      <c r="E22" s="62"/>
      <c r="F22" s="62"/>
      <c r="G22" s="62"/>
      <c r="H22" s="62"/>
      <c r="I22" s="43">
        <f>T2</f>
        <v>8711.66</v>
      </c>
      <c r="J22" s="43" t="s">
        <v>59</v>
      </c>
      <c r="K22" s="43">
        <f>U2</f>
        <v>8712</v>
      </c>
      <c r="L22" s="3" t="s">
        <v>19</v>
      </c>
      <c r="M22" s="17">
        <f>во1*O4+во2*P4+во3*Q4</f>
        <v>8711.4500000000007</v>
      </c>
      <c r="N22" s="43" t="s">
        <v>59</v>
      </c>
      <c r="O22" s="17">
        <f>U2</f>
        <v>8712</v>
      </c>
      <c r="R22" t="b">
        <f>$O$3=INT($O$3)</f>
        <v>1</v>
      </c>
      <c r="S22" t="b">
        <f>$P$3=INT($P$3)</f>
        <v>1</v>
      </c>
      <c r="T22" t="b">
        <f>$P$3=INT($P$3)</f>
        <v>1</v>
      </c>
      <c r="V22" t="b">
        <f>$K$35&gt;=$I$35</f>
        <v>1</v>
      </c>
    </row>
    <row r="23" spans="2:22" ht="16.5" thickTop="1" thickBot="1" x14ac:dyDescent="0.3">
      <c r="I23" s="43">
        <f>T3</f>
        <v>10476</v>
      </c>
      <c r="J23" s="43" t="s">
        <v>59</v>
      </c>
      <c r="K23" s="43">
        <f>U3</f>
        <v>11476.079999999998</v>
      </c>
      <c r="L23" s="3" t="s">
        <v>20</v>
      </c>
      <c r="M23" s="17">
        <f>во21*O4+во22*P4+во23*Q4</f>
        <v>10378.65</v>
      </c>
      <c r="N23" s="43" t="s">
        <v>59</v>
      </c>
      <c r="O23" s="17">
        <f>U3</f>
        <v>11476.079999999998</v>
      </c>
      <c r="R23" t="b">
        <f>х1&gt;=1</f>
        <v>1</v>
      </c>
      <c r="S23" t="b">
        <f>$K$23&gt;=$I$23</f>
        <v>1</v>
      </c>
      <c r="T23" t="b">
        <f>$P$8=INT($P$8)</f>
        <v>1</v>
      </c>
      <c r="V23" t="b">
        <f>$K$37&lt;=$I$37</f>
        <v>1</v>
      </c>
    </row>
    <row r="24" spans="2:22" ht="16.5" thickTop="1" thickBot="1" x14ac:dyDescent="0.3">
      <c r="I24" s="43">
        <f>T4</f>
        <v>9210</v>
      </c>
      <c r="J24" s="43" t="s">
        <v>59</v>
      </c>
      <c r="K24" s="43">
        <f>U4</f>
        <v>9424.8000000000011</v>
      </c>
      <c r="L24" s="3" t="s">
        <v>21</v>
      </c>
      <c r="M24" s="17">
        <f>во31*O4+во32*P4+во33*Q4</f>
        <v>9363.18</v>
      </c>
      <c r="N24" s="43" t="s">
        <v>59</v>
      </c>
      <c r="O24" s="17">
        <f>U4</f>
        <v>9424.8000000000011</v>
      </c>
      <c r="R24" t="b">
        <f>х2&lt;=$T$8</f>
        <v>1</v>
      </c>
      <c r="S24" t="b">
        <f>$I$38&gt;=$K$38</f>
        <v>1</v>
      </c>
      <c r="T24" t="b">
        <f>$O$37&lt;=$M$37</f>
        <v>1</v>
      </c>
      <c r="V24" t="b">
        <f>$K$38&lt;=$I$38</f>
        <v>1</v>
      </c>
    </row>
    <row r="25" spans="2:22" ht="15.75" thickTop="1" x14ac:dyDescent="0.25">
      <c r="J25" s="3"/>
      <c r="L25" s="3"/>
      <c r="N25" s="3"/>
      <c r="R25" t="b">
        <f>х2&lt;=с2</f>
        <v>1</v>
      </c>
      <c r="S25" t="b">
        <f>$K$24&gt;=$I$24</f>
        <v>1</v>
      </c>
      <c r="T25" t="b">
        <f>х1&gt;=0</f>
        <v>1</v>
      </c>
      <c r="V25" t="b">
        <f>$K$39&lt;=$I$39</f>
        <v>1</v>
      </c>
    </row>
    <row r="26" spans="2:22" ht="15.75" thickBot="1" x14ac:dyDescent="0.3">
      <c r="J26" s="3"/>
      <c r="L26" s="3"/>
      <c r="N26" s="3"/>
      <c r="R26" t="b">
        <f>$P$3=INT($P$3)</f>
        <v>1</v>
      </c>
      <c r="S26" t="b">
        <f>$O$8=INT($O$8)</f>
        <v>1</v>
      </c>
      <c r="T26" t="b">
        <f>$O$3=INT($O$3)</f>
        <v>1</v>
      </c>
      <c r="V26" t="b">
        <f>$M$22&lt;=$O$22</f>
        <v>1</v>
      </c>
    </row>
    <row r="27" spans="2:22" ht="29.25" customHeight="1" thickTop="1" thickBot="1" x14ac:dyDescent="0.3">
      <c r="C27" t="s">
        <v>60</v>
      </c>
      <c r="D27" s="63" t="s">
        <v>61</v>
      </c>
      <c r="E27" s="63"/>
      <c r="F27" s="63"/>
      <c r="G27" s="63"/>
      <c r="H27" s="63"/>
      <c r="I27" s="43">
        <f>V2</f>
        <v>1464400</v>
      </c>
      <c r="J27" s="43" t="s">
        <v>59</v>
      </c>
      <c r="K27" s="43">
        <f>ф</f>
        <v>1464400</v>
      </c>
      <c r="L27" s="3" t="s">
        <v>29</v>
      </c>
      <c r="N27" s="3"/>
      <c r="R27" t="b">
        <f>х3&lt;=$T$9</f>
        <v>1</v>
      </c>
      <c r="S27" t="b">
        <f>у1&gt;=0</f>
        <v>1</v>
      </c>
      <c r="T27" t="b">
        <f>$Q$3=INT($Q$3)</f>
        <v>1</v>
      </c>
      <c r="V27" t="b">
        <f>$M$23&lt;=$O$23</f>
        <v>1</v>
      </c>
    </row>
    <row r="28" spans="2:22" ht="15.75" thickTop="1" x14ac:dyDescent="0.25">
      <c r="J28" s="3"/>
      <c r="L28" s="3"/>
      <c r="N28" s="3"/>
      <c r="R28" t="b">
        <f>х3&lt;=с3</f>
        <v>1</v>
      </c>
      <c r="S28" t="b">
        <f>у2&gt;=0</f>
        <v>1</v>
      </c>
      <c r="T28" t="b">
        <f>у3&gt;=0</f>
        <v>1</v>
      </c>
      <c r="V28" t="b">
        <f>$M$24&lt;=$O$24</f>
        <v>1</v>
      </c>
    </row>
    <row r="29" spans="2:22" x14ac:dyDescent="0.25">
      <c r="J29" s="3"/>
      <c r="L29" s="3"/>
      <c r="N29" s="3"/>
      <c r="R29" t="b">
        <f>$Q$3=INT($Q$3)</f>
        <v>1</v>
      </c>
      <c r="S29" t="b">
        <f>$Q$8=INT($Q$8)</f>
        <v>1</v>
      </c>
      <c r="T29" t="b">
        <f>х2&gt;=0</f>
        <v>1</v>
      </c>
      <c r="V29" t="b">
        <f>$M$33&lt;=$O$33</f>
        <v>1</v>
      </c>
    </row>
    <row r="30" spans="2:22" x14ac:dyDescent="0.25">
      <c r="J30" s="3"/>
      <c r="L30" s="3"/>
      <c r="N30" s="3"/>
      <c r="R30">
        <f>{32767;32767;0.000001;0.01;FALSE;FALSE;FALSE;1;2;1;0.0001;FALSE}</f>
        <v>32767</v>
      </c>
      <c r="S30" t="b">
        <f>$K$27&gt;=$I$27</f>
        <v>1</v>
      </c>
      <c r="T30" t="b">
        <f>$O$39&lt;=$M$39</f>
        <v>1</v>
      </c>
      <c r="V30" t="b">
        <f>$M$34&lt;=$O$34</f>
        <v>1</v>
      </c>
    </row>
    <row r="31" spans="2:22" x14ac:dyDescent="0.25">
      <c r="J31" s="3"/>
      <c r="L31" s="3"/>
      <c r="N31" s="3"/>
      <c r="R31">
        <f>{0;0;1;100;0;FALSE;FALSE;0.075;0;0;FALSE;30}</f>
        <v>0</v>
      </c>
      <c r="S31" t="b">
        <f>$K$34&gt;=$I$34</f>
        <v>1</v>
      </c>
      <c r="T31" t="b">
        <f>$O$38&lt;=$M$38</f>
        <v>1</v>
      </c>
      <c r="V31" t="b">
        <f>$M$35&lt;=$O$35</f>
        <v>1</v>
      </c>
    </row>
    <row r="32" spans="2:22" ht="15.75" thickBot="1" x14ac:dyDescent="0.3">
      <c r="J32" s="3">
        <v>0</v>
      </c>
      <c r="L32" s="3"/>
      <c r="N32" s="3">
        <v>1</v>
      </c>
      <c r="S32" t="b">
        <f>$I$39&gt;=$K$39</f>
        <v>1</v>
      </c>
      <c r="T32" t="b">
        <f>у1&gt;=0</f>
        <v>1</v>
      </c>
      <c r="V32" t="b">
        <f>$O$37&lt;=$M$37</f>
        <v>1</v>
      </c>
    </row>
    <row r="33" spans="3:22" ht="16.5" thickTop="1" thickBot="1" x14ac:dyDescent="0.3">
      <c r="C33" t="s">
        <v>53</v>
      </c>
      <c r="D33" s="62" t="s">
        <v>62</v>
      </c>
      <c r="E33" s="62"/>
      <c r="F33" s="62"/>
      <c r="G33" s="62"/>
      <c r="H33" s="62"/>
      <c r="I33" s="43">
        <f>х1</f>
        <v>3814</v>
      </c>
      <c r="J33" s="43" t="s">
        <v>59</v>
      </c>
      <c r="K33" s="43">
        <f>с1</f>
        <v>4000</v>
      </c>
      <c r="L33" s="3" t="s">
        <v>75</v>
      </c>
      <c r="M33" s="17">
        <f>O4</f>
        <v>4097</v>
      </c>
      <c r="N33" s="43" t="s">
        <v>59</v>
      </c>
      <c r="O33" s="17">
        <f>G17</f>
        <v>4400</v>
      </c>
      <c r="S33" t="b">
        <f>$K$35&gt;=$I$35</f>
        <v>1</v>
      </c>
      <c r="T33" t="b">
        <f>$O$8=INT($O$8)</f>
        <v>1</v>
      </c>
      <c r="V33" t="b">
        <f>$O$38&lt;=$M$38</f>
        <v>1</v>
      </c>
    </row>
    <row r="34" spans="3:22" ht="16.5" thickTop="1" thickBot="1" x14ac:dyDescent="0.3">
      <c r="I34" s="43">
        <f>х2</f>
        <v>3001</v>
      </c>
      <c r="J34" s="43" t="s">
        <v>59</v>
      </c>
      <c r="K34" s="43">
        <f>с2</f>
        <v>5100</v>
      </c>
      <c r="L34" s="3" t="s">
        <v>76</v>
      </c>
      <c r="M34" s="17">
        <f>P4</f>
        <v>2751</v>
      </c>
      <c r="N34" s="43" t="s">
        <v>59</v>
      </c>
      <c r="O34" s="17">
        <f>H17</f>
        <v>4500</v>
      </c>
      <c r="S34" t="b">
        <f>$K$33&gt;=$I$33</f>
        <v>1</v>
      </c>
      <c r="T34" t="b">
        <f>у2&gt;=0</f>
        <v>1</v>
      </c>
      <c r="V34" t="b">
        <f>$O$39&lt;=$M$39</f>
        <v>1</v>
      </c>
    </row>
    <row r="35" spans="3:22" ht="16.5" thickTop="1" thickBot="1" x14ac:dyDescent="0.3">
      <c r="I35" s="43">
        <f>х3</f>
        <v>2939</v>
      </c>
      <c r="J35" s="43" t="s">
        <v>59</v>
      </c>
      <c r="K35" s="43">
        <f>с3</f>
        <v>3250</v>
      </c>
      <c r="L35" s="3" t="s">
        <v>77</v>
      </c>
      <c r="M35" s="17">
        <f>Q4</f>
        <v>2950</v>
      </c>
      <c r="N35" s="43" t="s">
        <v>59</v>
      </c>
      <c r="O35" s="17">
        <f>I17</f>
        <v>3300</v>
      </c>
      <c r="S35" t="b">
        <f>$K$34&gt;=$I$34</f>
        <v>1</v>
      </c>
      <c r="T35" t="b">
        <f>$Q$8=INT($Q$8)</f>
        <v>1</v>
      </c>
      <c r="V35" t="b">
        <f t="array" ref="V35">$O$3:$Q$3=INT($O$3:$Q$3)</f>
        <v>1</v>
      </c>
    </row>
    <row r="36" spans="3:22" ht="16.5" thickTop="1" thickBot="1" x14ac:dyDescent="0.3">
      <c r="I36" s="3"/>
      <c r="J36" s="3">
        <v>0</v>
      </c>
      <c r="K36" s="3"/>
      <c r="L36" s="3"/>
      <c r="N36" s="3">
        <v>1</v>
      </c>
      <c r="S36" t="b">
        <f>$K$22&gt;=$I$22</f>
        <v>1</v>
      </c>
      <c r="T36" t="b">
        <f>$K$35&gt;=$I$35</f>
        <v>1</v>
      </c>
      <c r="V36" t="b">
        <f t="array" ref="V36">$O$3:$Q$3&gt;=0</f>
        <v>1</v>
      </c>
    </row>
    <row r="37" spans="3:22" ht="16.5" thickTop="1" thickBot="1" x14ac:dyDescent="0.3">
      <c r="C37" s="36" t="s">
        <v>98</v>
      </c>
      <c r="E37" t="s">
        <v>110</v>
      </c>
      <c r="I37" s="43">
        <f>х1</f>
        <v>3814</v>
      </c>
      <c r="J37" s="43" t="s">
        <v>96</v>
      </c>
      <c r="K37" s="43">
        <f>K16</f>
        <v>3600</v>
      </c>
      <c r="L37" s="3" t="s">
        <v>35</v>
      </c>
      <c r="M37" s="17">
        <f>O4</f>
        <v>4097</v>
      </c>
      <c r="N37" s="43" t="s">
        <v>96</v>
      </c>
      <c r="O37" s="17">
        <f>K17</f>
        <v>3500</v>
      </c>
      <c r="S37" t="b">
        <f>$K$37&lt;=$I$37</f>
        <v>1</v>
      </c>
      <c r="T37" t="b">
        <f>х3&gt;=0</f>
        <v>1</v>
      </c>
      <c r="V37" t="b">
        <f t="array" ref="V37">$O$4:$Q$4=INT($O$4:$Q$4)</f>
        <v>1</v>
      </c>
    </row>
    <row r="38" spans="3:22" ht="16.5" thickTop="1" thickBot="1" x14ac:dyDescent="0.3">
      <c r="I38" s="43">
        <f>х2</f>
        <v>3001</v>
      </c>
      <c r="J38" s="43" t="s">
        <v>96</v>
      </c>
      <c r="K38" s="43">
        <f>L16</f>
        <v>3000</v>
      </c>
      <c r="L38" s="3" t="s">
        <v>36</v>
      </c>
      <c r="M38" s="17">
        <f>P4</f>
        <v>2751</v>
      </c>
      <c r="N38" s="43" t="s">
        <v>96</v>
      </c>
      <c r="O38" s="17">
        <f>L17</f>
        <v>1500</v>
      </c>
      <c r="S38">
        <f>{32767;32767;0.000001;0.01;FALSE;FALSE;FALSE;1;2;1;0.0001;FALSE}</f>
        <v>32767</v>
      </c>
      <c r="T38" t="b">
        <f>$Q$8=INT($Q$8)</f>
        <v>1</v>
      </c>
      <c r="V38" t="b">
        <f t="array" ref="V38">$O$4:$Q$4&gt;=0</f>
        <v>1</v>
      </c>
    </row>
    <row r="39" spans="3:22" ht="16.5" thickTop="1" thickBot="1" x14ac:dyDescent="0.3">
      <c r="I39" s="43">
        <f>х3</f>
        <v>2939</v>
      </c>
      <c r="J39" s="43" t="s">
        <v>96</v>
      </c>
      <c r="K39" s="43">
        <f>M16</f>
        <v>2400</v>
      </c>
      <c r="L39" s="3" t="s">
        <v>37</v>
      </c>
      <c r="M39" s="17">
        <f>Q4</f>
        <v>2950</v>
      </c>
      <c r="N39" s="43" t="s">
        <v>96</v>
      </c>
      <c r="O39" s="17">
        <f>M17</f>
        <v>2950</v>
      </c>
      <c r="S39">
        <f>{0;0;1;100;0;FALSE;FALSE;0.075;0;0;FALSE;30}</f>
        <v>0</v>
      </c>
      <c r="T39" t="b">
        <f>$P$8=INT($P$8)</f>
        <v>1</v>
      </c>
      <c r="V39" t="b">
        <f t="array" ref="V39">$O$8:$Q$8=INT($O$8:$Q$8)</f>
        <v>1</v>
      </c>
    </row>
    <row r="40" spans="3:22" ht="15.75" thickTop="1" x14ac:dyDescent="0.25">
      <c r="T40" t="b">
        <f>$O$8=INT($O$8)</f>
        <v>1</v>
      </c>
      <c r="V40" t="b">
        <f t="array" ref="V40">$O$8:$Q$8&gt;=0</f>
        <v>1</v>
      </c>
    </row>
    <row r="41" spans="3:22" x14ac:dyDescent="0.25">
      <c r="C41" t="s">
        <v>54</v>
      </c>
      <c r="D41" t="s">
        <v>63</v>
      </c>
      <c r="T41" t="b">
        <f>$K$24&gt;=$I$24</f>
        <v>1</v>
      </c>
      <c r="V41">
        <f>{32767;32767;0.000001;0.01;TRUE;FALSE;TRUE;1;1;1;0.0001;FALSE}</f>
        <v>32767</v>
      </c>
    </row>
    <row r="42" spans="3:22" x14ac:dyDescent="0.25">
      <c r="T42" t="b">
        <f>$K$34&gt;=$I$34</f>
        <v>1</v>
      </c>
      <c r="V42">
        <f>{0;0;2;100;0;FALSE;TRUE;0.075;0;0;FALSE;30}</f>
        <v>0</v>
      </c>
    </row>
    <row r="43" spans="3:22" x14ac:dyDescent="0.25">
      <c r="D43" s="18" t="s">
        <v>66</v>
      </c>
      <c r="T43" t="b">
        <f>$K$34&gt;=$I$34</f>
        <v>1</v>
      </c>
    </row>
    <row r="44" spans="3:22" x14ac:dyDescent="0.25">
      <c r="T44" t="b">
        <f>$K$33&gt;=$I$33</f>
        <v>1</v>
      </c>
    </row>
    <row r="45" spans="3:22" x14ac:dyDescent="0.25">
      <c r="T45" t="b">
        <f>$K$23&gt;=$I$23</f>
        <v>1</v>
      </c>
    </row>
    <row r="46" spans="3:22" x14ac:dyDescent="0.25">
      <c r="T46" t="b">
        <f>$K$27&gt;=$I$27</f>
        <v>1</v>
      </c>
    </row>
    <row r="47" spans="3:22" x14ac:dyDescent="0.25">
      <c r="T47" t="b">
        <f>$K$24&gt;=$I$24</f>
        <v>1</v>
      </c>
    </row>
    <row r="48" spans="3:22" ht="15.75" thickBot="1" x14ac:dyDescent="0.3">
      <c r="T48" t="b">
        <f>$I$38&gt;=$K$38</f>
        <v>1</v>
      </c>
    </row>
    <row r="49" spans="3:20" ht="16.5" thickTop="1" thickBot="1" x14ac:dyDescent="0.3">
      <c r="C49" t="s">
        <v>103</v>
      </c>
      <c r="D49" s="20" t="s">
        <v>104</v>
      </c>
      <c r="I49" s="17">
        <f>у1*об1+у2*об2+у3*об3+д*(п1*у1+п2*у2+п3*у3)</f>
        <v>1464400</v>
      </c>
      <c r="J49" t="s">
        <v>109</v>
      </c>
      <c r="R49" t="s">
        <v>112</v>
      </c>
      <c r="T49" t="b">
        <f>$I$39&gt;=$K$39</f>
        <v>1</v>
      </c>
    </row>
    <row r="50" spans="3:20" ht="15.75" thickTop="1" x14ac:dyDescent="0.25">
      <c r="R50" t="e">
        <f ca="1">_xludf.MIN($I$49)</f>
        <v>#NAME?</v>
      </c>
      <c r="T50" t="b">
        <f>$K$22&gt;=$I$22</f>
        <v>1</v>
      </c>
    </row>
    <row r="51" spans="3:20" x14ac:dyDescent="0.25">
      <c r="R51">
        <f>COUNT($O$3:$Q$3,$O$8:$Q$8)</f>
        <v>6</v>
      </c>
      <c r="T51">
        <f>{32767;32767;0.000001;0.01;FALSE;FALSE;FALSE;1;2;1;0.0001;FALSE}</f>
        <v>32767</v>
      </c>
    </row>
    <row r="52" spans="3:20" x14ac:dyDescent="0.25">
      <c r="R52" t="b">
        <f>$I$63&gt;=$K$63</f>
        <v>1</v>
      </c>
      <c r="T52">
        <f>{0;0;1;100;0;FALSE;FALSE;0.075;0;0;FALSE;30}</f>
        <v>0</v>
      </c>
    </row>
    <row r="53" spans="3:20" ht="15.75" thickBot="1" x14ac:dyDescent="0.3">
      <c r="R53" t="b">
        <f>$I$64&gt;=$K$64</f>
        <v>1</v>
      </c>
    </row>
    <row r="54" spans="3:20" ht="16.5" thickTop="1" thickBot="1" x14ac:dyDescent="0.3">
      <c r="C54" t="s">
        <v>105</v>
      </c>
      <c r="D54" t="s">
        <v>58</v>
      </c>
      <c r="I54" s="43">
        <f>во1*х1+во2*х2+во3*х3</f>
        <v>8711.66</v>
      </c>
      <c r="J54" s="43" t="s">
        <v>59</v>
      </c>
      <c r="K54" s="43">
        <f>вд1*22*12*у1</f>
        <v>8712</v>
      </c>
      <c r="L54" t="s">
        <v>19</v>
      </c>
      <c r="M54" s="17">
        <f>M22</f>
        <v>8711.4500000000007</v>
      </c>
      <c r="N54" s="17" t="s">
        <v>59</v>
      </c>
      <c r="O54" s="17">
        <f>O22</f>
        <v>8712</v>
      </c>
      <c r="R54" t="b">
        <f>$I$65&gt;=$K$65</f>
        <v>1</v>
      </c>
    </row>
    <row r="55" spans="3:20" ht="16.5" thickTop="1" thickBot="1" x14ac:dyDescent="0.3">
      <c r="I55" s="43">
        <f>во21*х1+во22*х2+во23*х3</f>
        <v>10476</v>
      </c>
      <c r="J55" s="43" t="s">
        <v>59</v>
      </c>
      <c r="K55" s="43">
        <f>вд2*у2*12*22</f>
        <v>11476.08</v>
      </c>
      <c r="L55" t="s">
        <v>20</v>
      </c>
      <c r="M55" s="17">
        <f t="shared" ref="M55:M56" si="0">M23</f>
        <v>10378.65</v>
      </c>
      <c r="N55" s="17" t="s">
        <v>59</v>
      </c>
      <c r="O55" s="17">
        <f t="shared" ref="O55:O56" si="1">O23</f>
        <v>11476.079999999998</v>
      </c>
      <c r="R55" t="b">
        <f>$K$54&gt;=$I$54</f>
        <v>1</v>
      </c>
    </row>
    <row r="56" spans="3:20" ht="16.5" thickTop="1" thickBot="1" x14ac:dyDescent="0.3">
      <c r="I56" s="43">
        <f>во31*х1+во32*х2+во33*х3</f>
        <v>9210</v>
      </c>
      <c r="J56" s="43" t="s">
        <v>59</v>
      </c>
      <c r="K56" s="43">
        <f>вд3*у3*12*22</f>
        <v>9424.8000000000011</v>
      </c>
      <c r="L56" t="s">
        <v>21</v>
      </c>
      <c r="M56" s="17">
        <f t="shared" si="0"/>
        <v>9363.18</v>
      </c>
      <c r="N56" s="17" t="s">
        <v>59</v>
      </c>
      <c r="O56" s="17">
        <f t="shared" si="1"/>
        <v>9424.8000000000011</v>
      </c>
      <c r="R56" t="b">
        <f>$K$55&gt;=$I$55</f>
        <v>1</v>
      </c>
    </row>
    <row r="57" spans="3:20" ht="15.75" thickTop="1" x14ac:dyDescent="0.25">
      <c r="I57" s="3"/>
      <c r="J57" s="3"/>
      <c r="K57" s="3"/>
      <c r="R57" t="b">
        <f>$Q$8=INT($Q$8)</f>
        <v>1</v>
      </c>
    </row>
    <row r="58" spans="3:20" ht="15.75" thickBot="1" x14ac:dyDescent="0.3">
      <c r="I58" s="3"/>
      <c r="J58" s="3"/>
      <c r="K58" s="3"/>
      <c r="R58" t="b">
        <f>$K$56&gt;=$I$56</f>
        <v>1</v>
      </c>
    </row>
    <row r="59" spans="3:20" ht="16.5" thickTop="1" thickBot="1" x14ac:dyDescent="0.3">
      <c r="C59" t="s">
        <v>106</v>
      </c>
      <c r="D59" t="s">
        <v>107</v>
      </c>
      <c r="I59" s="43">
        <f>х1</f>
        <v>3814</v>
      </c>
      <c r="J59" s="43" t="s">
        <v>59</v>
      </c>
      <c r="K59" s="43">
        <f>с1</f>
        <v>4000</v>
      </c>
      <c r="L59" t="s">
        <v>75</v>
      </c>
      <c r="M59" s="17">
        <f>M33</f>
        <v>4097</v>
      </c>
      <c r="N59" s="17" t="s">
        <v>59</v>
      </c>
      <c r="O59" s="17">
        <f>O33</f>
        <v>4400</v>
      </c>
      <c r="R59" t="b">
        <f>$P$3=INT($P$3)</f>
        <v>1</v>
      </c>
    </row>
    <row r="60" spans="3:20" ht="16.5" thickTop="1" thickBot="1" x14ac:dyDescent="0.3">
      <c r="I60" s="43">
        <f>х2</f>
        <v>3001</v>
      </c>
      <c r="J60" s="43" t="s">
        <v>59</v>
      </c>
      <c r="K60" s="43">
        <f>с2</f>
        <v>5100</v>
      </c>
      <c r="L60" t="s">
        <v>76</v>
      </c>
      <c r="M60" s="17">
        <f t="shared" ref="M60:M61" si="2">M34</f>
        <v>2751</v>
      </c>
      <c r="N60" s="17" t="s">
        <v>59</v>
      </c>
      <c r="O60" s="17">
        <f t="shared" ref="O60:O61" si="3">O34</f>
        <v>4500</v>
      </c>
      <c r="R60" t="b">
        <f>$K$59&gt;=$I$59</f>
        <v>1</v>
      </c>
    </row>
    <row r="61" spans="3:20" ht="16.5" thickTop="1" thickBot="1" x14ac:dyDescent="0.3">
      <c r="I61" s="43">
        <f>х3</f>
        <v>2939</v>
      </c>
      <c r="J61" s="43" t="s">
        <v>59</v>
      </c>
      <c r="K61" s="43">
        <f>с3</f>
        <v>3250</v>
      </c>
      <c r="L61" t="s">
        <v>77</v>
      </c>
      <c r="M61" s="17">
        <f t="shared" si="2"/>
        <v>2950</v>
      </c>
      <c r="N61" s="17" t="s">
        <v>59</v>
      </c>
      <c r="O61" s="17">
        <f t="shared" si="3"/>
        <v>3300</v>
      </c>
      <c r="R61" t="b">
        <f>х2&gt;=0</f>
        <v>1</v>
      </c>
    </row>
    <row r="62" spans="3:20" ht="16.5" thickTop="1" thickBot="1" x14ac:dyDescent="0.3">
      <c r="I62" s="3"/>
      <c r="J62" s="3"/>
      <c r="K62" s="3"/>
      <c r="R62" t="b">
        <f>х1&gt;=0</f>
        <v>1</v>
      </c>
    </row>
    <row r="63" spans="3:20" ht="16.5" thickTop="1" thickBot="1" x14ac:dyDescent="0.3">
      <c r="I63" s="43">
        <f>х1</f>
        <v>3814</v>
      </c>
      <c r="J63" s="43" t="s">
        <v>96</v>
      </c>
      <c r="K63" s="43">
        <f>K16</f>
        <v>3600</v>
      </c>
      <c r="L63" t="s">
        <v>75</v>
      </c>
      <c r="M63" s="17">
        <f>M37</f>
        <v>4097</v>
      </c>
      <c r="N63" s="17" t="s">
        <v>96</v>
      </c>
      <c r="O63" s="17">
        <f>O37</f>
        <v>3500</v>
      </c>
      <c r="R63" t="b">
        <f>$K$64&gt;=$I$64</f>
        <v>0</v>
      </c>
    </row>
    <row r="64" spans="3:20" ht="16.5" thickTop="1" thickBot="1" x14ac:dyDescent="0.3">
      <c r="I64" s="43">
        <f>х2</f>
        <v>3001</v>
      </c>
      <c r="J64" s="43" t="s">
        <v>96</v>
      </c>
      <c r="K64" s="43">
        <f>L16</f>
        <v>3000</v>
      </c>
      <c r="L64" t="s">
        <v>76</v>
      </c>
      <c r="M64" s="17">
        <f t="shared" ref="M64:M65" si="4">M38</f>
        <v>2751</v>
      </c>
      <c r="N64" s="17" t="s">
        <v>96</v>
      </c>
      <c r="O64" s="17">
        <f t="shared" ref="O64:O65" si="5">O38</f>
        <v>1500</v>
      </c>
      <c r="R64" t="b">
        <f>$Q$3=INT($Q$3)</f>
        <v>1</v>
      </c>
    </row>
    <row r="65" spans="3:18" ht="16.5" thickTop="1" thickBot="1" x14ac:dyDescent="0.3">
      <c r="I65" s="43">
        <f>х3</f>
        <v>2939</v>
      </c>
      <c r="J65" s="43" t="s">
        <v>96</v>
      </c>
      <c r="K65" s="43">
        <f>M16</f>
        <v>2400</v>
      </c>
      <c r="L65" t="s">
        <v>77</v>
      </c>
      <c r="M65" s="17">
        <f t="shared" si="4"/>
        <v>2950</v>
      </c>
      <c r="N65" s="17" t="s">
        <v>96</v>
      </c>
      <c r="O65" s="17">
        <f t="shared" si="5"/>
        <v>2950</v>
      </c>
      <c r="R65" t="b">
        <f>$O$8=INT($O$8)</f>
        <v>1</v>
      </c>
    </row>
    <row r="66" spans="3:18" ht="15.75" thickTop="1" x14ac:dyDescent="0.25">
      <c r="R66" t="b">
        <f>х3&gt;=0</f>
        <v>1</v>
      </c>
    </row>
    <row r="67" spans="3:18" x14ac:dyDescent="0.25">
      <c r="C67" t="s">
        <v>108</v>
      </c>
      <c r="D67" t="s">
        <v>63</v>
      </c>
      <c r="R67" t="b">
        <f>$K$65&gt;=$I$65</f>
        <v>0</v>
      </c>
    </row>
    <row r="68" spans="3:18" x14ac:dyDescent="0.25">
      <c r="R68" t="b">
        <f>$K$60&gt;=$I$60</f>
        <v>1</v>
      </c>
    </row>
    <row r="69" spans="3:18" x14ac:dyDescent="0.25">
      <c r="D69" s="18" t="s">
        <v>66</v>
      </c>
      <c r="R69" t="b">
        <f>у2&gt;=0</f>
        <v>1</v>
      </c>
    </row>
    <row r="70" spans="3:18" x14ac:dyDescent="0.25">
      <c r="R70" t="b">
        <f>$P$8=INT($P$8)</f>
        <v>1</v>
      </c>
    </row>
    <row r="71" spans="3:18" x14ac:dyDescent="0.25">
      <c r="R71" t="b">
        <f>у3&gt;=0</f>
        <v>1</v>
      </c>
    </row>
    <row r="72" spans="3:18" x14ac:dyDescent="0.25">
      <c r="R72" t="b">
        <f>$O$3=INT($O$3)</f>
        <v>1</v>
      </c>
    </row>
    <row r="73" spans="3:18" x14ac:dyDescent="0.25">
      <c r="R73" t="b">
        <f>$K$63&gt;=$I$63</f>
        <v>0</v>
      </c>
    </row>
    <row r="74" spans="3:18" x14ac:dyDescent="0.25">
      <c r="R74" t="b">
        <f>$K$61&gt;=$I$61</f>
        <v>1</v>
      </c>
    </row>
    <row r="75" spans="3:18" x14ac:dyDescent="0.25">
      <c r="R75" t="b">
        <f>у1&gt;=0</f>
        <v>1</v>
      </c>
    </row>
    <row r="76" spans="3:18" x14ac:dyDescent="0.25">
      <c r="R76">
        <f>{32767;32767;0.000001;0.01;FALSE;FALSE;FALSE;1;2;1;0.0001;FALSE}</f>
        <v>32767</v>
      </c>
    </row>
    <row r="77" spans="3:18" x14ac:dyDescent="0.25">
      <c r="R77">
        <f>{0;0;1;100;0;FALSE;FALSE;0.075;0;0;FALSE;30}</f>
        <v>0</v>
      </c>
    </row>
  </sheetData>
  <mergeCells count="19">
    <mergeCell ref="B17:F17"/>
    <mergeCell ref="D22:H22"/>
    <mergeCell ref="D27:H27"/>
    <mergeCell ref="D33:H33"/>
    <mergeCell ref="C10:E10"/>
    <mergeCell ref="G10:I10"/>
    <mergeCell ref="O11:P11"/>
    <mergeCell ref="C14:E14"/>
    <mergeCell ref="G14:I14"/>
    <mergeCell ref="K14:M14"/>
    <mergeCell ref="O13:P13"/>
    <mergeCell ref="O6:Q6"/>
    <mergeCell ref="C1:E1"/>
    <mergeCell ref="G1:I1"/>
    <mergeCell ref="O1:Q1"/>
    <mergeCell ref="K2:K3"/>
    <mergeCell ref="C6:E6"/>
    <mergeCell ref="G6:I6"/>
    <mergeCell ref="K6:M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77"/>
  <sheetViews>
    <sheetView workbookViewId="0">
      <selection activeCell="Q9" sqref="Q9"/>
    </sheetView>
  </sheetViews>
  <sheetFormatPr defaultRowHeight="15" x14ac:dyDescent="0.25"/>
  <cols>
    <col min="9" max="9" width="11.5703125" customWidth="1"/>
    <col min="11" max="11" width="13" customWidth="1"/>
    <col min="12" max="12" width="11.140625" customWidth="1"/>
    <col min="13" max="13" width="12.140625" customWidth="1"/>
    <col min="20" max="20" width="11.42578125" customWidth="1"/>
  </cols>
  <sheetData>
    <row r="1" spans="3:23" ht="30.75" customHeight="1" thickTop="1" thickBot="1" x14ac:dyDescent="0.3">
      <c r="C1" s="51" t="s">
        <v>0</v>
      </c>
      <c r="D1" s="52"/>
      <c r="E1" s="53"/>
      <c r="F1" s="3"/>
      <c r="G1" s="54" t="s">
        <v>9</v>
      </c>
      <c r="H1" s="54"/>
      <c r="I1" s="54"/>
      <c r="J1" s="3"/>
      <c r="K1" s="8" t="s">
        <v>13</v>
      </c>
      <c r="L1" s="3"/>
      <c r="M1" s="39" t="s">
        <v>28</v>
      </c>
      <c r="O1" s="50" t="s">
        <v>34</v>
      </c>
      <c r="P1" s="50"/>
      <c r="Q1" s="50"/>
      <c r="T1" t="s">
        <v>3</v>
      </c>
      <c r="U1" t="s">
        <v>2</v>
      </c>
      <c r="V1" t="s">
        <v>4</v>
      </c>
      <c r="W1" t="s">
        <v>5</v>
      </c>
    </row>
    <row r="2" spans="3:23" ht="16.5" thickTop="1" thickBot="1" x14ac:dyDescent="0.3">
      <c r="C2" s="38" t="s">
        <v>6</v>
      </c>
      <c r="D2" s="38" t="s">
        <v>7</v>
      </c>
      <c r="E2" s="38" t="s">
        <v>8</v>
      </c>
      <c r="F2" s="3"/>
      <c r="G2" s="38" t="s">
        <v>10</v>
      </c>
      <c r="H2" s="38" t="s">
        <v>11</v>
      </c>
      <c r="I2" s="38" t="s">
        <v>12</v>
      </c>
      <c r="J2" s="3"/>
      <c r="K2" s="55">
        <v>250000</v>
      </c>
      <c r="L2" s="3"/>
      <c r="M2" s="38" t="s">
        <v>29</v>
      </c>
      <c r="O2" s="38" t="s">
        <v>35</v>
      </c>
      <c r="P2" s="38" t="s">
        <v>36</v>
      </c>
      <c r="Q2" s="38" t="s">
        <v>37</v>
      </c>
      <c r="S2">
        <v>1</v>
      </c>
      <c r="T2">
        <f>во1*х1+во2*х2+во3*х3</f>
        <v>22010.35</v>
      </c>
      <c r="U2">
        <f>вд1*у1*22*12*2</f>
        <v>23232</v>
      </c>
      <c r="V2">
        <f>(об1*у1+об2*у2+об3*у3)+д*(п1*у1+п2*у2+п3*у3)</f>
        <v>1860800</v>
      </c>
    </row>
    <row r="3" spans="3:23" ht="16.5" thickTop="1" thickBot="1" x14ac:dyDescent="0.3">
      <c r="C3" s="38">
        <v>3200</v>
      </c>
      <c r="D3" s="38">
        <v>2500</v>
      </c>
      <c r="E3" s="38">
        <v>4500</v>
      </c>
      <c r="F3" s="3"/>
      <c r="G3" s="38">
        <v>2850</v>
      </c>
      <c r="H3" s="38">
        <v>2150</v>
      </c>
      <c r="I3" s="38">
        <v>4150</v>
      </c>
      <c r="J3" s="3"/>
      <c r="K3" s="64"/>
      <c r="L3" s="3"/>
      <c r="M3" s="38">
        <v>1860800</v>
      </c>
      <c r="O3" s="6">
        <v>7471</v>
      </c>
      <c r="P3" s="6">
        <v>10200</v>
      </c>
      <c r="Q3" s="6">
        <v>6500</v>
      </c>
      <c r="S3">
        <v>2</v>
      </c>
      <c r="T3">
        <f>во21*х1+во22*х2+во23*х3</f>
        <v>27597.45</v>
      </c>
      <c r="U3">
        <f>вд2*у2*22*12*2</f>
        <v>29509.919999999998</v>
      </c>
    </row>
    <row r="4" spans="3:23" ht="31.5" customHeight="1" thickTop="1" thickBot="1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  <c r="S4">
        <v>3</v>
      </c>
      <c r="T4">
        <f>во31*х1+во32*х2+во33*х3</f>
        <v>21991.199999999997</v>
      </c>
      <c r="U4">
        <f>вд3*у3*22*12*2</f>
        <v>21991.199999999997</v>
      </c>
    </row>
    <row r="5" spans="3:23" ht="33.75" customHeight="1" thickTop="1" thickBot="1" x14ac:dyDescent="0.3">
      <c r="C5" s="50" t="s">
        <v>42</v>
      </c>
      <c r="D5" s="50"/>
      <c r="E5" s="50"/>
      <c r="F5" s="3"/>
      <c r="G5" s="57" t="s">
        <v>42</v>
      </c>
      <c r="H5" s="58"/>
      <c r="I5" s="59"/>
      <c r="J5" s="3"/>
      <c r="K5" s="50" t="s">
        <v>42</v>
      </c>
      <c r="L5" s="50"/>
      <c r="M5" s="50"/>
      <c r="O5" s="50" t="s">
        <v>38</v>
      </c>
      <c r="P5" s="50"/>
      <c r="Q5" s="50"/>
    </row>
    <row r="6" spans="3:23" ht="16.5" thickTop="1" thickBot="1" x14ac:dyDescent="0.3">
      <c r="C6" s="38" t="s">
        <v>43</v>
      </c>
      <c r="D6" s="38" t="s">
        <v>46</v>
      </c>
      <c r="E6" s="38" t="s">
        <v>47</v>
      </c>
      <c r="F6" s="3"/>
      <c r="G6" s="38" t="s">
        <v>44</v>
      </c>
      <c r="H6" s="38" t="s">
        <v>48</v>
      </c>
      <c r="I6" s="38" t="s">
        <v>49</v>
      </c>
      <c r="J6" s="3"/>
      <c r="K6" s="38" t="s">
        <v>45</v>
      </c>
      <c r="L6" s="38" t="s">
        <v>49</v>
      </c>
      <c r="M6" s="38" t="s">
        <v>50</v>
      </c>
      <c r="O6" s="38" t="s">
        <v>39</v>
      </c>
      <c r="P6" s="38" t="s">
        <v>40</v>
      </c>
      <c r="Q6" s="38" t="s">
        <v>41</v>
      </c>
      <c r="T6" s="9" t="s">
        <v>51</v>
      </c>
    </row>
    <row r="7" spans="3:23" ht="16.5" thickTop="1" thickBot="1" x14ac:dyDescent="0.3">
      <c r="C7" s="38">
        <v>0.85</v>
      </c>
      <c r="D7" s="38">
        <v>1</v>
      </c>
      <c r="E7" s="38">
        <v>0.84</v>
      </c>
      <c r="F7" s="3"/>
      <c r="G7" s="38">
        <v>0.95</v>
      </c>
      <c r="H7" s="38">
        <v>1.5</v>
      </c>
      <c r="I7" s="38">
        <v>0.8</v>
      </c>
      <c r="J7" s="3"/>
      <c r="K7" s="38">
        <v>1.2</v>
      </c>
      <c r="L7" s="38">
        <v>0.78</v>
      </c>
      <c r="M7" s="38">
        <v>0.78</v>
      </c>
      <c r="O7" s="6">
        <v>8</v>
      </c>
      <c r="P7" s="6">
        <v>9</v>
      </c>
      <c r="Q7" s="6">
        <v>7</v>
      </c>
      <c r="S7" s="9">
        <v>1</v>
      </c>
      <c r="T7">
        <f>с1-0.1*(J21-F21)</f>
        <v>8000</v>
      </c>
    </row>
    <row r="8" spans="3:23" ht="16.5" thickTop="1" thickBot="1" x14ac:dyDescent="0.3">
      <c r="C8" s="3"/>
      <c r="D8" s="3"/>
      <c r="E8" s="3"/>
      <c r="F8" s="3"/>
      <c r="G8" s="3"/>
      <c r="H8" s="3"/>
      <c r="I8" s="3"/>
      <c r="J8" s="3"/>
      <c r="K8" s="3"/>
      <c r="L8" s="3"/>
      <c r="M8" s="3"/>
      <c r="S8" s="3">
        <v>2</v>
      </c>
      <c r="T8">
        <f>с2-0.2*(K21-G21)</f>
        <v>10200</v>
      </c>
    </row>
    <row r="9" spans="3:23" ht="43.5" customHeight="1" thickTop="1" thickBot="1" x14ac:dyDescent="0.3">
      <c r="C9" s="50" t="s">
        <v>30</v>
      </c>
      <c r="D9" s="50"/>
      <c r="E9" s="50"/>
      <c r="F9" s="3"/>
      <c r="G9" s="57" t="s">
        <v>22</v>
      </c>
      <c r="H9" s="58"/>
      <c r="I9" s="59"/>
      <c r="J9" s="3"/>
      <c r="K9" s="39" t="s">
        <v>26</v>
      </c>
      <c r="L9" s="3"/>
      <c r="M9" s="39" t="s">
        <v>113</v>
      </c>
      <c r="O9" s="54" t="s">
        <v>1</v>
      </c>
      <c r="P9" s="54"/>
      <c r="Q9" s="7">
        <f>(ц1*х1+ц2*х2+х3*ц3)+((ц1*х1+ц2*х2+ц3*х3)/(1+M11))-((и1*х1+и2*х2+и3*х3)+(и1*х1+и2*х2+и3*х3)/(1+M11))-(пи+пи/(1+M11))</f>
        <v>15811562.962962937</v>
      </c>
      <c r="R9" t="s">
        <v>65</v>
      </c>
      <c r="S9" s="3">
        <v>3</v>
      </c>
      <c r="T9">
        <f>с3-0.3*(L21-H21)</f>
        <v>6500</v>
      </c>
    </row>
    <row r="10" spans="3:23" ht="16.5" thickTop="1" thickBot="1" x14ac:dyDescent="0.3">
      <c r="C10" s="38" t="s">
        <v>31</v>
      </c>
      <c r="D10" s="38" t="s">
        <v>32</v>
      </c>
      <c r="E10" s="38" t="s">
        <v>33</v>
      </c>
      <c r="F10" s="3"/>
      <c r="G10" s="38" t="s">
        <v>23</v>
      </c>
      <c r="H10" s="38" t="s">
        <v>24</v>
      </c>
      <c r="I10" s="38" t="s">
        <v>25</v>
      </c>
      <c r="J10" s="3"/>
      <c r="K10" s="38" t="s">
        <v>27</v>
      </c>
      <c r="L10" s="3"/>
      <c r="M10" s="40" t="s">
        <v>114</v>
      </c>
      <c r="R10" t="e">
        <f ca="1">_xludf.MAX($Q$9)</f>
        <v>#NAME?</v>
      </c>
      <c r="S10" t="s">
        <v>111</v>
      </c>
    </row>
    <row r="11" spans="3:23" ht="16.5" thickTop="1" thickBot="1" x14ac:dyDescent="0.3">
      <c r="C11" s="38">
        <v>5.5</v>
      </c>
      <c r="D11" s="38">
        <v>6.21</v>
      </c>
      <c r="E11" s="38">
        <v>5.95</v>
      </c>
      <c r="F11" s="3"/>
      <c r="G11" s="38">
        <v>1.5</v>
      </c>
      <c r="H11" s="38">
        <v>1.6</v>
      </c>
      <c r="I11" s="38">
        <v>1.25</v>
      </c>
      <c r="J11" s="3"/>
      <c r="K11" s="38">
        <v>2000</v>
      </c>
      <c r="L11" s="3"/>
      <c r="M11" s="40">
        <v>0.08</v>
      </c>
      <c r="R11">
        <f>COUNT($O$3:$Q$3,$O$7:$Q$7)</f>
        <v>6</v>
      </c>
      <c r="S11" t="e">
        <f ca="1">_xludf.MAX($Q$9)</f>
        <v>#NAME?</v>
      </c>
    </row>
    <row r="12" spans="3:23" ht="16.5" customHeight="1" thickTop="1" thickBot="1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R12" t="b">
        <f>$T$2&lt;=$U$2</f>
        <v>1</v>
      </c>
      <c r="S12">
        <f>COUNT($O$3:$Q$3,$O$7:$Q$7)</f>
        <v>6</v>
      </c>
    </row>
    <row r="13" spans="3:23" ht="18.75" customHeight="1" thickTop="1" thickBot="1" x14ac:dyDescent="0.3">
      <c r="C13" s="57" t="s">
        <v>18</v>
      </c>
      <c r="D13" s="58"/>
      <c r="E13" s="59"/>
      <c r="F13" s="3"/>
      <c r="G13" s="50" t="s">
        <v>14</v>
      </c>
      <c r="H13" s="50"/>
      <c r="I13" s="50"/>
      <c r="J13" s="3"/>
      <c r="K13" s="54" t="s">
        <v>99</v>
      </c>
      <c r="L13" s="54"/>
      <c r="M13" s="54"/>
      <c r="O13" s="60" t="s">
        <v>115</v>
      </c>
      <c r="P13" s="60"/>
      <c r="R13" t="b">
        <f>$T$3&lt;=$U$3</f>
        <v>1</v>
      </c>
      <c r="S13" t="b">
        <f>$K$33&gt;=$I$33</f>
        <v>1</v>
      </c>
    </row>
    <row r="14" spans="3:23" ht="16.5" thickTop="1" thickBot="1" x14ac:dyDescent="0.3">
      <c r="C14" s="38" t="s">
        <v>19</v>
      </c>
      <c r="D14" s="38" t="s">
        <v>20</v>
      </c>
      <c r="E14" s="38" t="s">
        <v>21</v>
      </c>
      <c r="F14" s="3"/>
      <c r="G14" s="38" t="s">
        <v>15</v>
      </c>
      <c r="H14" s="38" t="s">
        <v>16</v>
      </c>
      <c r="I14" s="38" t="s">
        <v>17</v>
      </c>
      <c r="J14" s="3"/>
      <c r="K14" s="38" t="s">
        <v>100</v>
      </c>
      <c r="L14" s="38" t="s">
        <v>101</v>
      </c>
      <c r="M14" s="38" t="s">
        <v>102</v>
      </c>
      <c r="O14" s="40" t="s">
        <v>116</v>
      </c>
      <c r="P14" s="40" t="s">
        <v>117</v>
      </c>
      <c r="R14" t="b">
        <f>$T$4&lt;=$U$4</f>
        <v>1</v>
      </c>
      <c r="S14" t="b">
        <f>$K$24&gt;=$I$24</f>
        <v>1</v>
      </c>
    </row>
    <row r="15" spans="3:23" ht="16.5" thickTop="1" thickBot="1" x14ac:dyDescent="0.3">
      <c r="C15" s="38">
        <v>95000</v>
      </c>
      <c r="D15" s="38">
        <v>62000</v>
      </c>
      <c r="E15" s="38">
        <v>67500</v>
      </c>
      <c r="F15" s="3"/>
      <c r="G15" s="38">
        <f>4000*2</f>
        <v>8000</v>
      </c>
      <c r="H15" s="38">
        <f>5100*2</f>
        <v>10200</v>
      </c>
      <c r="I15" s="38">
        <f>3250*2</f>
        <v>6500</v>
      </c>
      <c r="J15" s="3"/>
      <c r="K15" s="38">
        <f>2.5*1800</f>
        <v>4500</v>
      </c>
      <c r="L15" s="38">
        <f>1.5*2000</f>
        <v>3000</v>
      </c>
      <c r="M15" s="38">
        <f>4*1200</f>
        <v>4800</v>
      </c>
      <c r="O15" s="40">
        <v>0</v>
      </c>
      <c r="P15" s="40">
        <v>1</v>
      </c>
      <c r="R15" t="b">
        <f>$V$2&lt;=ф</f>
        <v>1</v>
      </c>
      <c r="S15" t="b">
        <f>х3&gt;=0</f>
        <v>1</v>
      </c>
    </row>
    <row r="16" spans="3:23" ht="15.75" thickTop="1" x14ac:dyDescent="0.25">
      <c r="R16" t="b">
        <f>$O$7=INT($O$7)</f>
        <v>1</v>
      </c>
      <c r="S16" t="b">
        <f>$P$7=INT($P$7)</f>
        <v>1</v>
      </c>
    </row>
    <row r="17" spans="2:21" ht="15.75" thickBot="1" x14ac:dyDescent="0.3">
      <c r="B17" s="61" t="s">
        <v>55</v>
      </c>
      <c r="C17" s="62"/>
      <c r="D17" s="62"/>
      <c r="E17" s="62"/>
      <c r="F17" s="6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t="b">
        <f>у1&gt;=1</f>
        <v>1</v>
      </c>
      <c r="S17" t="b">
        <f>у3&gt;=0</f>
        <v>1</v>
      </c>
      <c r="U17" s="18" t="s">
        <v>66</v>
      </c>
    </row>
    <row r="18" spans="2:21" ht="15.75" customHeight="1" thickTop="1" thickBot="1" x14ac:dyDescent="0.3">
      <c r="C18" t="s">
        <v>52</v>
      </c>
      <c r="D18" t="s">
        <v>56</v>
      </c>
      <c r="F18" s="12"/>
      <c r="G18" s="12"/>
      <c r="I18" s="24">
        <f>Q9</f>
        <v>15811562.962962937</v>
      </c>
      <c r="J18" s="12" t="s">
        <v>78</v>
      </c>
      <c r="K18" s="12"/>
      <c r="L18" s="12"/>
      <c r="M18" s="12"/>
      <c r="N18" s="13"/>
      <c r="O18" s="13"/>
      <c r="P18" s="14"/>
      <c r="Q18" s="14"/>
      <c r="R18" t="b">
        <f>$P$7=INT($P$7)</f>
        <v>1</v>
      </c>
      <c r="S18" t="b">
        <f>$O$3=INT($O$3)</f>
        <v>1</v>
      </c>
    </row>
    <row r="19" spans="2:21" ht="15.75" thickTop="1" x14ac:dyDescent="0.25">
      <c r="F19" s="14"/>
      <c r="G19" s="14"/>
      <c r="H19" s="14"/>
      <c r="I19" s="12"/>
      <c r="J19" s="65"/>
      <c r="K19" s="65"/>
      <c r="L19" s="65"/>
      <c r="M19" s="12"/>
      <c r="N19" s="13"/>
      <c r="O19" s="13"/>
      <c r="P19" s="14"/>
      <c r="Q19" s="14"/>
      <c r="R19" t="b">
        <f>$Q$7=INT($Q$7)</f>
        <v>1</v>
      </c>
      <c r="S19" t="b">
        <f>$Q$3=INT($Q$3)</f>
        <v>1</v>
      </c>
    </row>
    <row r="20" spans="2:21" x14ac:dyDescent="0.25">
      <c r="F20" s="37"/>
      <c r="G20" s="37"/>
      <c r="H20" s="37"/>
      <c r="I20" s="12"/>
      <c r="J20" s="37"/>
      <c r="K20" s="37"/>
      <c r="L20" s="37"/>
      <c r="M20" s="12"/>
      <c r="N20" s="13"/>
      <c r="O20" s="13"/>
      <c r="P20" s="14"/>
      <c r="Q20" s="14"/>
      <c r="R20" t="b">
        <f>х1&lt;=$T$7</f>
        <v>1</v>
      </c>
      <c r="S20" t="b">
        <f>х2&gt;=0</f>
        <v>1</v>
      </c>
    </row>
    <row r="21" spans="2:21" ht="15.75" thickBot="1" x14ac:dyDescent="0.3">
      <c r="F21" s="37"/>
      <c r="G21" s="37"/>
      <c r="H21" s="37"/>
      <c r="I21" s="12"/>
      <c r="J21" s="37"/>
      <c r="K21" s="37"/>
      <c r="L21" s="37"/>
      <c r="M21" s="12"/>
      <c r="N21" s="13"/>
      <c r="O21" s="13"/>
      <c r="P21" s="14"/>
      <c r="Q21" s="14"/>
      <c r="R21" t="b">
        <f>х1&lt;=с1</f>
        <v>1</v>
      </c>
      <c r="S21" t="b">
        <f>х1&gt;=0</f>
        <v>1</v>
      </c>
    </row>
    <row r="22" spans="2:21" ht="16.5" thickTop="1" thickBot="1" x14ac:dyDescent="0.3">
      <c r="C22" t="s">
        <v>57</v>
      </c>
      <c r="D22" s="62" t="s">
        <v>58</v>
      </c>
      <c r="E22" s="62"/>
      <c r="F22" s="62"/>
      <c r="G22" s="62"/>
      <c r="H22" s="62"/>
      <c r="I22" s="38">
        <f>T2</f>
        <v>22010.35</v>
      </c>
      <c r="J22" s="38" t="s">
        <v>59</v>
      </c>
      <c r="K22" s="38">
        <f>U2</f>
        <v>23232</v>
      </c>
      <c r="L22" t="s">
        <v>19</v>
      </c>
      <c r="R22" t="b">
        <f>$O$3=INT($O$3)</f>
        <v>1</v>
      </c>
      <c r="S22" t="b">
        <f>$P$3=INT($P$3)</f>
        <v>1</v>
      </c>
    </row>
    <row r="23" spans="2:21" ht="16.5" thickTop="1" thickBot="1" x14ac:dyDescent="0.3">
      <c r="I23" s="38">
        <f>T3</f>
        <v>27597.45</v>
      </c>
      <c r="J23" s="38" t="s">
        <v>59</v>
      </c>
      <c r="K23" s="38">
        <f>U3</f>
        <v>29509.919999999998</v>
      </c>
      <c r="L23" t="s">
        <v>20</v>
      </c>
      <c r="R23" t="b">
        <f>х1&gt;=1</f>
        <v>1</v>
      </c>
      <c r="S23" t="b">
        <f>$K$23&gt;=$I$23</f>
        <v>1</v>
      </c>
    </row>
    <row r="24" spans="2:21" ht="16.5" thickTop="1" thickBot="1" x14ac:dyDescent="0.3">
      <c r="I24" s="38">
        <f>T4</f>
        <v>21991.199999999997</v>
      </c>
      <c r="J24" s="38" t="s">
        <v>59</v>
      </c>
      <c r="K24" s="38">
        <f>U4</f>
        <v>21991.199999999997</v>
      </c>
      <c r="L24" t="s">
        <v>21</v>
      </c>
      <c r="R24" t="b">
        <f>х2&lt;=$T$8</f>
        <v>1</v>
      </c>
      <c r="S24" t="b">
        <f>$I$38&gt;=$K$38</f>
        <v>1</v>
      </c>
    </row>
    <row r="25" spans="2:21" ht="15.75" thickTop="1" x14ac:dyDescent="0.25">
      <c r="R25" t="b">
        <f>х2&lt;=с2</f>
        <v>1</v>
      </c>
      <c r="S25" t="b">
        <f>$K$24&gt;=$I$24</f>
        <v>1</v>
      </c>
    </row>
    <row r="26" spans="2:21" ht="15.75" thickBot="1" x14ac:dyDescent="0.3">
      <c r="R26" t="b">
        <f>$P$3=INT($P$3)</f>
        <v>1</v>
      </c>
      <c r="S26" t="b">
        <f>$O$7=INT($O$7)</f>
        <v>1</v>
      </c>
    </row>
    <row r="27" spans="2:21" ht="29.25" customHeight="1" thickTop="1" thickBot="1" x14ac:dyDescent="0.3">
      <c r="C27" t="s">
        <v>60</v>
      </c>
      <c r="D27" s="63" t="s">
        <v>61</v>
      </c>
      <c r="E27" s="63"/>
      <c r="F27" s="63"/>
      <c r="G27" s="63"/>
      <c r="H27" s="63"/>
      <c r="I27" s="38">
        <f>V2</f>
        <v>1860800</v>
      </c>
      <c r="J27" s="38" t="s">
        <v>59</v>
      </c>
      <c r="K27" s="38">
        <f>ф</f>
        <v>1860800</v>
      </c>
      <c r="L27" t="s">
        <v>29</v>
      </c>
      <c r="R27" t="b">
        <f>х3&lt;=$T$9</f>
        <v>1</v>
      </c>
      <c r="S27" t="b">
        <f>у1&gt;=0</f>
        <v>1</v>
      </c>
    </row>
    <row r="28" spans="2:21" ht="15.75" thickTop="1" x14ac:dyDescent="0.25">
      <c r="R28" t="b">
        <f>х3&lt;=с3</f>
        <v>1</v>
      </c>
      <c r="S28" t="b">
        <f>у2&gt;=0</f>
        <v>1</v>
      </c>
    </row>
    <row r="29" spans="2:21" x14ac:dyDescent="0.25">
      <c r="R29" t="b">
        <f>$Q$3=INT($Q$3)</f>
        <v>1</v>
      </c>
      <c r="S29" t="b">
        <f>$Q$7=INT($Q$7)</f>
        <v>1</v>
      </c>
    </row>
    <row r="30" spans="2:21" x14ac:dyDescent="0.25">
      <c r="R30">
        <f>{32767;32767;0.000001;0.01;FALSE;FALSE;FALSE;1;2;1;0.0001;FALSE}</f>
        <v>32767</v>
      </c>
      <c r="S30" t="b">
        <f>$K$27&gt;=$I$27</f>
        <v>1</v>
      </c>
    </row>
    <row r="31" spans="2:21" x14ac:dyDescent="0.25">
      <c r="R31">
        <f>{0;0;1;100;0;FALSE;FALSE;0.075;0;0;FALSE;30}</f>
        <v>0</v>
      </c>
      <c r="S31" t="b">
        <f>$K$34&gt;=$I$34</f>
        <v>1</v>
      </c>
    </row>
    <row r="32" spans="2:21" ht="15.75" thickBot="1" x14ac:dyDescent="0.3">
      <c r="S32" t="b">
        <f>$I$39&gt;=$K$39</f>
        <v>1</v>
      </c>
    </row>
    <row r="33" spans="3:19" ht="16.5" thickTop="1" thickBot="1" x14ac:dyDescent="0.3">
      <c r="C33" t="s">
        <v>53</v>
      </c>
      <c r="D33" s="62" t="s">
        <v>62</v>
      </c>
      <c r="E33" s="62"/>
      <c r="F33" s="62"/>
      <c r="G33" s="62"/>
      <c r="H33" s="62"/>
      <c r="I33" s="38">
        <f>х1</f>
        <v>7471</v>
      </c>
      <c r="J33" s="38" t="s">
        <v>59</v>
      </c>
      <c r="K33" s="38">
        <f>с1</f>
        <v>8000</v>
      </c>
      <c r="L33" t="s">
        <v>75</v>
      </c>
      <c r="S33" t="b">
        <f>$K$35&gt;=$I$35</f>
        <v>1</v>
      </c>
    </row>
    <row r="34" spans="3:19" ht="16.5" thickTop="1" thickBot="1" x14ac:dyDescent="0.3">
      <c r="I34" s="38">
        <f>х2</f>
        <v>10200</v>
      </c>
      <c r="J34" s="38" t="s">
        <v>59</v>
      </c>
      <c r="K34" s="38">
        <f>с2</f>
        <v>10200</v>
      </c>
      <c r="L34" t="s">
        <v>76</v>
      </c>
      <c r="S34" t="b">
        <f>$K$33&gt;=$I$33</f>
        <v>1</v>
      </c>
    </row>
    <row r="35" spans="3:19" ht="16.5" thickTop="1" thickBot="1" x14ac:dyDescent="0.3">
      <c r="I35" s="38">
        <f>х3</f>
        <v>6500</v>
      </c>
      <c r="J35" s="38" t="s">
        <v>59</v>
      </c>
      <c r="K35" s="38">
        <f>с3</f>
        <v>6500</v>
      </c>
      <c r="L35" t="s">
        <v>77</v>
      </c>
      <c r="S35" t="b">
        <f>$K$34&gt;=$I$34</f>
        <v>1</v>
      </c>
    </row>
    <row r="36" spans="3:19" ht="16.5" thickTop="1" thickBot="1" x14ac:dyDescent="0.3">
      <c r="I36" s="3"/>
      <c r="J36" s="3"/>
      <c r="K36" s="3"/>
      <c r="S36" t="b">
        <f>$K$22&gt;=$I$22</f>
        <v>1</v>
      </c>
    </row>
    <row r="37" spans="3:19" ht="16.5" thickTop="1" thickBot="1" x14ac:dyDescent="0.3">
      <c r="C37" s="36" t="s">
        <v>98</v>
      </c>
      <c r="E37" t="s">
        <v>110</v>
      </c>
      <c r="I37" s="38">
        <f>х1</f>
        <v>7471</v>
      </c>
      <c r="J37" s="38" t="s">
        <v>96</v>
      </c>
      <c r="K37" s="38">
        <f>K15</f>
        <v>4500</v>
      </c>
      <c r="L37" t="s">
        <v>35</v>
      </c>
      <c r="S37" t="b">
        <f>$K$37&lt;=$I$37</f>
        <v>1</v>
      </c>
    </row>
    <row r="38" spans="3:19" ht="16.5" thickTop="1" thickBot="1" x14ac:dyDescent="0.3">
      <c r="I38" s="38">
        <f>х2</f>
        <v>10200</v>
      </c>
      <c r="J38" s="38" t="s">
        <v>96</v>
      </c>
      <c r="K38" s="38">
        <f>L15</f>
        <v>3000</v>
      </c>
      <c r="L38" t="s">
        <v>36</v>
      </c>
      <c r="S38">
        <f>{32767;32767;0.000001;0.01;FALSE;FALSE;FALSE;1;2;1;0.0001;FALSE}</f>
        <v>32767</v>
      </c>
    </row>
    <row r="39" spans="3:19" ht="16.5" thickTop="1" thickBot="1" x14ac:dyDescent="0.3">
      <c r="I39" s="38">
        <f>х3</f>
        <v>6500</v>
      </c>
      <c r="J39" s="38" t="s">
        <v>96</v>
      </c>
      <c r="K39" s="38">
        <f>M15</f>
        <v>4800</v>
      </c>
      <c r="L39" t="s">
        <v>37</v>
      </c>
      <c r="S39">
        <f>{0;0;1;100;0;FALSE;FALSE;0.075;0;0;FALSE;30}</f>
        <v>0</v>
      </c>
    </row>
    <row r="40" spans="3:19" ht="15.75" thickTop="1" x14ac:dyDescent="0.25"/>
    <row r="41" spans="3:19" x14ac:dyDescent="0.25">
      <c r="C41" t="s">
        <v>54</v>
      </c>
      <c r="D41" t="s">
        <v>63</v>
      </c>
    </row>
    <row r="43" spans="3:19" x14ac:dyDescent="0.25">
      <c r="D43" s="18" t="s">
        <v>66</v>
      </c>
    </row>
    <row r="48" spans="3:19" ht="15.75" thickBot="1" x14ac:dyDescent="0.3"/>
    <row r="49" spans="3:13" ht="16.5" thickTop="1" thickBot="1" x14ac:dyDescent="0.3">
      <c r="C49" t="s">
        <v>103</v>
      </c>
      <c r="D49" s="20" t="s">
        <v>104</v>
      </c>
      <c r="I49" s="17">
        <f>у1*об1+у2*об2+у3*об3+д*(п1*у1+п2*у2+п3*у3)</f>
        <v>1860800</v>
      </c>
      <c r="J49" t="s">
        <v>109</v>
      </c>
      <c r="M49" t="s">
        <v>112</v>
      </c>
    </row>
    <row r="50" spans="3:13" ht="15.75" thickTop="1" x14ac:dyDescent="0.25">
      <c r="M50" t="e">
        <f ca="1">_xludf.MIN($I$49)</f>
        <v>#NAME?</v>
      </c>
    </row>
    <row r="51" spans="3:13" x14ac:dyDescent="0.25">
      <c r="M51">
        <f>COUNT($O$3:$Q$3,$O$7:$Q$7)</f>
        <v>6</v>
      </c>
    </row>
    <row r="52" spans="3:13" x14ac:dyDescent="0.25">
      <c r="M52" t="b">
        <f>$I$63&gt;=$K$63</f>
        <v>1</v>
      </c>
    </row>
    <row r="53" spans="3:13" ht="15.75" thickBot="1" x14ac:dyDescent="0.3">
      <c r="M53" t="b">
        <f>$I$64&gt;=$K$64</f>
        <v>1</v>
      </c>
    </row>
    <row r="54" spans="3:13" ht="16.5" thickTop="1" thickBot="1" x14ac:dyDescent="0.3">
      <c r="C54" t="s">
        <v>105</v>
      </c>
      <c r="D54" t="s">
        <v>58</v>
      </c>
      <c r="I54" s="38">
        <f>во1*х1+во2*х2+во3*х3</f>
        <v>22010.35</v>
      </c>
      <c r="J54" s="38" t="s">
        <v>59</v>
      </c>
      <c r="K54" s="38">
        <f>вд1*22*12*у1</f>
        <v>11616</v>
      </c>
      <c r="L54" t="s">
        <v>19</v>
      </c>
      <c r="M54" t="b">
        <f>$I$65&gt;=$K$65</f>
        <v>1</v>
      </c>
    </row>
    <row r="55" spans="3:13" ht="16.5" thickTop="1" thickBot="1" x14ac:dyDescent="0.3">
      <c r="I55" s="38">
        <f>во21*х1+во22*х2+во23*х3</f>
        <v>27597.45</v>
      </c>
      <c r="J55" s="38" t="s">
        <v>59</v>
      </c>
      <c r="K55" s="38">
        <f>вд2*у2*12*22</f>
        <v>14754.960000000001</v>
      </c>
      <c r="L55" t="s">
        <v>20</v>
      </c>
      <c r="M55" t="b">
        <f>$K$54&gt;=$I$54</f>
        <v>0</v>
      </c>
    </row>
    <row r="56" spans="3:13" ht="16.5" thickTop="1" thickBot="1" x14ac:dyDescent="0.3">
      <c r="I56" s="38">
        <f>во31*х1+во32*х2+во33*х3</f>
        <v>21991.199999999997</v>
      </c>
      <c r="J56" s="38" t="s">
        <v>59</v>
      </c>
      <c r="K56" s="38">
        <f>вд3*у3*12*22</f>
        <v>10995.599999999999</v>
      </c>
      <c r="L56" t="s">
        <v>21</v>
      </c>
      <c r="M56" t="b">
        <f>$K$55&gt;=$I$55</f>
        <v>0</v>
      </c>
    </row>
    <row r="57" spans="3:13" ht="15.75" thickTop="1" x14ac:dyDescent="0.25">
      <c r="I57" s="3"/>
      <c r="J57" s="3"/>
      <c r="K57" s="3"/>
      <c r="M57" t="b">
        <f>$Q$7=INT($Q$7)</f>
        <v>1</v>
      </c>
    </row>
    <row r="58" spans="3:13" ht="15.75" thickBot="1" x14ac:dyDescent="0.3">
      <c r="I58" s="3"/>
      <c r="J58" s="3"/>
      <c r="K58" s="3"/>
      <c r="M58" t="b">
        <f>$K$56&gt;=$I$56</f>
        <v>0</v>
      </c>
    </row>
    <row r="59" spans="3:13" ht="16.5" thickTop="1" thickBot="1" x14ac:dyDescent="0.3">
      <c r="C59" t="s">
        <v>106</v>
      </c>
      <c r="D59" t="s">
        <v>107</v>
      </c>
      <c r="I59" s="38">
        <f>х1</f>
        <v>7471</v>
      </c>
      <c r="J59" s="38" t="s">
        <v>59</v>
      </c>
      <c r="K59" s="38">
        <f>с1</f>
        <v>8000</v>
      </c>
      <c r="L59" t="s">
        <v>75</v>
      </c>
      <c r="M59" t="b">
        <f>$P$3=INT($P$3)</f>
        <v>1</v>
      </c>
    </row>
    <row r="60" spans="3:13" ht="16.5" thickTop="1" thickBot="1" x14ac:dyDescent="0.3">
      <c r="I60" s="38">
        <f>х2</f>
        <v>10200</v>
      </c>
      <c r="J60" s="38" t="s">
        <v>59</v>
      </c>
      <c r="K60" s="38">
        <f>с2</f>
        <v>10200</v>
      </c>
      <c r="L60" t="s">
        <v>76</v>
      </c>
      <c r="M60" t="b">
        <f>$K$59&gt;=$I$59</f>
        <v>1</v>
      </c>
    </row>
    <row r="61" spans="3:13" ht="16.5" thickTop="1" thickBot="1" x14ac:dyDescent="0.3">
      <c r="I61" s="38">
        <f>х3</f>
        <v>6500</v>
      </c>
      <c r="J61" s="38" t="s">
        <v>59</v>
      </c>
      <c r="K61" s="38">
        <f>с3</f>
        <v>6500</v>
      </c>
      <c r="L61" t="s">
        <v>77</v>
      </c>
      <c r="M61" t="b">
        <f>х2&gt;=0</f>
        <v>1</v>
      </c>
    </row>
    <row r="62" spans="3:13" ht="16.5" thickTop="1" thickBot="1" x14ac:dyDescent="0.3">
      <c r="I62" s="3"/>
      <c r="J62" s="3"/>
      <c r="K62" s="3"/>
      <c r="M62" t="b">
        <f>х1&gt;=0</f>
        <v>1</v>
      </c>
    </row>
    <row r="63" spans="3:13" ht="16.5" thickTop="1" thickBot="1" x14ac:dyDescent="0.3">
      <c r="I63" s="38">
        <f>х1</f>
        <v>7471</v>
      </c>
      <c r="J63" s="38" t="s">
        <v>96</v>
      </c>
      <c r="K63" s="38">
        <f>K15</f>
        <v>4500</v>
      </c>
      <c r="L63" t="s">
        <v>75</v>
      </c>
      <c r="M63" t="b">
        <f>$K$64&gt;=$I$64</f>
        <v>0</v>
      </c>
    </row>
    <row r="64" spans="3:13" ht="16.5" thickTop="1" thickBot="1" x14ac:dyDescent="0.3">
      <c r="I64" s="38">
        <f>х2</f>
        <v>10200</v>
      </c>
      <c r="J64" s="38" t="s">
        <v>96</v>
      </c>
      <c r="K64" s="38">
        <f>L15</f>
        <v>3000</v>
      </c>
      <c r="L64" t="s">
        <v>76</v>
      </c>
      <c r="M64" t="b">
        <f>$Q$3=INT($Q$3)</f>
        <v>1</v>
      </c>
    </row>
    <row r="65" spans="3:13" ht="16.5" thickTop="1" thickBot="1" x14ac:dyDescent="0.3">
      <c r="I65" s="38">
        <f>х3</f>
        <v>6500</v>
      </c>
      <c r="J65" s="38" t="s">
        <v>96</v>
      </c>
      <c r="K65" s="38">
        <f>M15</f>
        <v>4800</v>
      </c>
      <c r="L65" t="s">
        <v>77</v>
      </c>
      <c r="M65" t="b">
        <f>$O$7=INT($O$7)</f>
        <v>1</v>
      </c>
    </row>
    <row r="66" spans="3:13" ht="15.75" thickTop="1" x14ac:dyDescent="0.25">
      <c r="M66" t="b">
        <f>х3&gt;=0</f>
        <v>1</v>
      </c>
    </row>
    <row r="67" spans="3:13" x14ac:dyDescent="0.25">
      <c r="C67" t="s">
        <v>108</v>
      </c>
      <c r="D67" t="s">
        <v>63</v>
      </c>
      <c r="M67" t="b">
        <f>$K$65&gt;=$I$65</f>
        <v>0</v>
      </c>
    </row>
    <row r="68" spans="3:13" x14ac:dyDescent="0.25">
      <c r="M68" t="b">
        <f>$K$60&gt;=$I$60</f>
        <v>1</v>
      </c>
    </row>
    <row r="69" spans="3:13" x14ac:dyDescent="0.25">
      <c r="D69" s="18" t="s">
        <v>66</v>
      </c>
      <c r="M69" t="b">
        <f>у2&gt;=0</f>
        <v>1</v>
      </c>
    </row>
    <row r="70" spans="3:13" x14ac:dyDescent="0.25">
      <c r="M70" t="b">
        <f>$P$7=INT($P$7)</f>
        <v>1</v>
      </c>
    </row>
    <row r="71" spans="3:13" x14ac:dyDescent="0.25">
      <c r="M71" t="b">
        <f>у3&gt;=0</f>
        <v>1</v>
      </c>
    </row>
    <row r="72" spans="3:13" x14ac:dyDescent="0.25">
      <c r="M72" t="b">
        <f>$O$3=INT($O$3)</f>
        <v>1</v>
      </c>
    </row>
    <row r="73" spans="3:13" x14ac:dyDescent="0.25">
      <c r="M73" t="b">
        <f>$K$63&gt;=$I$63</f>
        <v>0</v>
      </c>
    </row>
    <row r="74" spans="3:13" x14ac:dyDescent="0.25">
      <c r="M74" t="b">
        <f>$K$61&gt;=$I$61</f>
        <v>1</v>
      </c>
    </row>
    <row r="75" spans="3:13" x14ac:dyDescent="0.25">
      <c r="M75" t="b">
        <f>у1&gt;=0</f>
        <v>1</v>
      </c>
    </row>
    <row r="76" spans="3:13" x14ac:dyDescent="0.25">
      <c r="M76">
        <f>{32767;32767;0.000001;0.01;FALSE;FALSE;FALSE;1;2;1;0.0001;FALSE}</f>
        <v>32767</v>
      </c>
    </row>
    <row r="77" spans="3:13" x14ac:dyDescent="0.25">
      <c r="M77">
        <f>{0;0;1;100;0;FALSE;FALSE;0.075;0;0;FALSE;30}</f>
        <v>0</v>
      </c>
    </row>
  </sheetData>
  <mergeCells count="20">
    <mergeCell ref="B17:F17"/>
    <mergeCell ref="J19:L19"/>
    <mergeCell ref="D22:H22"/>
    <mergeCell ref="D27:H27"/>
    <mergeCell ref="D33:H33"/>
    <mergeCell ref="O13:P13"/>
    <mergeCell ref="C9:E9"/>
    <mergeCell ref="G9:I9"/>
    <mergeCell ref="O9:P9"/>
    <mergeCell ref="C13:E13"/>
    <mergeCell ref="G13:I13"/>
    <mergeCell ref="K13:M13"/>
    <mergeCell ref="C1:E1"/>
    <mergeCell ref="G1:I1"/>
    <mergeCell ref="O1:Q1"/>
    <mergeCell ref="K2:K3"/>
    <mergeCell ref="C5:E5"/>
    <mergeCell ref="G5:I5"/>
    <mergeCell ref="K5:M5"/>
    <mergeCell ref="O5:Q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77"/>
  <sheetViews>
    <sheetView workbookViewId="0">
      <selection activeCell="Q9" sqref="Q9"/>
    </sheetView>
  </sheetViews>
  <sheetFormatPr defaultRowHeight="15" x14ac:dyDescent="0.25"/>
  <cols>
    <col min="9" max="9" width="11.5703125" customWidth="1"/>
    <col min="11" max="11" width="13" customWidth="1"/>
    <col min="12" max="12" width="11.140625" customWidth="1"/>
    <col min="13" max="13" width="12.140625" customWidth="1"/>
    <col min="20" max="20" width="11.42578125" customWidth="1"/>
  </cols>
  <sheetData>
    <row r="1" spans="3:23" ht="30.75" customHeight="1" thickTop="1" thickBot="1" x14ac:dyDescent="0.3">
      <c r="C1" s="51" t="s">
        <v>0</v>
      </c>
      <c r="D1" s="52"/>
      <c r="E1" s="53"/>
      <c r="F1" s="3"/>
      <c r="G1" s="54" t="s">
        <v>9</v>
      </c>
      <c r="H1" s="54"/>
      <c r="I1" s="54"/>
      <c r="J1" s="3"/>
      <c r="K1" s="8" t="s">
        <v>13</v>
      </c>
      <c r="L1" s="3"/>
      <c r="M1" s="34" t="s">
        <v>28</v>
      </c>
      <c r="O1" s="50" t="s">
        <v>34</v>
      </c>
      <c r="P1" s="50"/>
      <c r="Q1" s="50"/>
      <c r="T1" t="s">
        <v>3</v>
      </c>
      <c r="U1" t="s">
        <v>2</v>
      </c>
      <c r="V1" t="s">
        <v>4</v>
      </c>
      <c r="W1" t="s">
        <v>5</v>
      </c>
    </row>
    <row r="2" spans="3:23" ht="16.5" thickTop="1" thickBot="1" x14ac:dyDescent="0.3">
      <c r="C2" s="33" t="s">
        <v>6</v>
      </c>
      <c r="D2" s="33" t="s">
        <v>7</v>
      </c>
      <c r="E2" s="33" t="s">
        <v>8</v>
      </c>
      <c r="F2" s="3"/>
      <c r="G2" s="33" t="s">
        <v>10</v>
      </c>
      <c r="H2" s="33" t="s">
        <v>11</v>
      </c>
      <c r="I2" s="33" t="s">
        <v>12</v>
      </c>
      <c r="J2" s="3"/>
      <c r="K2" s="55">
        <v>250000</v>
      </c>
      <c r="L2" s="3"/>
      <c r="M2" s="33" t="s">
        <v>29</v>
      </c>
      <c r="O2" s="33" t="s">
        <v>35</v>
      </c>
      <c r="P2" s="33" t="s">
        <v>36</v>
      </c>
      <c r="Q2" s="33" t="s">
        <v>37</v>
      </c>
      <c r="S2">
        <v>1</v>
      </c>
      <c r="T2">
        <f>во1*х1+во2*х2+во3*х3</f>
        <v>4598.4799999999996</v>
      </c>
      <c r="U2">
        <f>вд1*у1*22*12</f>
        <v>5808</v>
      </c>
      <c r="V2">
        <f>(об1*у1+об2*у2+об3*у3)+д*(п1*у1+п2*у2+п3*у3)</f>
        <v>862800</v>
      </c>
    </row>
    <row r="3" spans="3:23" ht="16.5" thickTop="1" thickBot="1" x14ac:dyDescent="0.3">
      <c r="C3" s="33">
        <v>3200</v>
      </c>
      <c r="D3" s="33">
        <v>2500</v>
      </c>
      <c r="E3" s="33">
        <v>4500</v>
      </c>
      <c r="F3" s="3"/>
      <c r="G3" s="33">
        <v>2850</v>
      </c>
      <c r="H3" s="33">
        <v>2150</v>
      </c>
      <c r="I3" s="33">
        <v>4150</v>
      </c>
      <c r="J3" s="3"/>
      <c r="K3" s="64"/>
      <c r="L3" s="3"/>
      <c r="M3" s="33">
        <v>862800</v>
      </c>
      <c r="O3" s="6">
        <v>1800</v>
      </c>
      <c r="P3" s="6">
        <v>2000</v>
      </c>
      <c r="Q3" s="6">
        <v>1272</v>
      </c>
      <c r="S3">
        <v>2</v>
      </c>
      <c r="T3">
        <f>во21*х1+во22*х2+во23*х3</f>
        <v>5727.6</v>
      </c>
      <c r="U3">
        <f>вд2*у2*22*12</f>
        <v>6557.76</v>
      </c>
    </row>
    <row r="4" spans="3:23" ht="31.5" customHeight="1" thickTop="1" thickBot="1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  <c r="S4">
        <v>3</v>
      </c>
      <c r="T4">
        <f>во31*х1+во32*х2+во33*х3</f>
        <v>4712.16</v>
      </c>
      <c r="U4">
        <f>вд3*у3*22*12</f>
        <v>4712.4000000000005</v>
      </c>
    </row>
    <row r="5" spans="3:23" ht="33.75" customHeight="1" thickTop="1" thickBot="1" x14ac:dyDescent="0.3">
      <c r="C5" s="50" t="s">
        <v>42</v>
      </c>
      <c r="D5" s="50"/>
      <c r="E5" s="50"/>
      <c r="F5" s="3"/>
      <c r="G5" s="57" t="s">
        <v>42</v>
      </c>
      <c r="H5" s="58"/>
      <c r="I5" s="59"/>
      <c r="J5" s="3"/>
      <c r="K5" s="50" t="s">
        <v>42</v>
      </c>
      <c r="L5" s="50"/>
      <c r="M5" s="50"/>
      <c r="O5" s="50" t="s">
        <v>38</v>
      </c>
      <c r="P5" s="50"/>
      <c r="Q5" s="50"/>
    </row>
    <row r="6" spans="3:23" ht="16.5" thickTop="1" thickBot="1" x14ac:dyDescent="0.3">
      <c r="C6" s="33" t="s">
        <v>43</v>
      </c>
      <c r="D6" s="33" t="s">
        <v>46</v>
      </c>
      <c r="E6" s="33" t="s">
        <v>47</v>
      </c>
      <c r="F6" s="3"/>
      <c r="G6" s="33" t="s">
        <v>44</v>
      </c>
      <c r="H6" s="33" t="s">
        <v>48</v>
      </c>
      <c r="I6" s="33" t="s">
        <v>49</v>
      </c>
      <c r="J6" s="3"/>
      <c r="K6" s="33" t="s">
        <v>45</v>
      </c>
      <c r="L6" s="33" t="s">
        <v>49</v>
      </c>
      <c r="M6" s="33" t="s">
        <v>50</v>
      </c>
      <c r="O6" s="33" t="s">
        <v>39</v>
      </c>
      <c r="P6" s="33" t="s">
        <v>40</v>
      </c>
      <c r="Q6" s="33" t="s">
        <v>41</v>
      </c>
      <c r="T6" s="9" t="s">
        <v>51</v>
      </c>
    </row>
    <row r="7" spans="3:23" ht="16.5" thickTop="1" thickBot="1" x14ac:dyDescent="0.3">
      <c r="C7" s="33">
        <v>0.85</v>
      </c>
      <c r="D7" s="33">
        <v>1</v>
      </c>
      <c r="E7" s="33">
        <v>0.84</v>
      </c>
      <c r="F7" s="3"/>
      <c r="G7" s="33">
        <v>0.95</v>
      </c>
      <c r="H7" s="33">
        <v>1.5</v>
      </c>
      <c r="I7" s="33">
        <v>0.8</v>
      </c>
      <c r="J7" s="3"/>
      <c r="K7" s="33">
        <v>1.2</v>
      </c>
      <c r="L7" s="33">
        <v>0.78</v>
      </c>
      <c r="M7" s="33">
        <v>0.78</v>
      </c>
      <c r="O7" s="6">
        <v>4</v>
      </c>
      <c r="P7" s="6">
        <v>4</v>
      </c>
      <c r="Q7" s="6">
        <v>3</v>
      </c>
      <c r="S7" s="9">
        <v>1</v>
      </c>
      <c r="T7">
        <f>с1-0.1*(J21-F21)</f>
        <v>4000</v>
      </c>
    </row>
    <row r="8" spans="3:23" ht="16.5" thickTop="1" thickBot="1" x14ac:dyDescent="0.3">
      <c r="C8" s="3"/>
      <c r="D8" s="3"/>
      <c r="E8" s="3"/>
      <c r="F8" s="3"/>
      <c r="G8" s="3"/>
      <c r="H8" s="3"/>
      <c r="I8" s="3"/>
      <c r="J8" s="3"/>
      <c r="K8" s="3"/>
      <c r="L8" s="3"/>
      <c r="M8" s="3"/>
      <c r="S8" s="3">
        <v>2</v>
      </c>
      <c r="T8">
        <f>с2-0.2*(K21-G21)</f>
        <v>5100</v>
      </c>
    </row>
    <row r="9" spans="3:23" ht="41.25" customHeight="1" thickTop="1" thickBot="1" x14ac:dyDescent="0.3">
      <c r="C9" s="50" t="s">
        <v>30</v>
      </c>
      <c r="D9" s="50"/>
      <c r="E9" s="50"/>
      <c r="F9" s="3"/>
      <c r="G9" s="57" t="s">
        <v>22</v>
      </c>
      <c r="H9" s="58"/>
      <c r="I9" s="59"/>
      <c r="J9" s="3"/>
      <c r="K9" s="34" t="s">
        <v>26</v>
      </c>
      <c r="L9" s="3"/>
      <c r="O9" s="54" t="s">
        <v>1</v>
      </c>
      <c r="P9" s="54"/>
      <c r="Q9" s="7">
        <f>ц1*х1+ц2*х2+х3*ц3-(и1*х1+и2*х2+и3*х3)-пи</f>
        <v>1525200</v>
      </c>
      <c r="R9" t="s">
        <v>65</v>
      </c>
      <c r="S9" s="3">
        <v>3</v>
      </c>
      <c r="T9">
        <f>с3-0.3*(L21-H21)</f>
        <v>3250</v>
      </c>
    </row>
    <row r="10" spans="3:23" ht="16.5" thickTop="1" thickBot="1" x14ac:dyDescent="0.3">
      <c r="C10" s="33" t="s">
        <v>31</v>
      </c>
      <c r="D10" s="33" t="s">
        <v>32</v>
      </c>
      <c r="E10" s="33" t="s">
        <v>33</v>
      </c>
      <c r="F10" s="3"/>
      <c r="G10" s="33" t="s">
        <v>23</v>
      </c>
      <c r="H10" s="33" t="s">
        <v>24</v>
      </c>
      <c r="I10" s="33" t="s">
        <v>25</v>
      </c>
      <c r="J10" s="3"/>
      <c r="K10" s="33" t="s">
        <v>27</v>
      </c>
      <c r="L10" s="3"/>
      <c r="R10" t="e">
        <f ca="1">_xludf.MAX($Q$9)</f>
        <v>#NAME?</v>
      </c>
      <c r="S10" t="s">
        <v>111</v>
      </c>
    </row>
    <row r="11" spans="3:23" ht="16.5" thickTop="1" thickBot="1" x14ac:dyDescent="0.3">
      <c r="C11" s="33">
        <v>5.5</v>
      </c>
      <c r="D11" s="33">
        <v>6.21</v>
      </c>
      <c r="E11" s="33">
        <v>5.95</v>
      </c>
      <c r="F11" s="3"/>
      <c r="G11" s="33">
        <v>1.5</v>
      </c>
      <c r="H11" s="33">
        <v>1.6</v>
      </c>
      <c r="I11" s="33">
        <v>1.25</v>
      </c>
      <c r="J11" s="3"/>
      <c r="K11" s="33">
        <v>2000</v>
      </c>
      <c r="L11" s="3"/>
      <c r="R11">
        <f>COUNT($O$3:$Q$3,$O$7:$Q$7)</f>
        <v>6</v>
      </c>
      <c r="S11" t="e">
        <f ca="1">_xludf.MAX($Q$9)</f>
        <v>#NAME?</v>
      </c>
    </row>
    <row r="12" spans="3:23" ht="16.5" customHeight="1" thickTop="1" thickBot="1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R12" t="b">
        <f>$T$2&lt;=$U$2</f>
        <v>1</v>
      </c>
      <c r="S12">
        <f>COUNT($O$3:$Q$3,$O$7:$Q$7)</f>
        <v>6</v>
      </c>
    </row>
    <row r="13" spans="3:23" ht="18.75" customHeight="1" thickTop="1" thickBot="1" x14ac:dyDescent="0.3">
      <c r="C13" s="57" t="s">
        <v>18</v>
      </c>
      <c r="D13" s="58"/>
      <c r="E13" s="59"/>
      <c r="F13" s="3"/>
      <c r="G13" s="50" t="s">
        <v>14</v>
      </c>
      <c r="H13" s="50"/>
      <c r="I13" s="50"/>
      <c r="J13" s="3"/>
      <c r="K13" s="54" t="s">
        <v>99</v>
      </c>
      <c r="L13" s="54"/>
      <c r="M13" s="54"/>
      <c r="R13" t="b">
        <f>$T$3&lt;=$U$3</f>
        <v>1</v>
      </c>
      <c r="S13" t="b">
        <f>$K$33&gt;=$I$33</f>
        <v>1</v>
      </c>
    </row>
    <row r="14" spans="3:23" ht="16.5" thickTop="1" thickBot="1" x14ac:dyDescent="0.3">
      <c r="C14" s="33" t="s">
        <v>19</v>
      </c>
      <c r="D14" s="33" t="s">
        <v>20</v>
      </c>
      <c r="E14" s="33" t="s">
        <v>21</v>
      </c>
      <c r="F14" s="3"/>
      <c r="G14" s="33" t="s">
        <v>15</v>
      </c>
      <c r="H14" s="33" t="s">
        <v>16</v>
      </c>
      <c r="I14" s="33" t="s">
        <v>17</v>
      </c>
      <c r="J14" s="3"/>
      <c r="K14" s="33" t="s">
        <v>100</v>
      </c>
      <c r="L14" s="33" t="s">
        <v>101</v>
      </c>
      <c r="M14" s="33" t="s">
        <v>102</v>
      </c>
      <c r="R14" t="b">
        <f>$T$4&lt;=$U$4</f>
        <v>1</v>
      </c>
      <c r="S14" t="b">
        <f>$K$24&gt;=$I$24</f>
        <v>1</v>
      </c>
    </row>
    <row r="15" spans="3:23" ht="16.5" thickTop="1" thickBot="1" x14ac:dyDescent="0.3">
      <c r="C15" s="33">
        <v>95000</v>
      </c>
      <c r="D15" s="33">
        <v>62000</v>
      </c>
      <c r="E15" s="33">
        <v>67500</v>
      </c>
      <c r="F15" s="3"/>
      <c r="G15" s="33">
        <v>4000</v>
      </c>
      <c r="H15" s="33">
        <v>5100</v>
      </c>
      <c r="I15" s="33">
        <v>3250</v>
      </c>
      <c r="J15" s="3"/>
      <c r="K15" s="33">
        <v>1800</v>
      </c>
      <c r="L15" s="33">
        <v>2000</v>
      </c>
      <c r="M15" s="33">
        <v>1200</v>
      </c>
      <c r="R15" t="b">
        <f>$V$2&lt;=ф</f>
        <v>1</v>
      </c>
      <c r="S15" t="b">
        <f>х3&gt;=0</f>
        <v>1</v>
      </c>
    </row>
    <row r="16" spans="3:23" ht="15.75" thickTop="1" x14ac:dyDescent="0.25">
      <c r="R16" t="b">
        <f>$O$7=INT($O$7)</f>
        <v>1</v>
      </c>
      <c r="S16" t="b">
        <f>$P$7=INT($P$7)</f>
        <v>1</v>
      </c>
    </row>
    <row r="17" spans="2:21" ht="15.75" thickBot="1" x14ac:dyDescent="0.3">
      <c r="B17" s="61" t="s">
        <v>55</v>
      </c>
      <c r="C17" s="62"/>
      <c r="D17" s="62"/>
      <c r="E17" s="62"/>
      <c r="F17" s="6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t="b">
        <f>у1&gt;=1</f>
        <v>1</v>
      </c>
      <c r="S17" t="b">
        <f>у3&gt;=0</f>
        <v>1</v>
      </c>
      <c r="U17" s="18" t="s">
        <v>66</v>
      </c>
    </row>
    <row r="18" spans="2:21" ht="15.75" customHeight="1" thickTop="1" thickBot="1" x14ac:dyDescent="0.3">
      <c r="C18" t="s">
        <v>52</v>
      </c>
      <c r="D18" t="s">
        <v>56</v>
      </c>
      <c r="F18" s="12"/>
      <c r="G18" s="12"/>
      <c r="I18" s="24">
        <f>Q9</f>
        <v>1525200</v>
      </c>
      <c r="J18" s="12" t="s">
        <v>78</v>
      </c>
      <c r="K18" s="12"/>
      <c r="L18" s="12"/>
      <c r="M18" s="12"/>
      <c r="N18" s="13"/>
      <c r="O18" s="13"/>
      <c r="P18" s="14"/>
      <c r="Q18" s="14"/>
      <c r="R18" t="b">
        <f>$P$7=INT($P$7)</f>
        <v>1</v>
      </c>
      <c r="S18" t="b">
        <f>$O$3=INT($O$3)</f>
        <v>1</v>
      </c>
    </row>
    <row r="19" spans="2:21" ht="15.75" thickTop="1" x14ac:dyDescent="0.25">
      <c r="F19" s="14"/>
      <c r="G19" s="14"/>
      <c r="H19" s="14"/>
      <c r="I19" s="12"/>
      <c r="J19" s="65"/>
      <c r="K19" s="65"/>
      <c r="L19" s="65"/>
      <c r="M19" s="12"/>
      <c r="N19" s="13"/>
      <c r="O19" s="13"/>
      <c r="P19" s="14"/>
      <c r="Q19" s="14"/>
      <c r="R19" t="b">
        <f>$Q$7=INT($Q$7)</f>
        <v>1</v>
      </c>
      <c r="S19" t="b">
        <f>$Q$3=INT($Q$3)</f>
        <v>1</v>
      </c>
    </row>
    <row r="20" spans="2:21" x14ac:dyDescent="0.25">
      <c r="F20" s="35"/>
      <c r="G20" s="35"/>
      <c r="H20" s="35"/>
      <c r="I20" s="12"/>
      <c r="J20" s="35"/>
      <c r="K20" s="35"/>
      <c r="L20" s="35"/>
      <c r="M20" s="12"/>
      <c r="N20" s="13"/>
      <c r="O20" s="13"/>
      <c r="P20" s="14"/>
      <c r="Q20" s="14"/>
      <c r="R20" t="b">
        <f>х1&lt;=$T$7</f>
        <v>1</v>
      </c>
      <c r="S20" t="b">
        <f>х2&gt;=0</f>
        <v>1</v>
      </c>
    </row>
    <row r="21" spans="2:21" ht="15.75" thickBot="1" x14ac:dyDescent="0.3">
      <c r="F21" s="35"/>
      <c r="G21" s="35"/>
      <c r="H21" s="35"/>
      <c r="I21" s="12"/>
      <c r="J21" s="35"/>
      <c r="K21" s="35"/>
      <c r="L21" s="35"/>
      <c r="M21" s="12"/>
      <c r="N21" s="13"/>
      <c r="O21" s="13"/>
      <c r="P21" s="14"/>
      <c r="Q21" s="14"/>
      <c r="R21" t="b">
        <f>х1&lt;=с1</f>
        <v>1</v>
      </c>
      <c r="S21" t="b">
        <f>х1&gt;=0</f>
        <v>1</v>
      </c>
    </row>
    <row r="22" spans="2:21" ht="16.5" thickTop="1" thickBot="1" x14ac:dyDescent="0.3">
      <c r="C22" t="s">
        <v>57</v>
      </c>
      <c r="D22" s="62" t="s">
        <v>58</v>
      </c>
      <c r="E22" s="62"/>
      <c r="F22" s="62"/>
      <c r="G22" s="62"/>
      <c r="H22" s="62"/>
      <c r="I22" s="33">
        <f>T2</f>
        <v>4598.4799999999996</v>
      </c>
      <c r="J22" s="33" t="s">
        <v>59</v>
      </c>
      <c r="K22" s="33">
        <f>U2</f>
        <v>5808</v>
      </c>
      <c r="L22" t="s">
        <v>19</v>
      </c>
      <c r="R22" t="b">
        <f>$O$3=INT($O$3)</f>
        <v>1</v>
      </c>
      <c r="S22" t="b">
        <f>$P$3=INT($P$3)</f>
        <v>1</v>
      </c>
    </row>
    <row r="23" spans="2:21" ht="16.5" thickTop="1" thickBot="1" x14ac:dyDescent="0.3">
      <c r="I23" s="33">
        <f>T3</f>
        <v>5727.6</v>
      </c>
      <c r="J23" s="33" t="s">
        <v>59</v>
      </c>
      <c r="K23" s="33">
        <f>U3</f>
        <v>6557.76</v>
      </c>
      <c r="L23" t="s">
        <v>20</v>
      </c>
      <c r="R23" t="b">
        <f>х1&gt;=1</f>
        <v>1</v>
      </c>
      <c r="S23" t="b">
        <f>$K$23&gt;=$I$23</f>
        <v>1</v>
      </c>
    </row>
    <row r="24" spans="2:21" ht="16.5" thickTop="1" thickBot="1" x14ac:dyDescent="0.3">
      <c r="I24" s="33">
        <f>T4</f>
        <v>4712.16</v>
      </c>
      <c r="J24" s="33" t="s">
        <v>59</v>
      </c>
      <c r="K24" s="33">
        <f>U4</f>
        <v>4712.4000000000005</v>
      </c>
      <c r="L24" t="s">
        <v>21</v>
      </c>
      <c r="R24" t="b">
        <f>х2&lt;=$T$8</f>
        <v>1</v>
      </c>
      <c r="S24" t="b">
        <f>$I$38&gt;=$K$38</f>
        <v>1</v>
      </c>
    </row>
    <row r="25" spans="2:21" ht="15.75" thickTop="1" x14ac:dyDescent="0.25">
      <c r="R25" t="b">
        <f>х2&lt;=с2</f>
        <v>1</v>
      </c>
      <c r="S25" t="b">
        <f>$K$24&gt;=$I$24</f>
        <v>1</v>
      </c>
    </row>
    <row r="26" spans="2:21" ht="15.75" thickBot="1" x14ac:dyDescent="0.3">
      <c r="R26" t="b">
        <f>$P$3=INT($P$3)</f>
        <v>1</v>
      </c>
      <c r="S26" t="b">
        <f>$O$7=INT($O$7)</f>
        <v>1</v>
      </c>
    </row>
    <row r="27" spans="2:21" ht="29.25" customHeight="1" thickTop="1" thickBot="1" x14ac:dyDescent="0.3">
      <c r="C27" t="s">
        <v>60</v>
      </c>
      <c r="D27" s="63" t="s">
        <v>61</v>
      </c>
      <c r="E27" s="63"/>
      <c r="F27" s="63"/>
      <c r="G27" s="63"/>
      <c r="H27" s="63"/>
      <c r="I27" s="33">
        <f>V2</f>
        <v>862800</v>
      </c>
      <c r="J27" s="33" t="s">
        <v>59</v>
      </c>
      <c r="K27" s="33">
        <f>ф</f>
        <v>862800</v>
      </c>
      <c r="L27" t="s">
        <v>29</v>
      </c>
      <c r="R27" t="b">
        <f>х3&lt;=$T$9</f>
        <v>1</v>
      </c>
      <c r="S27" t="b">
        <f>у1&gt;=0</f>
        <v>1</v>
      </c>
    </row>
    <row r="28" spans="2:21" ht="15.75" thickTop="1" x14ac:dyDescent="0.25">
      <c r="R28" t="b">
        <f>х3&lt;=с3</f>
        <v>1</v>
      </c>
      <c r="S28" t="b">
        <f>у2&gt;=0</f>
        <v>1</v>
      </c>
    </row>
    <row r="29" spans="2:21" x14ac:dyDescent="0.25">
      <c r="R29" t="b">
        <f>$Q$3=INT($Q$3)</f>
        <v>1</v>
      </c>
      <c r="S29" t="b">
        <f>$Q$7=INT($Q$7)</f>
        <v>1</v>
      </c>
    </row>
    <row r="30" spans="2:21" x14ac:dyDescent="0.25">
      <c r="R30">
        <f>{32767;32767;0.000001;0.01;FALSE;FALSE;FALSE;1;2;1;0.0001;FALSE}</f>
        <v>32767</v>
      </c>
      <c r="S30" t="b">
        <f>$K$27&gt;=$I$27</f>
        <v>1</v>
      </c>
    </row>
    <row r="31" spans="2:21" x14ac:dyDescent="0.25">
      <c r="R31">
        <f>{0;0;1;100;0;FALSE;FALSE;0.075;0;0;FALSE;30}</f>
        <v>0</v>
      </c>
      <c r="S31" t="b">
        <f>$K$34&gt;=$I$34</f>
        <v>1</v>
      </c>
    </row>
    <row r="32" spans="2:21" ht="15.75" thickBot="1" x14ac:dyDescent="0.3">
      <c r="S32" t="b">
        <f>$I$39&gt;=$K$39</f>
        <v>1</v>
      </c>
    </row>
    <row r="33" spans="3:19" ht="16.5" thickTop="1" thickBot="1" x14ac:dyDescent="0.3">
      <c r="C33" t="s">
        <v>53</v>
      </c>
      <c r="D33" s="62" t="s">
        <v>62</v>
      </c>
      <c r="E33" s="62"/>
      <c r="F33" s="62"/>
      <c r="G33" s="62"/>
      <c r="H33" s="62"/>
      <c r="I33" s="33">
        <f>х1</f>
        <v>1800</v>
      </c>
      <c r="J33" s="33" t="s">
        <v>59</v>
      </c>
      <c r="K33" s="33">
        <f>с1</f>
        <v>4000</v>
      </c>
      <c r="L33" t="s">
        <v>75</v>
      </c>
      <c r="S33" t="b">
        <f>$K$35&gt;=$I$35</f>
        <v>1</v>
      </c>
    </row>
    <row r="34" spans="3:19" ht="16.5" thickTop="1" thickBot="1" x14ac:dyDescent="0.3">
      <c r="I34" s="33">
        <f>х2</f>
        <v>2000</v>
      </c>
      <c r="J34" s="33" t="s">
        <v>59</v>
      </c>
      <c r="K34" s="33">
        <f>с2</f>
        <v>5100</v>
      </c>
      <c r="L34" t="s">
        <v>76</v>
      </c>
      <c r="S34" t="b">
        <f>$K$33&gt;=$I$33</f>
        <v>1</v>
      </c>
    </row>
    <row r="35" spans="3:19" ht="16.5" thickTop="1" thickBot="1" x14ac:dyDescent="0.3">
      <c r="I35" s="33">
        <f>х3</f>
        <v>1272</v>
      </c>
      <c r="J35" s="33" t="s">
        <v>59</v>
      </c>
      <c r="K35" s="33">
        <f>с3</f>
        <v>3250</v>
      </c>
      <c r="L35" t="s">
        <v>77</v>
      </c>
      <c r="S35" t="b">
        <f>$K$34&gt;=$I$34</f>
        <v>1</v>
      </c>
    </row>
    <row r="36" spans="3:19" ht="16.5" thickTop="1" thickBot="1" x14ac:dyDescent="0.3">
      <c r="I36" s="3"/>
      <c r="J36" s="3"/>
      <c r="K36" s="3"/>
      <c r="S36" t="b">
        <f>$K$22&gt;=$I$22</f>
        <v>1</v>
      </c>
    </row>
    <row r="37" spans="3:19" ht="16.5" thickTop="1" thickBot="1" x14ac:dyDescent="0.3">
      <c r="C37" s="36" t="s">
        <v>98</v>
      </c>
      <c r="E37" t="s">
        <v>110</v>
      </c>
      <c r="I37" s="33">
        <f>х1</f>
        <v>1800</v>
      </c>
      <c r="J37" s="33" t="s">
        <v>96</v>
      </c>
      <c r="K37" s="33">
        <f>K15</f>
        <v>1800</v>
      </c>
      <c r="L37" t="s">
        <v>35</v>
      </c>
      <c r="S37" t="b">
        <f>$K$37&lt;=$I$37</f>
        <v>1</v>
      </c>
    </row>
    <row r="38" spans="3:19" ht="16.5" thickTop="1" thickBot="1" x14ac:dyDescent="0.3">
      <c r="I38" s="33">
        <f>х2</f>
        <v>2000</v>
      </c>
      <c r="J38" s="33" t="s">
        <v>96</v>
      </c>
      <c r="K38" s="33">
        <f>L15</f>
        <v>2000</v>
      </c>
      <c r="L38" t="s">
        <v>36</v>
      </c>
      <c r="S38">
        <f>{32767;32767;0.000001;0.01;FALSE;FALSE;FALSE;1;2;1;0.0001;FALSE}</f>
        <v>32767</v>
      </c>
    </row>
    <row r="39" spans="3:19" ht="16.5" thickTop="1" thickBot="1" x14ac:dyDescent="0.3">
      <c r="I39" s="33">
        <f>х3</f>
        <v>1272</v>
      </c>
      <c r="J39" s="33" t="s">
        <v>96</v>
      </c>
      <c r="K39" s="33">
        <f>M15</f>
        <v>1200</v>
      </c>
      <c r="L39" t="s">
        <v>37</v>
      </c>
      <c r="S39">
        <f>{0;0;1;100;0;FALSE;FALSE;0.075;0;0;FALSE;30}</f>
        <v>0</v>
      </c>
    </row>
    <row r="40" spans="3:19" ht="15.75" thickTop="1" x14ac:dyDescent="0.25"/>
    <row r="41" spans="3:19" x14ac:dyDescent="0.25">
      <c r="C41" t="s">
        <v>54</v>
      </c>
      <c r="D41" t="s">
        <v>63</v>
      </c>
    </row>
    <row r="43" spans="3:19" x14ac:dyDescent="0.25">
      <c r="D43" s="18" t="s">
        <v>66</v>
      </c>
    </row>
    <row r="48" spans="3:19" ht="15.75" thickBot="1" x14ac:dyDescent="0.3"/>
    <row r="49" spans="3:13" ht="16.5" thickTop="1" thickBot="1" x14ac:dyDescent="0.3">
      <c r="C49" t="s">
        <v>103</v>
      </c>
      <c r="D49" s="20" t="s">
        <v>104</v>
      </c>
      <c r="I49" s="17">
        <f>у1*об1+у2*об2+у3*об3+д*(п1*у1+п2*у2+п3*у3)</f>
        <v>862800</v>
      </c>
      <c r="J49" t="s">
        <v>109</v>
      </c>
      <c r="M49" t="s">
        <v>112</v>
      </c>
    </row>
    <row r="50" spans="3:13" ht="15.75" thickTop="1" x14ac:dyDescent="0.25">
      <c r="M50" t="e">
        <f ca="1">_xludf.MIN($I$49)</f>
        <v>#NAME?</v>
      </c>
    </row>
    <row r="51" spans="3:13" x14ac:dyDescent="0.25">
      <c r="M51">
        <f>COUNT($O$3:$Q$3,$O$7:$Q$7)</f>
        <v>6</v>
      </c>
    </row>
    <row r="52" spans="3:13" x14ac:dyDescent="0.25">
      <c r="M52" t="b">
        <f>$I$63&gt;=$K$63</f>
        <v>1</v>
      </c>
    </row>
    <row r="53" spans="3:13" ht="15.75" thickBot="1" x14ac:dyDescent="0.3">
      <c r="M53" t="b">
        <f>$I$64&gt;=$K$64</f>
        <v>1</v>
      </c>
    </row>
    <row r="54" spans="3:13" ht="16.5" thickTop="1" thickBot="1" x14ac:dyDescent="0.3">
      <c r="C54" t="s">
        <v>105</v>
      </c>
      <c r="D54" t="s">
        <v>58</v>
      </c>
      <c r="I54" s="33">
        <f>во1*х1+во2*х2+во3*х3</f>
        <v>4598.4799999999996</v>
      </c>
      <c r="J54" s="33" t="s">
        <v>59</v>
      </c>
      <c r="K54" s="33">
        <f>вд1*22*12*у1</f>
        <v>5808</v>
      </c>
      <c r="L54" t="s">
        <v>19</v>
      </c>
      <c r="M54" t="b">
        <f>$I$65&gt;=$K$65</f>
        <v>1</v>
      </c>
    </row>
    <row r="55" spans="3:13" ht="16.5" thickTop="1" thickBot="1" x14ac:dyDescent="0.3">
      <c r="I55" s="33">
        <f>во21*х1+во22*х2+во23*х3</f>
        <v>5727.6</v>
      </c>
      <c r="J55" s="33" t="s">
        <v>59</v>
      </c>
      <c r="K55" s="33">
        <f>вд2*у2*12*22</f>
        <v>6557.7599999999993</v>
      </c>
      <c r="L55" t="s">
        <v>20</v>
      </c>
      <c r="M55" t="b">
        <f>$K$54&gt;=$I$54</f>
        <v>1</v>
      </c>
    </row>
    <row r="56" spans="3:13" ht="16.5" thickTop="1" thickBot="1" x14ac:dyDescent="0.3">
      <c r="I56" s="33">
        <f>во31*х1+во32*х2+во33*х3</f>
        <v>4712.16</v>
      </c>
      <c r="J56" s="33" t="s">
        <v>59</v>
      </c>
      <c r="K56" s="33">
        <f>вд3*у3*12*22</f>
        <v>4712.4000000000005</v>
      </c>
      <c r="L56" t="s">
        <v>21</v>
      </c>
      <c r="M56" t="b">
        <f>$K$55&gt;=$I$55</f>
        <v>1</v>
      </c>
    </row>
    <row r="57" spans="3:13" ht="15.75" thickTop="1" x14ac:dyDescent="0.25">
      <c r="I57" s="3"/>
      <c r="J57" s="3"/>
      <c r="K57" s="3"/>
      <c r="M57" t="b">
        <f>$Q$7=INT($Q$7)</f>
        <v>1</v>
      </c>
    </row>
    <row r="58" spans="3:13" ht="15.75" thickBot="1" x14ac:dyDescent="0.3">
      <c r="I58" s="3"/>
      <c r="J58" s="3"/>
      <c r="K58" s="3"/>
      <c r="M58" t="b">
        <f>$K$56&gt;=$I$56</f>
        <v>1</v>
      </c>
    </row>
    <row r="59" spans="3:13" ht="16.5" thickTop="1" thickBot="1" x14ac:dyDescent="0.3">
      <c r="C59" t="s">
        <v>106</v>
      </c>
      <c r="D59" t="s">
        <v>107</v>
      </c>
      <c r="I59" s="33">
        <f>х1</f>
        <v>1800</v>
      </c>
      <c r="J59" s="33" t="s">
        <v>59</v>
      </c>
      <c r="K59" s="33">
        <f>с1</f>
        <v>4000</v>
      </c>
      <c r="L59" t="s">
        <v>75</v>
      </c>
      <c r="M59" t="b">
        <f>$P$3=INT($P$3)</f>
        <v>1</v>
      </c>
    </row>
    <row r="60" spans="3:13" ht="16.5" thickTop="1" thickBot="1" x14ac:dyDescent="0.3">
      <c r="I60" s="33">
        <f>х2</f>
        <v>2000</v>
      </c>
      <c r="J60" s="33" t="s">
        <v>59</v>
      </c>
      <c r="K60" s="33">
        <f>с2</f>
        <v>5100</v>
      </c>
      <c r="L60" t="s">
        <v>76</v>
      </c>
      <c r="M60" t="b">
        <f>$K$59&gt;=$I$59</f>
        <v>1</v>
      </c>
    </row>
    <row r="61" spans="3:13" ht="16.5" thickTop="1" thickBot="1" x14ac:dyDescent="0.3">
      <c r="I61" s="33">
        <f>х3</f>
        <v>1272</v>
      </c>
      <c r="J61" s="33" t="s">
        <v>59</v>
      </c>
      <c r="K61" s="33">
        <f>с3</f>
        <v>3250</v>
      </c>
      <c r="L61" t="s">
        <v>77</v>
      </c>
      <c r="M61" t="b">
        <f>х2&gt;=0</f>
        <v>1</v>
      </c>
    </row>
    <row r="62" spans="3:13" ht="16.5" thickTop="1" thickBot="1" x14ac:dyDescent="0.3">
      <c r="I62" s="3"/>
      <c r="J62" s="3"/>
      <c r="K62" s="3"/>
      <c r="M62" t="b">
        <f>х1&gt;=0</f>
        <v>1</v>
      </c>
    </row>
    <row r="63" spans="3:13" ht="16.5" thickTop="1" thickBot="1" x14ac:dyDescent="0.3">
      <c r="I63" s="33">
        <f>х1</f>
        <v>1800</v>
      </c>
      <c r="J63" s="33" t="s">
        <v>96</v>
      </c>
      <c r="K63" s="33">
        <f>K15</f>
        <v>1800</v>
      </c>
      <c r="L63" t="s">
        <v>75</v>
      </c>
      <c r="M63" t="b">
        <f>$K$64&gt;=$I$64</f>
        <v>1</v>
      </c>
    </row>
    <row r="64" spans="3:13" ht="16.5" thickTop="1" thickBot="1" x14ac:dyDescent="0.3">
      <c r="I64" s="33">
        <f>х2</f>
        <v>2000</v>
      </c>
      <c r="J64" s="33" t="s">
        <v>96</v>
      </c>
      <c r="K64" s="33">
        <f>L15</f>
        <v>2000</v>
      </c>
      <c r="L64" t="s">
        <v>76</v>
      </c>
      <c r="M64" t="b">
        <f>$Q$3=INT($Q$3)</f>
        <v>1</v>
      </c>
    </row>
    <row r="65" spans="3:13" ht="16.5" thickTop="1" thickBot="1" x14ac:dyDescent="0.3">
      <c r="I65" s="33">
        <f>х3</f>
        <v>1272</v>
      </c>
      <c r="J65" s="33" t="s">
        <v>96</v>
      </c>
      <c r="K65" s="33">
        <f>M15</f>
        <v>1200</v>
      </c>
      <c r="L65" t="s">
        <v>77</v>
      </c>
      <c r="M65" t="b">
        <f>$O$7=INT($O$7)</f>
        <v>1</v>
      </c>
    </row>
    <row r="66" spans="3:13" ht="15.75" thickTop="1" x14ac:dyDescent="0.25">
      <c r="M66" t="b">
        <f>х3&gt;=0</f>
        <v>1</v>
      </c>
    </row>
    <row r="67" spans="3:13" x14ac:dyDescent="0.25">
      <c r="C67" t="s">
        <v>108</v>
      </c>
      <c r="D67" t="s">
        <v>63</v>
      </c>
      <c r="M67" t="b">
        <f>$K$65&gt;=$I$65</f>
        <v>0</v>
      </c>
    </row>
    <row r="68" spans="3:13" x14ac:dyDescent="0.25">
      <c r="M68" t="b">
        <f>$K$60&gt;=$I$60</f>
        <v>1</v>
      </c>
    </row>
    <row r="69" spans="3:13" x14ac:dyDescent="0.25">
      <c r="D69" s="18" t="s">
        <v>66</v>
      </c>
      <c r="M69" t="b">
        <f>у2&gt;=0</f>
        <v>1</v>
      </c>
    </row>
    <row r="70" spans="3:13" x14ac:dyDescent="0.25">
      <c r="M70" t="b">
        <f>$P$7=INT($P$7)</f>
        <v>1</v>
      </c>
    </row>
    <row r="71" spans="3:13" x14ac:dyDescent="0.25">
      <c r="M71" t="b">
        <f>у3&gt;=0</f>
        <v>1</v>
      </c>
    </row>
    <row r="72" spans="3:13" x14ac:dyDescent="0.25">
      <c r="M72" t="b">
        <f>$O$3=INT($O$3)</f>
        <v>1</v>
      </c>
    </row>
    <row r="73" spans="3:13" x14ac:dyDescent="0.25">
      <c r="M73" t="b">
        <f>$K$63&gt;=$I$63</f>
        <v>1</v>
      </c>
    </row>
    <row r="74" spans="3:13" x14ac:dyDescent="0.25">
      <c r="M74" t="b">
        <f>$K$61&gt;=$I$61</f>
        <v>1</v>
      </c>
    </row>
    <row r="75" spans="3:13" x14ac:dyDescent="0.25">
      <c r="M75" t="b">
        <f>у1&gt;=0</f>
        <v>1</v>
      </c>
    </row>
    <row r="76" spans="3:13" x14ac:dyDescent="0.25">
      <c r="M76">
        <f>{32767;32767;0.000001;0.01;FALSE;FALSE;FALSE;1;2;1;0.0001;FALSE}</f>
        <v>32767</v>
      </c>
    </row>
    <row r="77" spans="3:13" x14ac:dyDescent="0.25">
      <c r="M77">
        <f>{0;0;1;100;0;FALSE;FALSE;0.075;0;0;FALSE;30}</f>
        <v>0</v>
      </c>
    </row>
  </sheetData>
  <mergeCells count="19">
    <mergeCell ref="J19:L19"/>
    <mergeCell ref="D22:H22"/>
    <mergeCell ref="D27:H27"/>
    <mergeCell ref="D33:H33"/>
    <mergeCell ref="K13:M13"/>
    <mergeCell ref="B17:F17"/>
    <mergeCell ref="C9:E9"/>
    <mergeCell ref="G9:I9"/>
    <mergeCell ref="O9:P9"/>
    <mergeCell ref="C13:E13"/>
    <mergeCell ref="G13:I13"/>
    <mergeCell ref="C1:E1"/>
    <mergeCell ref="G1:I1"/>
    <mergeCell ref="O1:Q1"/>
    <mergeCell ref="K2:K3"/>
    <mergeCell ref="C5:E5"/>
    <mergeCell ref="G5:I5"/>
    <mergeCell ref="K5:M5"/>
    <mergeCell ref="O5:Q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3"/>
  <sheetViews>
    <sheetView zoomScale="90" zoomScaleNormal="90" workbookViewId="0">
      <selection activeCell="M20" sqref="M20"/>
    </sheetView>
  </sheetViews>
  <sheetFormatPr defaultRowHeight="15" x14ac:dyDescent="0.25"/>
  <cols>
    <col min="7" max="7" width="9.140625" customWidth="1"/>
    <col min="9" max="9" width="11.5703125" customWidth="1"/>
    <col min="11" max="11" width="13.5703125" customWidth="1"/>
    <col min="12" max="12" width="11.140625" customWidth="1"/>
    <col min="13" max="13" width="12.140625" customWidth="1"/>
    <col min="20" max="20" width="11.42578125" customWidth="1"/>
  </cols>
  <sheetData>
    <row r="1" spans="3:23" ht="30.75" customHeight="1" thickTop="1" thickBot="1" x14ac:dyDescent="0.3">
      <c r="C1" s="51" t="s">
        <v>0</v>
      </c>
      <c r="D1" s="52"/>
      <c r="E1" s="53"/>
      <c r="F1" s="3"/>
      <c r="G1" s="54" t="s">
        <v>9</v>
      </c>
      <c r="H1" s="54"/>
      <c r="I1" s="54"/>
      <c r="J1" s="3"/>
      <c r="K1" s="8" t="s">
        <v>13</v>
      </c>
      <c r="L1" s="3"/>
      <c r="M1" s="22" t="s">
        <v>28</v>
      </c>
      <c r="O1" s="50" t="s">
        <v>34</v>
      </c>
      <c r="P1" s="50"/>
      <c r="Q1" s="50"/>
      <c r="T1" t="s">
        <v>3</v>
      </c>
      <c r="U1" t="s">
        <v>2</v>
      </c>
      <c r="V1" t="s">
        <v>4</v>
      </c>
      <c r="W1" t="s">
        <v>5</v>
      </c>
    </row>
    <row r="2" spans="3:23" ht="16.5" thickTop="1" thickBot="1" x14ac:dyDescent="0.3">
      <c r="C2" s="23" t="s">
        <v>6</v>
      </c>
      <c r="D2" s="23" t="s">
        <v>7</v>
      </c>
      <c r="E2" s="23" t="s">
        <v>8</v>
      </c>
      <c r="F2" s="3"/>
      <c r="G2" s="23" t="s">
        <v>10</v>
      </c>
      <c r="H2" s="23" t="s">
        <v>11</v>
      </c>
      <c r="I2" s="23" t="s">
        <v>12</v>
      </c>
      <c r="J2" s="3"/>
      <c r="K2" s="55">
        <v>250000</v>
      </c>
      <c r="L2" s="3"/>
      <c r="M2" s="23" t="s">
        <v>29</v>
      </c>
      <c r="O2" s="23" t="s">
        <v>35</v>
      </c>
      <c r="P2" s="23" t="s">
        <v>36</v>
      </c>
      <c r="Q2" s="23" t="s">
        <v>37</v>
      </c>
      <c r="S2">
        <v>1</v>
      </c>
      <c r="T2">
        <f>во1*х1+во21*х1+во31*х1</f>
        <v>7260</v>
      </c>
      <c r="U2">
        <f>вд1*у1*22*12</f>
        <v>7260</v>
      </c>
      <c r="V2">
        <f>(об1*у1+об2*у2+об3*у3)+д*(п1*у1+п2*у2+п3*у3)</f>
        <v>792000</v>
      </c>
    </row>
    <row r="3" spans="3:23" ht="16.5" thickTop="1" thickBot="1" x14ac:dyDescent="0.3">
      <c r="C3" s="23">
        <v>3000</v>
      </c>
      <c r="D3" s="23">
        <v>2500</v>
      </c>
      <c r="E3" s="23">
        <v>4500</v>
      </c>
      <c r="F3" s="3"/>
      <c r="G3" s="23">
        <v>2850</v>
      </c>
      <c r="H3" s="23">
        <v>2150</v>
      </c>
      <c r="I3" s="23">
        <v>4150</v>
      </c>
      <c r="J3" s="3"/>
      <c r="K3" s="64"/>
      <c r="L3" s="3"/>
      <c r="M3" s="23">
        <v>800000</v>
      </c>
      <c r="O3" s="6">
        <v>2420</v>
      </c>
      <c r="P3" s="6">
        <v>4998</v>
      </c>
      <c r="Q3" s="6">
        <v>2935</v>
      </c>
      <c r="S3">
        <v>2</v>
      </c>
      <c r="T3">
        <f>во2*х2+во22*х2+во32*х2</f>
        <v>16393.439999999999</v>
      </c>
      <c r="U3">
        <f>вд2*у2*22*12</f>
        <v>16394.400000000001</v>
      </c>
    </row>
    <row r="4" spans="3:23" ht="31.5" customHeight="1" thickTop="1" thickBot="1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  <c r="S4">
        <v>3</v>
      </c>
      <c r="T4">
        <f>во3*х3+во23*х3+во33*х3</f>
        <v>7102.7</v>
      </c>
      <c r="U4">
        <f>вд3*у3*22*12</f>
        <v>7854</v>
      </c>
    </row>
    <row r="5" spans="3:23" ht="33.75" customHeight="1" thickTop="1" thickBot="1" x14ac:dyDescent="0.3">
      <c r="C5" s="50" t="s">
        <v>42</v>
      </c>
      <c r="D5" s="50"/>
      <c r="E5" s="50"/>
      <c r="F5" s="3"/>
      <c r="G5" s="57" t="s">
        <v>42</v>
      </c>
      <c r="H5" s="58"/>
      <c r="I5" s="59"/>
      <c r="J5" s="3"/>
      <c r="K5" s="50" t="s">
        <v>42</v>
      </c>
      <c r="L5" s="50"/>
      <c r="M5" s="50"/>
      <c r="O5" s="50" t="s">
        <v>38</v>
      </c>
      <c r="P5" s="50"/>
      <c r="Q5" s="50"/>
    </row>
    <row r="6" spans="3:23" ht="16.5" thickTop="1" thickBot="1" x14ac:dyDescent="0.3">
      <c r="C6" s="23" t="s">
        <v>43</v>
      </c>
      <c r="D6" s="23" t="s">
        <v>46</v>
      </c>
      <c r="E6" s="23" t="s">
        <v>47</v>
      </c>
      <c r="F6" s="3"/>
      <c r="G6" s="23" t="s">
        <v>44</v>
      </c>
      <c r="H6" s="23" t="s">
        <v>48</v>
      </c>
      <c r="I6" s="23" t="s">
        <v>49</v>
      </c>
      <c r="J6" s="3"/>
      <c r="K6" s="23" t="s">
        <v>45</v>
      </c>
      <c r="L6" s="23" t="s">
        <v>49</v>
      </c>
      <c r="M6" s="23" t="s">
        <v>50</v>
      </c>
      <c r="O6" s="23" t="s">
        <v>39</v>
      </c>
      <c r="P6" s="23" t="s">
        <v>40</v>
      </c>
      <c r="Q6" s="23" t="s">
        <v>41</v>
      </c>
      <c r="T6" s="9" t="s">
        <v>51</v>
      </c>
    </row>
    <row r="7" spans="3:23" ht="16.5" thickTop="1" thickBot="1" x14ac:dyDescent="0.3">
      <c r="C7" s="23">
        <v>0.85</v>
      </c>
      <c r="D7" s="23">
        <v>1</v>
      </c>
      <c r="E7" s="23">
        <v>0.84</v>
      </c>
      <c r="F7" s="3"/>
      <c r="G7" s="23">
        <v>0.95</v>
      </c>
      <c r="H7" s="23">
        <v>1.5</v>
      </c>
      <c r="I7" s="23">
        <v>0.8</v>
      </c>
      <c r="J7" s="3"/>
      <c r="K7" s="23">
        <v>1.2</v>
      </c>
      <c r="L7" s="23">
        <v>0.78</v>
      </c>
      <c r="M7" s="23">
        <v>0.78</v>
      </c>
      <c r="O7" s="6">
        <v>5</v>
      </c>
      <c r="P7" s="6">
        <v>10</v>
      </c>
      <c r="Q7" s="6">
        <v>5</v>
      </c>
      <c r="S7" s="9">
        <v>1</v>
      </c>
      <c r="T7">
        <f>с1-0.1*(J21-F21)</f>
        <v>4000</v>
      </c>
    </row>
    <row r="8" spans="3:23" ht="16.5" thickTop="1" thickBot="1" x14ac:dyDescent="0.3">
      <c r="C8" s="3"/>
      <c r="D8" s="3"/>
      <c r="E8" s="3"/>
      <c r="F8" s="3"/>
      <c r="G8" s="3"/>
      <c r="H8" s="3"/>
      <c r="I8" s="3"/>
      <c r="J8" s="3"/>
      <c r="K8" s="3"/>
      <c r="L8" s="3"/>
      <c r="M8" s="3"/>
      <c r="S8" s="3">
        <v>2</v>
      </c>
      <c r="T8">
        <f>с2-0.2*(K21-G21)</f>
        <v>5100</v>
      </c>
    </row>
    <row r="9" spans="3:23" ht="41.25" customHeight="1" thickTop="1" thickBot="1" x14ac:dyDescent="0.3">
      <c r="C9" s="50" t="s">
        <v>30</v>
      </c>
      <c r="D9" s="50"/>
      <c r="E9" s="50"/>
      <c r="F9" s="3"/>
      <c r="G9" s="57" t="s">
        <v>22</v>
      </c>
      <c r="H9" s="58"/>
      <c r="I9" s="59"/>
      <c r="J9" s="3"/>
      <c r="K9" s="22" t="s">
        <v>26</v>
      </c>
      <c r="L9" s="3"/>
      <c r="O9" s="54" t="s">
        <v>1</v>
      </c>
      <c r="P9" s="54"/>
      <c r="Q9" s="7">
        <f>I29*х1+I30*х2+х3*I31-(и1*х1+и2*х2+и3*х3)-пи</f>
        <v>9482050</v>
      </c>
      <c r="R9" t="s">
        <v>65</v>
      </c>
      <c r="S9" s="3">
        <v>3</v>
      </c>
      <c r="T9">
        <f>с3-0.3*(L21-H21)</f>
        <v>3250</v>
      </c>
    </row>
    <row r="10" spans="3:23" ht="16.5" thickTop="1" thickBot="1" x14ac:dyDescent="0.3">
      <c r="C10" s="23" t="s">
        <v>31</v>
      </c>
      <c r="D10" s="23" t="s">
        <v>32</v>
      </c>
      <c r="E10" s="23" t="s">
        <v>33</v>
      </c>
      <c r="F10" s="3"/>
      <c r="G10" s="23" t="s">
        <v>23</v>
      </c>
      <c r="H10" s="23" t="s">
        <v>24</v>
      </c>
      <c r="I10" s="23" t="s">
        <v>25</v>
      </c>
      <c r="J10" s="3"/>
      <c r="K10" s="23" t="s">
        <v>27</v>
      </c>
      <c r="L10" s="3"/>
      <c r="R10" t="e">
        <f ca="1">_xludf.MAX($Q$9)</f>
        <v>#NAME?</v>
      </c>
    </row>
    <row r="11" spans="3:23" ht="16.5" thickTop="1" thickBot="1" x14ac:dyDescent="0.3">
      <c r="C11" s="23">
        <v>5.5</v>
      </c>
      <c r="D11" s="23">
        <v>6.21</v>
      </c>
      <c r="E11" s="23">
        <v>5.95</v>
      </c>
      <c r="F11" s="3"/>
      <c r="G11" s="23">
        <v>1.5</v>
      </c>
      <c r="H11" s="23">
        <v>1.6</v>
      </c>
      <c r="I11" s="23">
        <v>1.25</v>
      </c>
      <c r="J11" s="3"/>
      <c r="K11" s="23">
        <v>2000</v>
      </c>
      <c r="L11" s="3"/>
      <c r="R11">
        <f>COUNT($O$3:$Q$3,$O$7:$Q$7)</f>
        <v>6</v>
      </c>
    </row>
    <row r="12" spans="3:23" ht="16.5" customHeight="1" thickTop="1" thickBot="1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R12" t="b">
        <f>$T$2&lt;=$U$2</f>
        <v>1</v>
      </c>
    </row>
    <row r="13" spans="3:23" ht="28.5" customHeight="1" thickTop="1" thickBot="1" x14ac:dyDescent="0.3">
      <c r="C13" s="57" t="s">
        <v>18</v>
      </c>
      <c r="D13" s="58"/>
      <c r="E13" s="59"/>
      <c r="F13" s="3"/>
      <c r="G13" s="50" t="s">
        <v>14</v>
      </c>
      <c r="H13" s="50"/>
      <c r="I13" s="50"/>
      <c r="J13" s="3"/>
      <c r="K13" s="50" t="s">
        <v>70</v>
      </c>
      <c r="L13" s="50"/>
      <c r="M13" s="50"/>
      <c r="R13" t="b">
        <f>$T$3&lt;=$U$3</f>
        <v>1</v>
      </c>
    </row>
    <row r="14" spans="3:23" ht="16.5" thickTop="1" thickBot="1" x14ac:dyDescent="0.3">
      <c r="C14" s="23" t="s">
        <v>19</v>
      </c>
      <c r="D14" s="23" t="s">
        <v>20</v>
      </c>
      <c r="E14" s="23" t="s">
        <v>21</v>
      </c>
      <c r="F14" s="3"/>
      <c r="G14" s="23" t="s">
        <v>15</v>
      </c>
      <c r="H14" s="23" t="s">
        <v>16</v>
      </c>
      <c r="I14" s="23" t="s">
        <v>17</v>
      </c>
      <c r="J14" s="3"/>
      <c r="K14" s="23" t="s">
        <v>71</v>
      </c>
      <c r="L14" s="23" t="s">
        <v>72</v>
      </c>
      <c r="M14" s="23" t="s">
        <v>73</v>
      </c>
      <c r="R14" t="b">
        <f>$T$4&lt;=$U$4</f>
        <v>1</v>
      </c>
    </row>
    <row r="15" spans="3:23" ht="16.5" thickTop="1" thickBot="1" x14ac:dyDescent="0.3">
      <c r="C15" s="23">
        <v>45000</v>
      </c>
      <c r="D15" s="23">
        <v>32000</v>
      </c>
      <c r="E15" s="23">
        <v>37500</v>
      </c>
      <c r="F15" s="3"/>
      <c r="G15" s="23">
        <v>4000</v>
      </c>
      <c r="H15" s="23">
        <v>5100</v>
      </c>
      <c r="I15" s="23">
        <v>3250</v>
      </c>
      <c r="J15" s="3"/>
      <c r="K15" s="23">
        <v>0.4</v>
      </c>
      <c r="L15" s="23">
        <v>0.2</v>
      </c>
      <c r="M15" s="23">
        <v>0.35</v>
      </c>
      <c r="R15" t="b">
        <f>$V$2&lt;=ф</f>
        <v>1</v>
      </c>
    </row>
    <row r="16" spans="3:23" ht="15.75" thickTop="1" x14ac:dyDescent="0.25">
      <c r="R16" t="b">
        <f>$O$7=INT($O$7)</f>
        <v>1</v>
      </c>
    </row>
    <row r="17" spans="2:18" ht="15.75" thickBot="1" x14ac:dyDescent="0.3">
      <c r="B17" s="16" t="s">
        <v>64</v>
      </c>
      <c r="C17" s="16"/>
      <c r="D17" s="16"/>
      <c r="E17" s="16"/>
      <c r="F17" s="16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t="b">
        <f>у1&gt;=1</f>
        <v>1</v>
      </c>
    </row>
    <row r="18" spans="2:18" ht="15.75" customHeight="1" thickTop="1" thickBot="1" x14ac:dyDescent="0.3">
      <c r="C18" t="s">
        <v>52</v>
      </c>
      <c r="D18" t="s">
        <v>56</v>
      </c>
      <c r="F18" s="12"/>
      <c r="G18" s="12"/>
      <c r="I18" s="24">
        <f>Q9</f>
        <v>9482050</v>
      </c>
      <c r="J18" s="12" t="s">
        <v>78</v>
      </c>
      <c r="K18" s="12"/>
      <c r="L18" s="12"/>
      <c r="M18" s="12"/>
      <c r="N18" s="13"/>
      <c r="O18" s="13"/>
      <c r="P18" s="14"/>
      <c r="Q18" s="14"/>
      <c r="R18" t="b">
        <f>$P$7=INT($P$7)</f>
        <v>1</v>
      </c>
    </row>
    <row r="19" spans="2:18" ht="15.75" thickTop="1" x14ac:dyDescent="0.25">
      <c r="F19" s="14"/>
      <c r="G19" s="14"/>
      <c r="H19" s="14"/>
      <c r="I19" s="12"/>
      <c r="J19" s="65"/>
      <c r="K19" s="65"/>
      <c r="L19" s="65"/>
      <c r="M19" s="12"/>
      <c r="N19" s="13"/>
      <c r="O19" s="13"/>
      <c r="P19" s="14"/>
      <c r="Q19" s="14"/>
      <c r="R19" t="b">
        <f>$Q$7=INT($Q$7)</f>
        <v>1</v>
      </c>
    </row>
    <row r="20" spans="2:18" x14ac:dyDescent="0.25">
      <c r="F20" s="21"/>
      <c r="G20" s="21"/>
      <c r="H20" s="21"/>
      <c r="I20" s="12"/>
      <c r="J20" s="21"/>
      <c r="K20" s="21"/>
      <c r="L20" s="21"/>
      <c r="M20" s="12"/>
      <c r="N20" s="13"/>
      <c r="O20" s="13"/>
      <c r="P20" s="14"/>
      <c r="Q20" s="14"/>
      <c r="R20" t="b">
        <f>х1&lt;=$T$7</f>
        <v>1</v>
      </c>
    </row>
    <row r="21" spans="2:18" ht="15.75" thickBot="1" x14ac:dyDescent="0.3">
      <c r="F21" s="21"/>
      <c r="G21" s="21"/>
      <c r="H21" s="21"/>
      <c r="I21" s="12"/>
      <c r="J21" s="21"/>
      <c r="K21" s="21"/>
      <c r="L21" s="21"/>
      <c r="M21" s="12"/>
      <c r="N21" s="13"/>
      <c r="O21" s="13"/>
      <c r="P21" s="14"/>
      <c r="Q21" s="14"/>
      <c r="R21" t="b">
        <f>х1&lt;=с1</f>
        <v>1</v>
      </c>
    </row>
    <row r="22" spans="2:18" ht="16.5" thickTop="1" thickBot="1" x14ac:dyDescent="0.3">
      <c r="C22" t="s">
        <v>57</v>
      </c>
      <c r="D22" s="62" t="s">
        <v>58</v>
      </c>
      <c r="E22" s="62"/>
      <c r="F22" s="62"/>
      <c r="G22" s="62"/>
      <c r="H22" s="62"/>
      <c r="I22" s="23">
        <f>T2</f>
        <v>7260</v>
      </c>
      <c r="J22" s="23" t="s">
        <v>59</v>
      </c>
      <c r="K22" s="23">
        <f>U2</f>
        <v>7260</v>
      </c>
      <c r="L22" t="s">
        <v>19</v>
      </c>
      <c r="R22" t="b">
        <f>$O$3=INT($O$3)</f>
        <v>1</v>
      </c>
    </row>
    <row r="23" spans="2:18" ht="16.5" thickTop="1" thickBot="1" x14ac:dyDescent="0.3">
      <c r="I23" s="23">
        <f>T3</f>
        <v>16393.439999999999</v>
      </c>
      <c r="J23" s="23" t="s">
        <v>59</v>
      </c>
      <c r="K23" s="23">
        <f>U3</f>
        <v>16394.400000000001</v>
      </c>
      <c r="L23" t="s">
        <v>20</v>
      </c>
      <c r="R23" t="b">
        <f>х1&gt;=1</f>
        <v>1</v>
      </c>
    </row>
    <row r="24" spans="2:18" ht="16.5" thickTop="1" thickBot="1" x14ac:dyDescent="0.3">
      <c r="I24" s="23">
        <f>T4</f>
        <v>7102.7</v>
      </c>
      <c r="J24" s="23" t="s">
        <v>59</v>
      </c>
      <c r="K24" s="23">
        <f>U4</f>
        <v>7854</v>
      </c>
      <c r="L24" t="s">
        <v>21</v>
      </c>
      <c r="R24" t="b">
        <f>х2&lt;=$T$8</f>
        <v>1</v>
      </c>
    </row>
    <row r="25" spans="2:18" ht="15.75" thickTop="1" x14ac:dyDescent="0.25">
      <c r="R25" t="b">
        <f>х2&lt;=с2</f>
        <v>1</v>
      </c>
    </row>
    <row r="26" spans="2:18" x14ac:dyDescent="0.25">
      <c r="R26" t="b">
        <f>$P$3=INT($P$3)</f>
        <v>1</v>
      </c>
    </row>
    <row r="27" spans="2:18" ht="29.25" customHeight="1" x14ac:dyDescent="0.25">
      <c r="C27" s="19" t="s">
        <v>67</v>
      </c>
      <c r="D27" t="s">
        <v>74</v>
      </c>
      <c r="R27" t="b">
        <f>х3&lt;=$T$9</f>
        <v>1</v>
      </c>
    </row>
    <row r="28" spans="2:18" ht="15.75" thickBot="1" x14ac:dyDescent="0.3">
      <c r="R28" t="b">
        <f>х3&lt;=с3</f>
        <v>1</v>
      </c>
    </row>
    <row r="29" spans="2:18" ht="16.5" thickTop="1" thickBot="1" x14ac:dyDescent="0.3">
      <c r="G29" s="23">
        <f>ц1</f>
        <v>3000</v>
      </c>
      <c r="H29" s="23" t="s">
        <v>59</v>
      </c>
      <c r="I29" s="6">
        <v>3600</v>
      </c>
      <c r="J29" s="23" t="s">
        <v>59</v>
      </c>
      <c r="K29" s="23">
        <f>G29*1.2</f>
        <v>3600</v>
      </c>
      <c r="R29" t="b">
        <f>$Q$3=INT($Q$3)</f>
        <v>1</v>
      </c>
    </row>
    <row r="30" spans="2:18" ht="16.5" thickTop="1" thickBot="1" x14ac:dyDescent="0.3">
      <c r="G30" s="23">
        <f>ц2</f>
        <v>2500</v>
      </c>
      <c r="H30" s="23" t="s">
        <v>59</v>
      </c>
      <c r="I30" s="6">
        <v>3000</v>
      </c>
      <c r="J30" s="23" t="s">
        <v>59</v>
      </c>
      <c r="K30" s="23">
        <f t="shared" ref="K30:K31" si="0">G30*1.2</f>
        <v>3000</v>
      </c>
      <c r="R30">
        <f>{32767;32767;0.000001;0.01;FALSE;FALSE;FALSE;1;2;1;0.0001;FALSE}</f>
        <v>32767</v>
      </c>
    </row>
    <row r="31" spans="2:18" ht="16.5" thickTop="1" thickBot="1" x14ac:dyDescent="0.3">
      <c r="G31" s="23">
        <f>ц3</f>
        <v>4500</v>
      </c>
      <c r="H31" s="23" t="s">
        <v>59</v>
      </c>
      <c r="I31" s="6">
        <v>5400</v>
      </c>
      <c r="J31" s="23" t="s">
        <v>59</v>
      </c>
      <c r="K31" s="23">
        <f t="shared" si="0"/>
        <v>5400</v>
      </c>
      <c r="R31">
        <f>{0;0;1;100;0;FALSE;FALSE;0.075;0;0;FALSE;30}</f>
        <v>0</v>
      </c>
    </row>
    <row r="32" spans="2:18" ht="16.5" thickTop="1" thickBot="1" x14ac:dyDescent="0.3"/>
    <row r="33" spans="3:12" ht="39" customHeight="1" thickTop="1" thickBot="1" x14ac:dyDescent="0.3">
      <c r="C33" t="s">
        <v>60</v>
      </c>
      <c r="D33" s="63" t="s">
        <v>61</v>
      </c>
      <c r="E33" s="63"/>
      <c r="F33" s="63"/>
      <c r="G33" s="63"/>
      <c r="H33" s="10"/>
      <c r="I33" s="23">
        <f>V2</f>
        <v>792000</v>
      </c>
      <c r="J33" s="23" t="s">
        <v>59</v>
      </c>
      <c r="K33" s="23">
        <f>ф</f>
        <v>800000</v>
      </c>
      <c r="L33" t="s">
        <v>29</v>
      </c>
    </row>
    <row r="34" spans="3:12" ht="15.75" thickTop="1" x14ac:dyDescent="0.25"/>
    <row r="37" spans="3:12" ht="15.75" thickBot="1" x14ac:dyDescent="0.3"/>
    <row r="38" spans="3:12" ht="16.5" thickTop="1" thickBot="1" x14ac:dyDescent="0.3">
      <c r="C38" t="s">
        <v>68</v>
      </c>
      <c r="D38" s="16" t="s">
        <v>62</v>
      </c>
      <c r="E38" s="16"/>
      <c r="F38" s="16"/>
      <c r="G38" s="16"/>
      <c r="H38" s="11" t="s">
        <v>75</v>
      </c>
      <c r="I38" s="17">
        <f>х1</f>
        <v>2420</v>
      </c>
      <c r="J38" s="17" t="s">
        <v>59</v>
      </c>
      <c r="K38" s="17">
        <f>с1-K15*(I29-G29)</f>
        <v>3760</v>
      </c>
    </row>
    <row r="39" spans="3:12" ht="16.5" thickTop="1" thickBot="1" x14ac:dyDescent="0.3">
      <c r="E39" t="s">
        <v>69</v>
      </c>
      <c r="H39" t="s">
        <v>76</v>
      </c>
      <c r="I39" s="17">
        <f>х2</f>
        <v>4998</v>
      </c>
      <c r="J39" s="17" t="s">
        <v>59</v>
      </c>
      <c r="K39" s="17">
        <f>с2-L15*(I30-G30)</f>
        <v>5000</v>
      </c>
    </row>
    <row r="40" spans="3:12" ht="16.5" thickTop="1" thickBot="1" x14ac:dyDescent="0.3">
      <c r="D40" s="20"/>
      <c r="H40" t="s">
        <v>77</v>
      </c>
      <c r="I40" s="17">
        <f>х3</f>
        <v>2935</v>
      </c>
      <c r="J40" s="17" t="s">
        <v>59</v>
      </c>
      <c r="K40" s="17">
        <f>с3-M15*(I31-G31)</f>
        <v>2935</v>
      </c>
    </row>
    <row r="41" spans="3:12" ht="15.75" thickTop="1" x14ac:dyDescent="0.25">
      <c r="D41" s="20"/>
    </row>
    <row r="43" spans="3:12" x14ac:dyDescent="0.25">
      <c r="C43" t="s">
        <v>54</v>
      </c>
      <c r="D43" t="s">
        <v>63</v>
      </c>
    </row>
  </sheetData>
  <mergeCells count="17">
    <mergeCell ref="O9:P9"/>
    <mergeCell ref="C13:E13"/>
    <mergeCell ref="G13:I13"/>
    <mergeCell ref="K13:M13"/>
    <mergeCell ref="C1:E1"/>
    <mergeCell ref="G1:I1"/>
    <mergeCell ref="O1:Q1"/>
    <mergeCell ref="K2:K3"/>
    <mergeCell ref="C5:E5"/>
    <mergeCell ref="G5:I5"/>
    <mergeCell ref="K5:M5"/>
    <mergeCell ref="O5:Q5"/>
    <mergeCell ref="J19:L19"/>
    <mergeCell ref="D22:H22"/>
    <mergeCell ref="D33:G33"/>
    <mergeCell ref="C9:E9"/>
    <mergeCell ref="G9:I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9"/>
  <sheetViews>
    <sheetView zoomScale="80" zoomScaleNormal="80" workbookViewId="0">
      <selection activeCell="Q9" sqref="Q9"/>
    </sheetView>
  </sheetViews>
  <sheetFormatPr defaultRowHeight="15" x14ac:dyDescent="0.25"/>
  <cols>
    <col min="3" max="3" width="10.5703125" bestFit="1" customWidth="1"/>
    <col min="9" max="9" width="11.5703125" customWidth="1"/>
    <col min="11" max="11" width="13.5703125" customWidth="1"/>
    <col min="12" max="12" width="11.140625" customWidth="1"/>
    <col min="13" max="13" width="12.140625" customWidth="1"/>
    <col min="20" max="20" width="11.42578125" customWidth="1"/>
  </cols>
  <sheetData>
    <row r="1" spans="3:23" ht="30.75" customHeight="1" thickTop="1" thickBot="1" x14ac:dyDescent="0.3">
      <c r="C1" s="51" t="s">
        <v>0</v>
      </c>
      <c r="D1" s="52"/>
      <c r="E1" s="53"/>
      <c r="F1" s="3"/>
      <c r="G1" s="54" t="s">
        <v>9</v>
      </c>
      <c r="H1" s="54"/>
      <c r="I1" s="54"/>
      <c r="J1" s="3"/>
      <c r="K1" s="8" t="s">
        <v>13</v>
      </c>
      <c r="L1" s="3"/>
      <c r="M1" s="22" t="s">
        <v>28</v>
      </c>
      <c r="O1" s="50" t="s">
        <v>34</v>
      </c>
      <c r="P1" s="50"/>
      <c r="Q1" s="50"/>
      <c r="T1" t="s">
        <v>3</v>
      </c>
      <c r="U1" t="s">
        <v>2</v>
      </c>
      <c r="V1" t="s">
        <v>4</v>
      </c>
      <c r="W1" t="s">
        <v>5</v>
      </c>
    </row>
    <row r="2" spans="3:23" ht="16.5" thickTop="1" thickBot="1" x14ac:dyDescent="0.3">
      <c r="C2" s="23" t="s">
        <v>6</v>
      </c>
      <c r="D2" s="23" t="s">
        <v>7</v>
      </c>
      <c r="E2" s="23" t="s">
        <v>8</v>
      </c>
      <c r="F2" s="3"/>
      <c r="G2" s="23" t="s">
        <v>10</v>
      </c>
      <c r="H2" s="23" t="s">
        <v>11</v>
      </c>
      <c r="I2" s="23" t="s">
        <v>12</v>
      </c>
      <c r="J2" s="3"/>
      <c r="K2" s="55">
        <v>250000</v>
      </c>
      <c r="L2" s="3"/>
      <c r="M2" s="23" t="s">
        <v>29</v>
      </c>
      <c r="O2" s="23" t="s">
        <v>35</v>
      </c>
      <c r="P2" s="23" t="s">
        <v>36</v>
      </c>
      <c r="Q2" s="23" t="s">
        <v>37</v>
      </c>
      <c r="S2">
        <v>1</v>
      </c>
      <c r="T2">
        <f>во1*х1+во2*х2+во3*х3</f>
        <v>2903.16</v>
      </c>
      <c r="U2">
        <f>вд1*у1*22*12</f>
        <v>2904</v>
      </c>
      <c r="V2">
        <f>(об1*у1+об2*у2+об3*у3)+д*(п1*у1+п2*у2+п3*у3)</f>
        <v>546400</v>
      </c>
    </row>
    <row r="3" spans="3:23" ht="16.5" thickTop="1" thickBot="1" x14ac:dyDescent="0.3">
      <c r="C3" s="23">
        <v>3200</v>
      </c>
      <c r="D3" s="23">
        <v>2500</v>
      </c>
      <c r="E3" s="23">
        <v>4500</v>
      </c>
      <c r="F3" s="3"/>
      <c r="G3" s="23">
        <v>2850</v>
      </c>
      <c r="H3" s="23">
        <v>2150</v>
      </c>
      <c r="I3" s="23">
        <v>4150</v>
      </c>
      <c r="J3" s="3"/>
      <c r="K3" s="64"/>
      <c r="L3" s="3"/>
      <c r="M3" s="23">
        <v>800000</v>
      </c>
      <c r="O3" s="6">
        <v>92</v>
      </c>
      <c r="P3" s="6">
        <v>163</v>
      </c>
      <c r="Q3" s="6">
        <v>3169</v>
      </c>
      <c r="S3">
        <v>2</v>
      </c>
      <c r="T3">
        <f>во21*х1+во22*х2+во23*х3</f>
        <v>2867.1000000000004</v>
      </c>
      <c r="U3">
        <f>вд2*у2*22*12</f>
        <v>3278.88</v>
      </c>
    </row>
    <row r="4" spans="3:23" ht="31.5" customHeight="1" thickTop="1" thickBot="1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  <c r="S4">
        <v>3</v>
      </c>
      <c r="T4">
        <f>во31*х1+во32*х2+во33*х3</f>
        <v>2709.36</v>
      </c>
      <c r="U4">
        <f>вд3*у3*22*12</f>
        <v>3141.6000000000004</v>
      </c>
    </row>
    <row r="5" spans="3:23" ht="33.75" customHeight="1" thickTop="1" thickBot="1" x14ac:dyDescent="0.3">
      <c r="C5" s="50" t="s">
        <v>42</v>
      </c>
      <c r="D5" s="50"/>
      <c r="E5" s="50"/>
      <c r="F5" s="3"/>
      <c r="G5" s="57" t="s">
        <v>42</v>
      </c>
      <c r="H5" s="58"/>
      <c r="I5" s="59"/>
      <c r="J5" s="3"/>
      <c r="K5" s="50" t="s">
        <v>42</v>
      </c>
      <c r="L5" s="50"/>
      <c r="M5" s="50"/>
      <c r="O5" s="50" t="s">
        <v>38</v>
      </c>
      <c r="P5" s="50"/>
      <c r="Q5" s="50"/>
    </row>
    <row r="6" spans="3:23" ht="16.5" thickTop="1" thickBot="1" x14ac:dyDescent="0.3">
      <c r="C6" s="23" t="s">
        <v>43</v>
      </c>
      <c r="D6" s="23" t="s">
        <v>46</v>
      </c>
      <c r="E6" s="23" t="s">
        <v>47</v>
      </c>
      <c r="F6" s="3"/>
      <c r="G6" s="23" t="s">
        <v>44</v>
      </c>
      <c r="H6" s="23" t="s">
        <v>48</v>
      </c>
      <c r="I6" s="23" t="s">
        <v>49</v>
      </c>
      <c r="J6" s="3"/>
      <c r="K6" s="23" t="s">
        <v>45</v>
      </c>
      <c r="L6" s="23" t="s">
        <v>49</v>
      </c>
      <c r="M6" s="23" t="s">
        <v>50</v>
      </c>
      <c r="O6" s="23" t="s">
        <v>39</v>
      </c>
      <c r="P6" s="23" t="s">
        <v>40</v>
      </c>
      <c r="Q6" s="23" t="s">
        <v>41</v>
      </c>
      <c r="T6" s="9" t="s">
        <v>51</v>
      </c>
    </row>
    <row r="7" spans="3:23" ht="16.5" thickTop="1" thickBot="1" x14ac:dyDescent="0.3">
      <c r="C7" s="23">
        <v>0.85</v>
      </c>
      <c r="D7" s="23">
        <v>1</v>
      </c>
      <c r="E7" s="23">
        <v>0.84</v>
      </c>
      <c r="F7" s="3"/>
      <c r="G7" s="23">
        <v>0.95</v>
      </c>
      <c r="H7" s="23">
        <v>1.5</v>
      </c>
      <c r="I7" s="23">
        <v>0.8</v>
      </c>
      <c r="J7" s="3"/>
      <c r="K7" s="23">
        <v>1.2</v>
      </c>
      <c r="L7" s="23">
        <v>0.78</v>
      </c>
      <c r="M7" s="23">
        <v>0.78</v>
      </c>
      <c r="O7" s="6">
        <v>2</v>
      </c>
      <c r="P7" s="6">
        <v>2</v>
      </c>
      <c r="Q7" s="6">
        <v>2</v>
      </c>
      <c r="S7" s="9">
        <v>1</v>
      </c>
      <c r="T7">
        <f>с1-0.1*(J21-F21)</f>
        <v>4000</v>
      </c>
    </row>
    <row r="8" spans="3:23" ht="16.5" thickTop="1" thickBot="1" x14ac:dyDescent="0.3">
      <c r="C8" s="3"/>
      <c r="D8" s="3"/>
      <c r="E8" s="3"/>
      <c r="F8" s="3"/>
      <c r="G8" s="3"/>
      <c r="H8" s="3"/>
      <c r="I8" s="3"/>
      <c r="J8" s="3"/>
      <c r="K8" s="3"/>
      <c r="L8" s="3"/>
      <c r="M8" s="3"/>
      <c r="S8" s="3">
        <v>2</v>
      </c>
      <c r="T8">
        <f>с2-0.2*(K21-G21)</f>
        <v>5100</v>
      </c>
    </row>
    <row r="9" spans="3:23" ht="41.25" customHeight="1" thickTop="1" thickBot="1" x14ac:dyDescent="0.3">
      <c r="C9" s="50" t="s">
        <v>30</v>
      </c>
      <c r="D9" s="50"/>
      <c r="E9" s="50"/>
      <c r="F9" s="3"/>
      <c r="G9" s="57" t="s">
        <v>22</v>
      </c>
      <c r="H9" s="58"/>
      <c r="I9" s="59"/>
      <c r="J9" s="3"/>
      <c r="K9" s="22" t="s">
        <v>26</v>
      </c>
      <c r="L9" s="3"/>
      <c r="M9" s="23" t="s">
        <v>86</v>
      </c>
      <c r="O9" s="54" t="s">
        <v>1</v>
      </c>
      <c r="P9" s="54"/>
      <c r="Q9" s="7">
        <f>(K15*х1+L15*х2+M15*х3)/(у1*об1+у2*об2+у3*об3+д*(п1*у1+п2*у2+п3*у3))</f>
        <v>2.1932650073206443</v>
      </c>
      <c r="R9" t="s">
        <v>65</v>
      </c>
      <c r="S9" s="3">
        <v>3</v>
      </c>
      <c r="T9">
        <f>с3-0.3*(L21-H21)</f>
        <v>3250</v>
      </c>
    </row>
    <row r="10" spans="3:23" ht="16.5" thickTop="1" thickBot="1" x14ac:dyDescent="0.3">
      <c r="C10" s="23" t="s">
        <v>31</v>
      </c>
      <c r="D10" s="23" t="s">
        <v>32</v>
      </c>
      <c r="E10" s="23" t="s">
        <v>33</v>
      </c>
      <c r="F10" s="3"/>
      <c r="G10" s="23" t="s">
        <v>23</v>
      </c>
      <c r="H10" s="23" t="s">
        <v>24</v>
      </c>
      <c r="I10" s="23" t="s">
        <v>25</v>
      </c>
      <c r="J10" s="3"/>
      <c r="K10" s="23" t="s">
        <v>27</v>
      </c>
      <c r="L10" s="3"/>
      <c r="M10" s="23" t="s">
        <v>86</v>
      </c>
      <c r="R10" t="e">
        <f ca="1">_xludf.MAX($Q$9)</f>
        <v>#NAME?</v>
      </c>
    </row>
    <row r="11" spans="3:23" ht="16.5" thickTop="1" thickBot="1" x14ac:dyDescent="0.3">
      <c r="C11" s="23">
        <v>5.5</v>
      </c>
      <c r="D11" s="23">
        <v>6.21</v>
      </c>
      <c r="E11" s="23">
        <v>5.95</v>
      </c>
      <c r="F11" s="3"/>
      <c r="G11" s="23">
        <v>1.5</v>
      </c>
      <c r="H11" s="23">
        <v>1.6</v>
      </c>
      <c r="I11" s="23">
        <v>1.25</v>
      </c>
      <c r="J11" s="3"/>
      <c r="K11" s="23">
        <v>2000</v>
      </c>
      <c r="L11" s="3"/>
      <c r="M11" s="23">
        <v>115500</v>
      </c>
      <c r="R11">
        <f>COUNT($O$3:$Q$3,$O$7:$Q$7)</f>
        <v>6</v>
      </c>
    </row>
    <row r="12" spans="3:23" ht="16.5" customHeight="1" thickTop="1" thickBot="1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R12" t="b">
        <f>$T$2&lt;=$U$2</f>
        <v>1</v>
      </c>
    </row>
    <row r="13" spans="3:23" ht="18.75" customHeight="1" thickTop="1" thickBot="1" x14ac:dyDescent="0.3">
      <c r="C13" s="57" t="s">
        <v>18</v>
      </c>
      <c r="D13" s="58"/>
      <c r="E13" s="59"/>
      <c r="F13" s="3"/>
      <c r="G13" s="50" t="s">
        <v>14</v>
      </c>
      <c r="H13" s="50"/>
      <c r="I13" s="50"/>
      <c r="J13" s="3"/>
      <c r="K13" s="54" t="s">
        <v>80</v>
      </c>
      <c r="L13" s="54"/>
      <c r="M13" s="54"/>
      <c r="R13" t="b">
        <f>$T$3&lt;=$U$3</f>
        <v>1</v>
      </c>
    </row>
    <row r="14" spans="3:23" ht="16.5" thickTop="1" thickBot="1" x14ac:dyDescent="0.3">
      <c r="C14" s="23" t="s">
        <v>19</v>
      </c>
      <c r="D14" s="23" t="s">
        <v>20</v>
      </c>
      <c r="E14" s="23" t="s">
        <v>21</v>
      </c>
      <c r="F14" s="3"/>
      <c r="G14" s="23" t="s">
        <v>15</v>
      </c>
      <c r="H14" s="23" t="s">
        <v>16</v>
      </c>
      <c r="I14" s="23" t="s">
        <v>17</v>
      </c>
      <c r="J14" s="3"/>
      <c r="K14" s="23" t="s">
        <v>81</v>
      </c>
      <c r="L14" s="23" t="s">
        <v>82</v>
      </c>
      <c r="M14" s="23" t="s">
        <v>83</v>
      </c>
      <c r="R14" t="b">
        <f>$T$4&lt;=$U$4</f>
        <v>1</v>
      </c>
    </row>
    <row r="15" spans="3:23" ht="16.5" thickTop="1" thickBot="1" x14ac:dyDescent="0.3">
      <c r="C15" s="23">
        <v>105000</v>
      </c>
      <c r="D15" s="23">
        <v>92000</v>
      </c>
      <c r="E15" s="23">
        <v>67500</v>
      </c>
      <c r="F15" s="3"/>
      <c r="G15" s="23">
        <v>4000</v>
      </c>
      <c r="H15" s="23">
        <v>5100</v>
      </c>
      <c r="I15" s="23">
        <v>3250</v>
      </c>
      <c r="J15" s="3"/>
      <c r="K15" s="23">
        <f>ц1-и1</f>
        <v>350</v>
      </c>
      <c r="L15" s="23">
        <f>ц2-и2</f>
        <v>350</v>
      </c>
      <c r="M15" s="23">
        <f>ц3-и3</f>
        <v>350</v>
      </c>
      <c r="R15" t="b">
        <f>$V$2&lt;=ф</f>
        <v>1</v>
      </c>
    </row>
    <row r="16" spans="3:23" ht="15.75" thickTop="1" x14ac:dyDescent="0.25">
      <c r="R16" t="b">
        <f>$O$7=INT($O$7)</f>
        <v>1</v>
      </c>
    </row>
    <row r="17" spans="2:21" ht="15.75" thickBot="1" x14ac:dyDescent="0.3">
      <c r="B17" s="61" t="s">
        <v>55</v>
      </c>
      <c r="C17" s="62"/>
      <c r="D17" s="62"/>
      <c r="E17" s="62"/>
      <c r="F17" s="6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t="b">
        <f>у1&gt;=1</f>
        <v>1</v>
      </c>
      <c r="U17" s="18" t="s">
        <v>66</v>
      </c>
    </row>
    <row r="18" spans="2:21" ht="15.75" customHeight="1" thickTop="1" thickBot="1" x14ac:dyDescent="0.3">
      <c r="C18" s="25" t="s">
        <v>84</v>
      </c>
      <c r="D18" t="s">
        <v>79</v>
      </c>
      <c r="F18" s="12"/>
      <c r="G18" s="12"/>
      <c r="I18" s="24">
        <f>Q9</f>
        <v>2.1932650073206443</v>
      </c>
      <c r="J18" s="12"/>
      <c r="K18" s="12"/>
      <c r="L18" s="12"/>
      <c r="M18" s="12"/>
      <c r="N18" s="13"/>
      <c r="O18" s="13"/>
      <c r="P18" s="14"/>
      <c r="Q18" s="14"/>
      <c r="R18" t="b">
        <f>$P$7=INT($P$7)</f>
        <v>1</v>
      </c>
    </row>
    <row r="19" spans="2:21" ht="15.75" thickTop="1" x14ac:dyDescent="0.25">
      <c r="F19" s="14"/>
      <c r="G19" s="14"/>
      <c r="H19" s="14"/>
      <c r="I19" s="12"/>
      <c r="J19" s="65"/>
      <c r="K19" s="65"/>
      <c r="L19" s="65"/>
      <c r="M19" s="12"/>
      <c r="N19" s="13"/>
      <c r="O19" s="13"/>
      <c r="P19" s="14"/>
      <c r="Q19" s="14"/>
      <c r="R19" t="b">
        <f>$Q$7=INT($Q$7)</f>
        <v>1</v>
      </c>
    </row>
    <row r="20" spans="2:21" x14ac:dyDescent="0.25">
      <c r="F20" s="21"/>
      <c r="G20" s="21"/>
      <c r="H20" s="21"/>
      <c r="I20" s="12"/>
      <c r="J20" s="21"/>
      <c r="K20" s="21"/>
      <c r="L20" s="21"/>
      <c r="M20" s="12"/>
      <c r="N20" s="13"/>
      <c r="O20" s="13"/>
      <c r="P20" s="14"/>
      <c r="Q20" s="14"/>
      <c r="R20" t="b">
        <f>х1&lt;=$T$7</f>
        <v>1</v>
      </c>
    </row>
    <row r="21" spans="2:21" x14ac:dyDescent="0.25">
      <c r="F21" s="21"/>
      <c r="G21" s="21"/>
      <c r="H21" s="21"/>
      <c r="I21" s="12"/>
      <c r="J21" s="21"/>
      <c r="K21" s="21"/>
      <c r="L21" s="21"/>
      <c r="M21" s="12"/>
      <c r="O21" s="13"/>
      <c r="P21" s="14"/>
      <c r="Q21" s="14"/>
      <c r="R21" t="b">
        <f>х1&lt;=с1</f>
        <v>1</v>
      </c>
    </row>
    <row r="22" spans="2:21" ht="15.75" thickBot="1" x14ac:dyDescent="0.3">
      <c r="C22" t="s">
        <v>87</v>
      </c>
      <c r="D22" t="s">
        <v>88</v>
      </c>
      <c r="F22" s="21"/>
      <c r="G22" s="21"/>
      <c r="H22" s="21"/>
      <c r="I22" s="32" t="s">
        <v>97</v>
      </c>
      <c r="J22" s="21"/>
      <c r="K22" s="27" t="s">
        <v>86</v>
      </c>
      <c r="L22" s="21"/>
      <c r="M22" s="12"/>
      <c r="O22" s="13"/>
      <c r="P22" s="14"/>
      <c r="Q22" s="14"/>
      <c r="R22" t="b">
        <f>$O$3=INT($O$3)</f>
        <v>1</v>
      </c>
    </row>
    <row r="23" spans="2:21" ht="16.5" thickTop="1" thickBot="1" x14ac:dyDescent="0.3">
      <c r="F23" s="21"/>
      <c r="G23" s="28">
        <v>0</v>
      </c>
      <c r="H23" s="28" t="s">
        <v>95</v>
      </c>
      <c r="I23" s="29">
        <v>650000</v>
      </c>
      <c r="J23" s="28" t="s">
        <v>59</v>
      </c>
      <c r="K23" s="28">
        <f>M11</f>
        <v>115500</v>
      </c>
      <c r="L23" s="21"/>
      <c r="M23" s="12"/>
      <c r="O23" s="13"/>
      <c r="P23" s="14"/>
      <c r="Q23" s="14"/>
      <c r="R23" t="b">
        <f>х1&gt;=1</f>
        <v>1</v>
      </c>
    </row>
    <row r="24" spans="2:21" ht="15.75" thickTop="1" x14ac:dyDescent="0.25">
      <c r="F24" s="21"/>
      <c r="G24" s="26" t="s">
        <v>89</v>
      </c>
      <c r="H24" s="21"/>
      <c r="I24" s="12"/>
      <c r="J24" s="21"/>
      <c r="K24" s="21"/>
      <c r="L24" s="21"/>
      <c r="M24" s="12"/>
      <c r="O24" s="13"/>
      <c r="P24" s="14"/>
      <c r="Q24" s="14"/>
      <c r="R24" t="b">
        <f>х2&lt;=$T$8</f>
        <v>1</v>
      </c>
    </row>
    <row r="25" spans="2:21" x14ac:dyDescent="0.25">
      <c r="F25" s="21"/>
      <c r="G25" s="26"/>
      <c r="H25" s="21"/>
      <c r="I25" s="12"/>
      <c r="J25" s="21"/>
      <c r="K25" s="21"/>
      <c r="L25" s="21"/>
      <c r="M25" s="12"/>
      <c r="O25" s="13"/>
      <c r="P25" s="14"/>
      <c r="Q25" s="14"/>
      <c r="R25" t="b">
        <f>х2&lt;=с2</f>
        <v>1</v>
      </c>
    </row>
    <row r="26" spans="2:21" x14ac:dyDescent="0.25">
      <c r="C26" t="s">
        <v>90</v>
      </c>
      <c r="D26" t="s">
        <v>91</v>
      </c>
      <c r="F26" s="21"/>
      <c r="G26" s="26"/>
      <c r="H26" s="21"/>
      <c r="I26" s="12"/>
      <c r="J26" s="21"/>
      <c r="K26" s="21"/>
      <c r="L26" s="21"/>
      <c r="M26" s="12"/>
      <c r="O26" s="13"/>
      <c r="P26" s="14"/>
      <c r="Q26" s="14"/>
      <c r="R26" t="b">
        <f>$P$3=INT($P$3)</f>
        <v>1</v>
      </c>
    </row>
    <row r="27" spans="2:21" ht="15.75" thickBot="1" x14ac:dyDescent="0.3">
      <c r="F27" s="21"/>
      <c r="G27" s="26"/>
      <c r="H27" s="21"/>
      <c r="I27" s="12"/>
      <c r="J27" s="21"/>
      <c r="K27" s="21"/>
      <c r="L27" s="21"/>
      <c r="M27" s="12"/>
      <c r="O27" s="13"/>
      <c r="P27" s="14"/>
      <c r="Q27" s="14"/>
      <c r="R27" t="b">
        <f>х3&lt;=$T$9</f>
        <v>1</v>
      </c>
    </row>
    <row r="28" spans="2:21" ht="16.5" thickTop="1" thickBot="1" x14ac:dyDescent="0.3">
      <c r="F28" s="21"/>
      <c r="G28" s="26"/>
      <c r="H28" s="21"/>
      <c r="I28" s="30">
        <f>ц1*х1+ц2*х2+ц3*х3-и1*х1-и2*х2-и3*х3-пи</f>
        <v>948400</v>
      </c>
      <c r="J28" s="28" t="s">
        <v>96</v>
      </c>
      <c r="K28" s="31">
        <f>I23</f>
        <v>650000</v>
      </c>
      <c r="L28" s="21"/>
      <c r="M28" s="12"/>
      <c r="O28" s="13"/>
      <c r="P28" s="14"/>
      <c r="Q28" s="14"/>
      <c r="R28" t="b">
        <f>х3&lt;=с3</f>
        <v>1</v>
      </c>
    </row>
    <row r="29" spans="2:21" ht="15.75" thickTop="1" x14ac:dyDescent="0.25">
      <c r="F29" s="21"/>
      <c r="G29" s="21"/>
      <c r="H29" s="21"/>
      <c r="I29" s="12"/>
      <c r="J29" s="21"/>
      <c r="K29" s="21"/>
      <c r="L29" s="21"/>
      <c r="M29" s="12"/>
      <c r="O29" s="13"/>
      <c r="P29" s="14"/>
      <c r="Q29" s="14"/>
      <c r="R29" t="b">
        <f>$Q$3=INT($Q$3)</f>
        <v>1</v>
      </c>
    </row>
    <row r="30" spans="2:21" ht="15.75" thickBot="1" x14ac:dyDescent="0.3">
      <c r="F30" s="21"/>
      <c r="G30" s="21"/>
      <c r="H30" s="21"/>
      <c r="I30" s="12"/>
      <c r="J30" s="21"/>
      <c r="K30" s="21"/>
      <c r="L30" s="21"/>
      <c r="M30" s="12"/>
      <c r="O30" s="13"/>
      <c r="P30" s="14"/>
      <c r="Q30" s="14"/>
      <c r="R30">
        <f>{32767;32767;0.000001;0.01;FALSE;FALSE;FALSE;1;2;1;0.0001;FALSE}</f>
        <v>32767</v>
      </c>
    </row>
    <row r="31" spans="2:21" ht="16.5" thickTop="1" thickBot="1" x14ac:dyDescent="0.3">
      <c r="C31" t="s">
        <v>85</v>
      </c>
      <c r="D31" s="62" t="s">
        <v>58</v>
      </c>
      <c r="E31" s="62"/>
      <c r="F31" s="62"/>
      <c r="G31" s="62"/>
      <c r="H31" s="62"/>
      <c r="I31" s="23">
        <f>T2</f>
        <v>2903.16</v>
      </c>
      <c r="J31" s="23" t="s">
        <v>59</v>
      </c>
      <c r="K31" s="23">
        <f>U2</f>
        <v>2904</v>
      </c>
      <c r="L31" t="s">
        <v>19</v>
      </c>
      <c r="R31">
        <f>{0;0;1;100;0;FALSE;FALSE;0.075;0;0;FALSE;30}</f>
        <v>0</v>
      </c>
    </row>
    <row r="32" spans="2:21" ht="16.5" thickTop="1" thickBot="1" x14ac:dyDescent="0.3">
      <c r="I32" s="23">
        <f>T3</f>
        <v>2867.1000000000004</v>
      </c>
      <c r="J32" s="23" t="s">
        <v>59</v>
      </c>
      <c r="K32" s="23">
        <f>U3</f>
        <v>3278.88</v>
      </c>
      <c r="L32" t="s">
        <v>20</v>
      </c>
    </row>
    <row r="33" spans="3:12" ht="16.5" thickTop="1" thickBot="1" x14ac:dyDescent="0.3">
      <c r="I33" s="23">
        <f>T4</f>
        <v>2709.36</v>
      </c>
      <c r="J33" s="23" t="s">
        <v>59</v>
      </c>
      <c r="K33" s="23">
        <f>U4</f>
        <v>3141.6000000000004</v>
      </c>
      <c r="L33" t="s">
        <v>21</v>
      </c>
    </row>
    <row r="34" spans="3:12" ht="15.75" thickTop="1" x14ac:dyDescent="0.25"/>
    <row r="35" spans="3:12" ht="15.75" thickBot="1" x14ac:dyDescent="0.3"/>
    <row r="36" spans="3:12" ht="29.25" customHeight="1" thickTop="1" thickBot="1" x14ac:dyDescent="0.3">
      <c r="C36" t="s">
        <v>92</v>
      </c>
      <c r="D36" s="63" t="s">
        <v>61</v>
      </c>
      <c r="E36" s="63"/>
      <c r="F36" s="63"/>
      <c r="G36" s="63"/>
      <c r="H36" s="63"/>
      <c r="I36" s="23">
        <f>V2</f>
        <v>546400</v>
      </c>
      <c r="J36" s="23" t="s">
        <v>59</v>
      </c>
      <c r="K36" s="23">
        <f>ф</f>
        <v>800000</v>
      </c>
      <c r="L36" t="s">
        <v>29</v>
      </c>
    </row>
    <row r="37" spans="3:12" ht="15.75" thickTop="1" x14ac:dyDescent="0.25"/>
    <row r="41" spans="3:12" ht="15.75" thickBot="1" x14ac:dyDescent="0.3"/>
    <row r="42" spans="3:12" ht="16.5" thickTop="1" thickBot="1" x14ac:dyDescent="0.3">
      <c r="C42" t="s">
        <v>93</v>
      </c>
      <c r="D42" s="62" t="s">
        <v>62</v>
      </c>
      <c r="E42" s="62"/>
      <c r="F42" s="62"/>
      <c r="G42" s="62"/>
      <c r="H42" s="62"/>
      <c r="I42" s="17">
        <f>х1</f>
        <v>92</v>
      </c>
      <c r="J42" s="23" t="s">
        <v>59</v>
      </c>
      <c r="K42" s="17">
        <f>с1</f>
        <v>4000</v>
      </c>
      <c r="L42" t="s">
        <v>75</v>
      </c>
    </row>
    <row r="43" spans="3:12" ht="16.5" thickTop="1" thickBot="1" x14ac:dyDescent="0.3">
      <c r="I43" s="17">
        <f>х2</f>
        <v>163</v>
      </c>
      <c r="J43" s="23" t="s">
        <v>59</v>
      </c>
      <c r="K43" s="17">
        <f>с2</f>
        <v>5100</v>
      </c>
      <c r="L43" t="s">
        <v>76</v>
      </c>
    </row>
    <row r="44" spans="3:12" ht="16.5" thickTop="1" thickBot="1" x14ac:dyDescent="0.3">
      <c r="I44" s="17">
        <f>х3</f>
        <v>3169</v>
      </c>
      <c r="J44" s="23" t="s">
        <v>59</v>
      </c>
      <c r="K44" s="17">
        <f>с3</f>
        <v>3250</v>
      </c>
      <c r="L44" t="s">
        <v>77</v>
      </c>
    </row>
    <row r="45" spans="3:12" ht="15.75" thickTop="1" x14ac:dyDescent="0.25"/>
    <row r="47" spans="3:12" x14ac:dyDescent="0.25">
      <c r="C47" t="s">
        <v>94</v>
      </c>
      <c r="D47" t="s">
        <v>63</v>
      </c>
    </row>
    <row r="49" spans="4:4" x14ac:dyDescent="0.25">
      <c r="D49" s="18" t="s">
        <v>66</v>
      </c>
    </row>
  </sheetData>
  <mergeCells count="19">
    <mergeCell ref="C1:E1"/>
    <mergeCell ref="G1:I1"/>
    <mergeCell ref="O1:Q1"/>
    <mergeCell ref="K2:K3"/>
    <mergeCell ref="C5:E5"/>
    <mergeCell ref="G5:I5"/>
    <mergeCell ref="K5:M5"/>
    <mergeCell ref="O5:Q5"/>
    <mergeCell ref="C9:E9"/>
    <mergeCell ref="G9:I9"/>
    <mergeCell ref="O9:P9"/>
    <mergeCell ref="C13:E13"/>
    <mergeCell ref="G13:I13"/>
    <mergeCell ref="J19:L19"/>
    <mergeCell ref="D31:H31"/>
    <mergeCell ref="D36:H36"/>
    <mergeCell ref="D42:H42"/>
    <mergeCell ref="K13:M13"/>
    <mergeCell ref="B17:F1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0"/>
  <sheetViews>
    <sheetView workbookViewId="0">
      <selection activeCell="Q9" sqref="Q9"/>
    </sheetView>
  </sheetViews>
  <sheetFormatPr defaultRowHeight="15" x14ac:dyDescent="0.25"/>
  <cols>
    <col min="9" max="9" width="11.5703125" customWidth="1"/>
    <col min="11" max="11" width="13.5703125" customWidth="1"/>
    <col min="12" max="12" width="11.140625" customWidth="1"/>
    <col min="13" max="13" width="12.140625" customWidth="1"/>
    <col min="20" max="20" width="11.42578125" customWidth="1"/>
  </cols>
  <sheetData>
    <row r="1" spans="3:23" ht="30.75" customHeight="1" thickTop="1" thickBot="1" x14ac:dyDescent="0.3">
      <c r="C1" s="51" t="s">
        <v>0</v>
      </c>
      <c r="D1" s="52"/>
      <c r="E1" s="53"/>
      <c r="F1" s="3"/>
      <c r="G1" s="54" t="s">
        <v>9</v>
      </c>
      <c r="H1" s="54"/>
      <c r="I1" s="54"/>
      <c r="J1" s="3"/>
      <c r="K1" s="8" t="s">
        <v>13</v>
      </c>
      <c r="L1" s="3"/>
      <c r="M1" s="4" t="s">
        <v>28</v>
      </c>
      <c r="O1" s="50" t="s">
        <v>34</v>
      </c>
      <c r="P1" s="50"/>
      <c r="Q1" s="50"/>
      <c r="T1" t="s">
        <v>3</v>
      </c>
      <c r="U1" t="s">
        <v>2</v>
      </c>
      <c r="V1" t="s">
        <v>4</v>
      </c>
      <c r="W1" t="s">
        <v>5</v>
      </c>
    </row>
    <row r="2" spans="3:23" ht="16.5" thickTop="1" thickBot="1" x14ac:dyDescent="0.3">
      <c r="C2" s="2" t="s">
        <v>6</v>
      </c>
      <c r="D2" s="2" t="s">
        <v>7</v>
      </c>
      <c r="E2" s="2" t="s">
        <v>8</v>
      </c>
      <c r="F2" s="3"/>
      <c r="G2" s="2" t="s">
        <v>10</v>
      </c>
      <c r="H2" s="2" t="s">
        <v>11</v>
      </c>
      <c r="I2" s="2" t="s">
        <v>12</v>
      </c>
      <c r="J2" s="3"/>
      <c r="K2" s="55">
        <v>250000</v>
      </c>
      <c r="L2" s="3"/>
      <c r="M2" s="2" t="s">
        <v>29</v>
      </c>
      <c r="O2" s="2" t="s">
        <v>35</v>
      </c>
      <c r="P2" s="2" t="s">
        <v>36</v>
      </c>
      <c r="Q2" s="2" t="s">
        <v>37</v>
      </c>
      <c r="S2">
        <v>1</v>
      </c>
      <c r="T2">
        <f>во1*х1+во2*х2+во3*х3</f>
        <v>3337.05</v>
      </c>
      <c r="U2">
        <f>вд1*у1*22*12</f>
        <v>4356</v>
      </c>
      <c r="V2">
        <f>(об1*у1+об2*у2+об3*у3)+д*(п1*у1+п2*у2+п3*у3)</f>
        <v>664400</v>
      </c>
    </row>
    <row r="3" spans="3:23" ht="16.5" thickTop="1" thickBot="1" x14ac:dyDescent="0.3">
      <c r="C3" s="2">
        <v>3200</v>
      </c>
      <c r="D3" s="2">
        <v>2500</v>
      </c>
      <c r="E3" s="2">
        <v>4500</v>
      </c>
      <c r="F3" s="3"/>
      <c r="G3" s="2">
        <v>2850</v>
      </c>
      <c r="H3" s="2">
        <v>2150</v>
      </c>
      <c r="I3" s="2">
        <v>4150</v>
      </c>
      <c r="J3" s="3"/>
      <c r="K3" s="64"/>
      <c r="L3" s="3"/>
      <c r="M3" s="2">
        <v>800000</v>
      </c>
      <c r="O3" s="6">
        <v>713</v>
      </c>
      <c r="P3" s="6">
        <v>1</v>
      </c>
      <c r="Q3" s="6">
        <v>3250</v>
      </c>
      <c r="S3">
        <v>2</v>
      </c>
      <c r="T3">
        <f>во21*х1+во22*х2+во23*х3</f>
        <v>3278.85</v>
      </c>
      <c r="U3">
        <f>вд2*у2*22*12</f>
        <v>3278.88</v>
      </c>
    </row>
    <row r="4" spans="3:23" ht="31.5" customHeight="1" thickTop="1" thickBot="1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  <c r="S4">
        <v>3</v>
      </c>
      <c r="T4">
        <f>во31*х1+во32*х2+во33*х3</f>
        <v>3391.38</v>
      </c>
      <c r="U4">
        <f>вд3*у3*22*12</f>
        <v>4712.4000000000005</v>
      </c>
    </row>
    <row r="5" spans="3:23" ht="33.75" customHeight="1" thickTop="1" thickBot="1" x14ac:dyDescent="0.3">
      <c r="C5" s="50" t="s">
        <v>42</v>
      </c>
      <c r="D5" s="50"/>
      <c r="E5" s="50"/>
      <c r="F5" s="3"/>
      <c r="G5" s="57" t="s">
        <v>42</v>
      </c>
      <c r="H5" s="58"/>
      <c r="I5" s="59"/>
      <c r="J5" s="3"/>
      <c r="K5" s="50" t="s">
        <v>42</v>
      </c>
      <c r="L5" s="50"/>
      <c r="M5" s="50"/>
      <c r="O5" s="50" t="s">
        <v>38</v>
      </c>
      <c r="P5" s="50"/>
      <c r="Q5" s="50"/>
    </row>
    <row r="6" spans="3:23" ht="16.5" thickTop="1" thickBot="1" x14ac:dyDescent="0.3">
      <c r="C6" s="2" t="s">
        <v>43</v>
      </c>
      <c r="D6" s="2" t="s">
        <v>46</v>
      </c>
      <c r="E6" s="2" t="s">
        <v>47</v>
      </c>
      <c r="F6" s="3"/>
      <c r="G6" s="2" t="s">
        <v>44</v>
      </c>
      <c r="H6" s="2" t="s">
        <v>48</v>
      </c>
      <c r="I6" s="2" t="s">
        <v>49</v>
      </c>
      <c r="J6" s="3"/>
      <c r="K6" s="2" t="s">
        <v>45</v>
      </c>
      <c r="L6" s="2" t="s">
        <v>49</v>
      </c>
      <c r="M6" s="2" t="s">
        <v>50</v>
      </c>
      <c r="O6" s="2" t="s">
        <v>39</v>
      </c>
      <c r="P6" s="2" t="s">
        <v>40</v>
      </c>
      <c r="Q6" s="2" t="s">
        <v>41</v>
      </c>
      <c r="T6" s="9" t="s">
        <v>51</v>
      </c>
    </row>
    <row r="7" spans="3:23" ht="16.5" thickTop="1" thickBot="1" x14ac:dyDescent="0.3">
      <c r="C7" s="2">
        <v>0.85</v>
      </c>
      <c r="D7" s="2">
        <v>1</v>
      </c>
      <c r="E7" s="2">
        <v>0.84</v>
      </c>
      <c r="F7" s="3"/>
      <c r="G7" s="2">
        <v>0.95</v>
      </c>
      <c r="H7" s="2">
        <v>1.5</v>
      </c>
      <c r="I7" s="2">
        <v>0.8</v>
      </c>
      <c r="J7" s="3"/>
      <c r="K7" s="2">
        <v>1.2</v>
      </c>
      <c r="L7" s="2">
        <v>0.78</v>
      </c>
      <c r="M7" s="2">
        <v>0.78</v>
      </c>
      <c r="O7" s="6">
        <v>3</v>
      </c>
      <c r="P7" s="6">
        <v>2</v>
      </c>
      <c r="Q7" s="6">
        <v>3</v>
      </c>
      <c r="S7" s="9">
        <v>1</v>
      </c>
      <c r="T7">
        <f>с1-0.1*(J21-F21)</f>
        <v>4000</v>
      </c>
    </row>
    <row r="8" spans="3:23" ht="16.5" thickTop="1" thickBot="1" x14ac:dyDescent="0.3">
      <c r="C8" s="3"/>
      <c r="D8" s="3"/>
      <c r="E8" s="3"/>
      <c r="F8" s="3"/>
      <c r="G8" s="3"/>
      <c r="H8" s="3"/>
      <c r="I8" s="3"/>
      <c r="J8" s="3"/>
      <c r="K8" s="3"/>
      <c r="L8" s="3"/>
      <c r="M8" s="3"/>
      <c r="S8" s="3">
        <v>2</v>
      </c>
      <c r="T8">
        <f>с2-0.2*(K21-G21)</f>
        <v>5100</v>
      </c>
    </row>
    <row r="9" spans="3:23" ht="41.25" customHeight="1" thickTop="1" thickBot="1" x14ac:dyDescent="0.3">
      <c r="C9" s="50" t="s">
        <v>30</v>
      </c>
      <c r="D9" s="50"/>
      <c r="E9" s="50"/>
      <c r="F9" s="3"/>
      <c r="G9" s="57" t="s">
        <v>22</v>
      </c>
      <c r="H9" s="58"/>
      <c r="I9" s="59"/>
      <c r="J9" s="3"/>
      <c r="K9" s="4" t="s">
        <v>26</v>
      </c>
      <c r="L9" s="3"/>
      <c r="O9" s="54" t="s">
        <v>1</v>
      </c>
      <c r="P9" s="54"/>
      <c r="Q9" s="7">
        <f>ц1*х1+ц2*х2+х3*ц3-(и1*х1+и2*х2+и3*х3)-пи</f>
        <v>1137400</v>
      </c>
      <c r="R9" t="s">
        <v>65</v>
      </c>
      <c r="S9" s="3">
        <v>3</v>
      </c>
      <c r="T9">
        <f>с3-0.3*(L21-H21)</f>
        <v>3250</v>
      </c>
    </row>
    <row r="10" spans="3:23" ht="16.5" thickTop="1" thickBot="1" x14ac:dyDescent="0.3">
      <c r="C10" s="2" t="s">
        <v>31</v>
      </c>
      <c r="D10" s="2" t="s">
        <v>32</v>
      </c>
      <c r="E10" s="2" t="s">
        <v>33</v>
      </c>
      <c r="F10" s="3"/>
      <c r="G10" s="2" t="s">
        <v>23</v>
      </c>
      <c r="H10" s="2" t="s">
        <v>24</v>
      </c>
      <c r="I10" s="2" t="s">
        <v>25</v>
      </c>
      <c r="J10" s="3"/>
      <c r="K10" s="2" t="s">
        <v>27</v>
      </c>
      <c r="L10" s="3"/>
      <c r="R10" t="e">
        <f ca="1">_xludf.MAX($Q$9)</f>
        <v>#NAME?</v>
      </c>
    </row>
    <row r="11" spans="3:23" ht="16.5" thickTop="1" thickBot="1" x14ac:dyDescent="0.3">
      <c r="C11" s="2">
        <v>5.5</v>
      </c>
      <c r="D11" s="2">
        <v>6.21</v>
      </c>
      <c r="E11" s="2">
        <v>5.95</v>
      </c>
      <c r="F11" s="3"/>
      <c r="G11" s="2">
        <v>1.5</v>
      </c>
      <c r="H11" s="2">
        <v>1.6</v>
      </c>
      <c r="I11" s="2">
        <v>1.25</v>
      </c>
      <c r="J11" s="3"/>
      <c r="K11" s="2">
        <v>2000</v>
      </c>
      <c r="L11" s="3"/>
      <c r="R11">
        <f>COUNT($O$3:$Q$3,$O$7:$Q$7)</f>
        <v>6</v>
      </c>
    </row>
    <row r="12" spans="3:23" ht="16.5" customHeight="1" thickTop="1" thickBot="1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R12" t="b">
        <f>$T$2&lt;=$U$2</f>
        <v>1</v>
      </c>
    </row>
    <row r="13" spans="3:23" ht="18.75" customHeight="1" thickTop="1" thickBot="1" x14ac:dyDescent="0.3">
      <c r="C13" s="57" t="s">
        <v>18</v>
      </c>
      <c r="D13" s="58"/>
      <c r="E13" s="59"/>
      <c r="F13" s="3"/>
      <c r="G13" s="50" t="s">
        <v>14</v>
      </c>
      <c r="H13" s="50"/>
      <c r="I13" s="50"/>
      <c r="J13" s="3"/>
      <c r="K13" s="3"/>
      <c r="L13" s="3"/>
      <c r="M13" s="3"/>
      <c r="R13" t="b">
        <f>$T$3&lt;=$U$3</f>
        <v>1</v>
      </c>
    </row>
    <row r="14" spans="3:23" ht="16.5" thickTop="1" thickBot="1" x14ac:dyDescent="0.3">
      <c r="C14" s="2" t="s">
        <v>19</v>
      </c>
      <c r="D14" s="2" t="s">
        <v>20</v>
      </c>
      <c r="E14" s="2" t="s">
        <v>21</v>
      </c>
      <c r="F14" s="3"/>
      <c r="G14" s="2" t="s">
        <v>15</v>
      </c>
      <c r="H14" s="2" t="s">
        <v>16</v>
      </c>
      <c r="I14" s="2" t="s">
        <v>17</v>
      </c>
      <c r="J14" s="3"/>
      <c r="K14" s="3"/>
      <c r="L14" s="3"/>
      <c r="M14" s="3"/>
      <c r="R14" t="b">
        <f>$T$4&lt;=$U$4</f>
        <v>1</v>
      </c>
    </row>
    <row r="15" spans="3:23" ht="16.5" thickTop="1" thickBot="1" x14ac:dyDescent="0.3">
      <c r="C15" s="2">
        <v>85000</v>
      </c>
      <c r="D15" s="2">
        <v>92000</v>
      </c>
      <c r="E15" s="2">
        <v>67500</v>
      </c>
      <c r="F15" s="3"/>
      <c r="G15" s="2">
        <v>4000</v>
      </c>
      <c r="H15" s="2">
        <v>5100</v>
      </c>
      <c r="I15" s="2">
        <v>3250</v>
      </c>
      <c r="J15" s="3"/>
      <c r="K15" s="3"/>
      <c r="L15" s="3"/>
      <c r="M15" s="3"/>
      <c r="R15" t="b">
        <f>$V$2&lt;=ф</f>
        <v>1</v>
      </c>
    </row>
    <row r="16" spans="3:23" ht="15.75" thickTop="1" x14ac:dyDescent="0.25">
      <c r="R16" t="b">
        <f>$O$7=INT($O$7)</f>
        <v>1</v>
      </c>
    </row>
    <row r="17" spans="2:21" ht="15.75" thickBot="1" x14ac:dyDescent="0.3">
      <c r="B17" s="61" t="s">
        <v>55</v>
      </c>
      <c r="C17" s="62"/>
      <c r="D17" s="62"/>
      <c r="E17" s="62"/>
      <c r="F17" s="6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t="b">
        <f>у1&gt;=1</f>
        <v>1</v>
      </c>
      <c r="U17" s="18" t="s">
        <v>66</v>
      </c>
    </row>
    <row r="18" spans="2:21" ht="15.75" customHeight="1" thickTop="1" thickBot="1" x14ac:dyDescent="0.3">
      <c r="C18" t="s">
        <v>52</v>
      </c>
      <c r="D18" t="s">
        <v>56</v>
      </c>
      <c r="F18" s="12"/>
      <c r="G18" s="12"/>
      <c r="I18" s="24">
        <f>Q9</f>
        <v>1137400</v>
      </c>
      <c r="J18" s="12" t="s">
        <v>78</v>
      </c>
      <c r="K18" s="12"/>
      <c r="L18" s="12"/>
      <c r="M18" s="12"/>
      <c r="N18" s="13"/>
      <c r="O18" s="13"/>
      <c r="P18" s="14"/>
      <c r="Q18" s="14"/>
      <c r="R18" t="b">
        <f>$P$7=INT($P$7)</f>
        <v>1</v>
      </c>
    </row>
    <row r="19" spans="2:21" ht="15.75" thickTop="1" x14ac:dyDescent="0.25">
      <c r="F19" s="14"/>
      <c r="G19" s="14"/>
      <c r="H19" s="14"/>
      <c r="I19" s="12"/>
      <c r="J19" s="65"/>
      <c r="K19" s="65"/>
      <c r="L19" s="65"/>
      <c r="M19" s="12"/>
      <c r="N19" s="13"/>
      <c r="O19" s="13"/>
      <c r="P19" s="14"/>
      <c r="Q19" s="14"/>
      <c r="R19" t="b">
        <f>$Q$7=INT($Q$7)</f>
        <v>1</v>
      </c>
    </row>
    <row r="20" spans="2:21" x14ac:dyDescent="0.25">
      <c r="F20" s="15"/>
      <c r="G20" s="15"/>
      <c r="H20" s="15"/>
      <c r="I20" s="12"/>
      <c r="J20" s="15"/>
      <c r="K20" s="15"/>
      <c r="L20" s="15"/>
      <c r="M20" s="12"/>
      <c r="N20" s="13"/>
      <c r="O20" s="13"/>
      <c r="P20" s="14"/>
      <c r="Q20" s="14"/>
      <c r="R20" t="b">
        <f>х1&lt;=$T$7</f>
        <v>1</v>
      </c>
    </row>
    <row r="21" spans="2:21" ht="15.75" thickBot="1" x14ac:dyDescent="0.3">
      <c r="F21" s="15"/>
      <c r="G21" s="15"/>
      <c r="H21" s="15"/>
      <c r="I21" s="12"/>
      <c r="J21" s="15"/>
      <c r="K21" s="15"/>
      <c r="L21" s="15"/>
      <c r="M21" s="12"/>
      <c r="N21" s="13"/>
      <c r="O21" s="13"/>
      <c r="P21" s="14"/>
      <c r="Q21" s="14"/>
      <c r="R21" t="b">
        <f>х1&lt;=с1</f>
        <v>1</v>
      </c>
    </row>
    <row r="22" spans="2:21" ht="16.5" thickTop="1" thickBot="1" x14ac:dyDescent="0.3">
      <c r="C22" t="s">
        <v>57</v>
      </c>
      <c r="D22" s="62" t="s">
        <v>58</v>
      </c>
      <c r="E22" s="62"/>
      <c r="F22" s="62"/>
      <c r="G22" s="62"/>
      <c r="H22" s="62"/>
      <c r="I22" s="2">
        <f>T2</f>
        <v>3337.05</v>
      </c>
      <c r="J22" s="2" t="s">
        <v>59</v>
      </c>
      <c r="K22" s="2">
        <f>U2</f>
        <v>4356</v>
      </c>
      <c r="L22" t="s">
        <v>19</v>
      </c>
      <c r="R22" t="b">
        <f>$O$3=INT($O$3)</f>
        <v>1</v>
      </c>
    </row>
    <row r="23" spans="2:21" ht="16.5" thickTop="1" thickBot="1" x14ac:dyDescent="0.3">
      <c r="I23" s="2">
        <f>T3</f>
        <v>3278.85</v>
      </c>
      <c r="J23" s="2" t="s">
        <v>59</v>
      </c>
      <c r="K23" s="2">
        <f>U3</f>
        <v>3278.88</v>
      </c>
      <c r="L23" t="s">
        <v>20</v>
      </c>
      <c r="R23" t="b">
        <f>х1&gt;=1</f>
        <v>1</v>
      </c>
    </row>
    <row r="24" spans="2:21" ht="16.5" thickTop="1" thickBot="1" x14ac:dyDescent="0.3">
      <c r="I24" s="2">
        <f>T4</f>
        <v>3391.38</v>
      </c>
      <c r="J24" s="2" t="s">
        <v>59</v>
      </c>
      <c r="K24" s="2">
        <f>U4</f>
        <v>4712.4000000000005</v>
      </c>
      <c r="L24" t="s">
        <v>21</v>
      </c>
      <c r="R24" t="b">
        <f>х2&lt;=$T$8</f>
        <v>1</v>
      </c>
    </row>
    <row r="25" spans="2:21" ht="15.75" thickTop="1" x14ac:dyDescent="0.25">
      <c r="R25" t="b">
        <f>х2&lt;=с2</f>
        <v>1</v>
      </c>
    </row>
    <row r="26" spans="2:21" ht="15.75" thickBot="1" x14ac:dyDescent="0.3">
      <c r="R26" t="b">
        <f>$P$3=INT($P$3)</f>
        <v>1</v>
      </c>
    </row>
    <row r="27" spans="2:21" ht="29.25" customHeight="1" thickTop="1" thickBot="1" x14ac:dyDescent="0.3">
      <c r="C27" t="s">
        <v>60</v>
      </c>
      <c r="D27" s="63" t="s">
        <v>61</v>
      </c>
      <c r="E27" s="63"/>
      <c r="F27" s="63"/>
      <c r="G27" s="63"/>
      <c r="H27" s="63"/>
      <c r="I27" s="2">
        <f>V2</f>
        <v>664400</v>
      </c>
      <c r="J27" s="2" t="s">
        <v>59</v>
      </c>
      <c r="K27" s="2">
        <f>ф</f>
        <v>800000</v>
      </c>
      <c r="L27" t="s">
        <v>29</v>
      </c>
      <c r="R27" t="b">
        <f>х3&lt;=$T$9</f>
        <v>1</v>
      </c>
    </row>
    <row r="28" spans="2:21" ht="15.75" thickTop="1" x14ac:dyDescent="0.25">
      <c r="R28" t="b">
        <f>х3&lt;=с3</f>
        <v>1</v>
      </c>
    </row>
    <row r="29" spans="2:21" x14ac:dyDescent="0.25">
      <c r="R29" t="b">
        <f>$Q$3=INT($Q$3)</f>
        <v>1</v>
      </c>
    </row>
    <row r="30" spans="2:21" x14ac:dyDescent="0.25">
      <c r="R30">
        <f>{32767;32767;0.000001;0.01;FALSE;FALSE;FALSE;1;2;1;0.0001;FALSE}</f>
        <v>32767</v>
      </c>
    </row>
    <row r="31" spans="2:21" x14ac:dyDescent="0.25">
      <c r="R31">
        <f>{0;0;1;100;0;FALSE;FALSE;0.075;0;0;FALSE;30}</f>
        <v>0</v>
      </c>
    </row>
    <row r="32" spans="2:21" ht="15.75" thickBot="1" x14ac:dyDescent="0.3"/>
    <row r="33" spans="3:12" ht="16.5" thickTop="1" thickBot="1" x14ac:dyDescent="0.3">
      <c r="C33" t="s">
        <v>53</v>
      </c>
      <c r="D33" s="62" t="s">
        <v>62</v>
      </c>
      <c r="E33" s="62"/>
      <c r="F33" s="62"/>
      <c r="G33" s="62"/>
      <c r="H33" s="62"/>
      <c r="I33" s="17">
        <f>х1</f>
        <v>713</v>
      </c>
      <c r="J33" s="17" t="s">
        <v>59</v>
      </c>
      <c r="K33" s="17">
        <f>с1</f>
        <v>4000</v>
      </c>
      <c r="L33" t="s">
        <v>75</v>
      </c>
    </row>
    <row r="34" spans="3:12" ht="16.5" thickTop="1" thickBot="1" x14ac:dyDescent="0.3">
      <c r="I34" s="17">
        <f>х2</f>
        <v>1</v>
      </c>
      <c r="J34" s="17" t="s">
        <v>59</v>
      </c>
      <c r="K34" s="17">
        <f>с2</f>
        <v>5100</v>
      </c>
      <c r="L34" t="s">
        <v>76</v>
      </c>
    </row>
    <row r="35" spans="3:12" ht="16.5" thickTop="1" thickBot="1" x14ac:dyDescent="0.3">
      <c r="I35" s="17">
        <f>х3</f>
        <v>3250</v>
      </c>
      <c r="J35" s="17" t="s">
        <v>59</v>
      </c>
      <c r="K35" s="17">
        <f>с3</f>
        <v>3250</v>
      </c>
      <c r="L35" t="s">
        <v>77</v>
      </c>
    </row>
    <row r="36" spans="3:12" ht="15.75" thickTop="1" x14ac:dyDescent="0.25"/>
    <row r="38" spans="3:12" x14ac:dyDescent="0.25">
      <c r="C38" t="s">
        <v>54</v>
      </c>
      <c r="D38" t="s">
        <v>63</v>
      </c>
    </row>
    <row r="40" spans="3:12" x14ac:dyDescent="0.25">
      <c r="D40" s="18" t="s">
        <v>66</v>
      </c>
    </row>
  </sheetData>
  <mergeCells count="18">
    <mergeCell ref="O9:P9"/>
    <mergeCell ref="C13:E13"/>
    <mergeCell ref="G13:I13"/>
    <mergeCell ref="B17:F17"/>
    <mergeCell ref="C1:E1"/>
    <mergeCell ref="G1:I1"/>
    <mergeCell ref="O1:Q1"/>
    <mergeCell ref="K2:K3"/>
    <mergeCell ref="C5:E5"/>
    <mergeCell ref="G5:I5"/>
    <mergeCell ref="K5:M5"/>
    <mergeCell ref="O5:Q5"/>
    <mergeCell ref="J19:L19"/>
    <mergeCell ref="D22:H22"/>
    <mergeCell ref="D27:H27"/>
    <mergeCell ref="D33:H33"/>
    <mergeCell ref="C9:E9"/>
    <mergeCell ref="G9:I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3"/>
  <sheetViews>
    <sheetView zoomScale="90" zoomScaleNormal="90" workbookViewId="0">
      <selection activeCell="Q9" sqref="Q9"/>
    </sheetView>
  </sheetViews>
  <sheetFormatPr defaultRowHeight="15" x14ac:dyDescent="0.25"/>
  <cols>
    <col min="7" max="7" width="9.140625" customWidth="1"/>
    <col min="9" max="9" width="11.5703125" customWidth="1"/>
    <col min="11" max="11" width="13.5703125" customWidth="1"/>
    <col min="12" max="12" width="11.140625" customWidth="1"/>
    <col min="13" max="13" width="12.140625" customWidth="1"/>
    <col min="20" max="20" width="11.42578125" customWidth="1"/>
  </cols>
  <sheetData>
    <row r="1" spans="3:23" ht="30.75" customHeight="1" thickTop="1" thickBot="1" x14ac:dyDescent="0.3">
      <c r="C1" s="51" t="s">
        <v>0</v>
      </c>
      <c r="D1" s="52"/>
      <c r="E1" s="53"/>
      <c r="F1" s="3"/>
      <c r="G1" s="54" t="s">
        <v>9</v>
      </c>
      <c r="H1" s="54"/>
      <c r="I1" s="54"/>
      <c r="J1" s="3"/>
      <c r="K1" s="5" t="s">
        <v>13</v>
      </c>
      <c r="L1" s="3"/>
      <c r="M1" s="4" t="s">
        <v>28</v>
      </c>
      <c r="O1" s="50" t="s">
        <v>34</v>
      </c>
      <c r="P1" s="50"/>
      <c r="Q1" s="50"/>
      <c r="T1" t="s">
        <v>3</v>
      </c>
      <c r="U1" t="s">
        <v>2</v>
      </c>
      <c r="V1" t="s">
        <v>4</v>
      </c>
      <c r="W1" t="s">
        <v>5</v>
      </c>
    </row>
    <row r="2" spans="3:23" ht="16.5" thickTop="1" thickBot="1" x14ac:dyDescent="0.3">
      <c r="C2" s="1" t="s">
        <v>6</v>
      </c>
      <c r="D2" s="1" t="s">
        <v>7</v>
      </c>
      <c r="E2" s="1" t="s">
        <v>8</v>
      </c>
      <c r="F2" s="3"/>
      <c r="G2" s="1" t="s">
        <v>10</v>
      </c>
      <c r="H2" s="1" t="s">
        <v>11</v>
      </c>
      <c r="I2" s="1" t="s">
        <v>12</v>
      </c>
      <c r="J2" s="3"/>
      <c r="K2" s="55">
        <v>250000</v>
      </c>
      <c r="L2" s="3"/>
      <c r="M2" s="1" t="s">
        <v>29</v>
      </c>
      <c r="O2" s="1" t="s">
        <v>35</v>
      </c>
      <c r="P2" s="1" t="s">
        <v>36</v>
      </c>
      <c r="Q2" s="1" t="s">
        <v>37</v>
      </c>
      <c r="S2">
        <v>1</v>
      </c>
      <c r="T2">
        <f>во1*х1+во21*х1+во31*х1</f>
        <v>7260</v>
      </c>
      <c r="U2">
        <f>вд1*у1*22*12</f>
        <v>7260</v>
      </c>
      <c r="V2">
        <f>(об1*у1+об2*у2+об3*у3)+д*(п1*у1+п2*у2+п3*у3)</f>
        <v>792000</v>
      </c>
    </row>
    <row r="3" spans="3:23" ht="16.5" thickTop="1" thickBot="1" x14ac:dyDescent="0.3">
      <c r="C3" s="1">
        <v>3000</v>
      </c>
      <c r="D3" s="1">
        <v>2500</v>
      </c>
      <c r="E3" s="1">
        <v>4500</v>
      </c>
      <c r="F3" s="3"/>
      <c r="G3" s="1">
        <v>2850</v>
      </c>
      <c r="H3" s="1">
        <v>2150</v>
      </c>
      <c r="I3" s="1">
        <v>4150</v>
      </c>
      <c r="J3" s="3"/>
      <c r="K3" s="64"/>
      <c r="L3" s="3"/>
      <c r="M3" s="1">
        <v>800000</v>
      </c>
      <c r="O3" s="6">
        <v>2420</v>
      </c>
      <c r="P3" s="6">
        <v>4998</v>
      </c>
      <c r="Q3" s="6">
        <v>2935</v>
      </c>
      <c r="S3">
        <v>2</v>
      </c>
      <c r="T3">
        <f>во2*х2+во22*х2+во32*х2</f>
        <v>16393.439999999999</v>
      </c>
      <c r="U3">
        <f>вд2*у2*22*12</f>
        <v>16394.400000000001</v>
      </c>
    </row>
    <row r="4" spans="3:23" ht="31.5" customHeight="1" thickTop="1" thickBot="1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  <c r="S4">
        <v>3</v>
      </c>
      <c r="T4">
        <f>во3*х3+во23*х3+во33*х3</f>
        <v>7102.7</v>
      </c>
      <c r="U4">
        <f>вд3*у3*22*12</f>
        <v>7854</v>
      </c>
    </row>
    <row r="5" spans="3:23" ht="33.75" customHeight="1" thickTop="1" thickBot="1" x14ac:dyDescent="0.3">
      <c r="C5" s="50" t="s">
        <v>42</v>
      </c>
      <c r="D5" s="50"/>
      <c r="E5" s="50"/>
      <c r="F5" s="3"/>
      <c r="G5" s="57" t="s">
        <v>42</v>
      </c>
      <c r="H5" s="58"/>
      <c r="I5" s="59"/>
      <c r="J5" s="3"/>
      <c r="K5" s="50" t="s">
        <v>42</v>
      </c>
      <c r="L5" s="50"/>
      <c r="M5" s="50"/>
      <c r="O5" s="50" t="s">
        <v>38</v>
      </c>
      <c r="P5" s="50"/>
      <c r="Q5" s="50"/>
    </row>
    <row r="6" spans="3:23" ht="16.5" thickTop="1" thickBot="1" x14ac:dyDescent="0.3">
      <c r="C6" s="1" t="s">
        <v>43</v>
      </c>
      <c r="D6" s="1" t="s">
        <v>46</v>
      </c>
      <c r="E6" s="1" t="s">
        <v>47</v>
      </c>
      <c r="F6" s="3"/>
      <c r="G6" s="1" t="s">
        <v>44</v>
      </c>
      <c r="H6" s="1" t="s">
        <v>48</v>
      </c>
      <c r="I6" s="1" t="s">
        <v>49</v>
      </c>
      <c r="J6" s="3"/>
      <c r="K6" s="1" t="s">
        <v>45</v>
      </c>
      <c r="L6" s="1" t="s">
        <v>49</v>
      </c>
      <c r="M6" s="1" t="s">
        <v>50</v>
      </c>
      <c r="O6" s="1" t="s">
        <v>39</v>
      </c>
      <c r="P6" s="1" t="s">
        <v>40</v>
      </c>
      <c r="Q6" s="1" t="s">
        <v>41</v>
      </c>
      <c r="T6" s="9" t="s">
        <v>51</v>
      </c>
    </row>
    <row r="7" spans="3:23" ht="16.5" thickTop="1" thickBot="1" x14ac:dyDescent="0.3">
      <c r="C7" s="1">
        <v>0.85</v>
      </c>
      <c r="D7" s="1">
        <v>1</v>
      </c>
      <c r="E7" s="1">
        <v>0.84</v>
      </c>
      <c r="F7" s="3"/>
      <c r="G7" s="1">
        <v>0.95</v>
      </c>
      <c r="H7" s="1">
        <v>1.5</v>
      </c>
      <c r="I7" s="1">
        <v>0.8</v>
      </c>
      <c r="J7" s="3"/>
      <c r="K7" s="1">
        <v>1.2</v>
      </c>
      <c r="L7" s="1">
        <v>0.78</v>
      </c>
      <c r="M7" s="1">
        <v>0.78</v>
      </c>
      <c r="O7" s="6">
        <v>5</v>
      </c>
      <c r="P7" s="6">
        <v>10</v>
      </c>
      <c r="Q7" s="6">
        <v>5</v>
      </c>
      <c r="S7" s="9">
        <v>1</v>
      </c>
      <c r="T7">
        <f>с1-0.1*(J21-F21)</f>
        <v>4000</v>
      </c>
    </row>
    <row r="8" spans="3:23" ht="16.5" thickTop="1" thickBot="1" x14ac:dyDescent="0.3">
      <c r="C8" s="3"/>
      <c r="D8" s="3"/>
      <c r="E8" s="3"/>
      <c r="F8" s="3"/>
      <c r="G8" s="3"/>
      <c r="H8" s="3"/>
      <c r="I8" s="3"/>
      <c r="J8" s="3"/>
      <c r="K8" s="3"/>
      <c r="L8" s="3"/>
      <c r="M8" s="3"/>
      <c r="S8" s="3">
        <v>2</v>
      </c>
      <c r="T8">
        <f>с2-0.2*(K21-G21)</f>
        <v>5100</v>
      </c>
    </row>
    <row r="9" spans="3:23" ht="41.25" customHeight="1" thickTop="1" thickBot="1" x14ac:dyDescent="0.3">
      <c r="C9" s="50" t="s">
        <v>30</v>
      </c>
      <c r="D9" s="50"/>
      <c r="E9" s="50"/>
      <c r="F9" s="3"/>
      <c r="G9" s="57" t="s">
        <v>22</v>
      </c>
      <c r="H9" s="58"/>
      <c r="I9" s="59"/>
      <c r="J9" s="3"/>
      <c r="K9" s="4" t="s">
        <v>26</v>
      </c>
      <c r="L9" s="3"/>
      <c r="O9" s="54" t="s">
        <v>1</v>
      </c>
      <c r="P9" s="54"/>
      <c r="Q9" s="7">
        <f>I29*х1+I30*х2+х3*I31-(и1*х1+и2*х2+и3*х3)-пи</f>
        <v>9482050</v>
      </c>
      <c r="R9" t="s">
        <v>65</v>
      </c>
      <c r="S9" s="3">
        <v>3</v>
      </c>
      <c r="T9">
        <f>с3-0.3*(L21-H21)</f>
        <v>3250</v>
      </c>
    </row>
    <row r="10" spans="3:23" ht="16.5" thickTop="1" thickBot="1" x14ac:dyDescent="0.3">
      <c r="C10" s="1" t="s">
        <v>31</v>
      </c>
      <c r="D10" s="1" t="s">
        <v>32</v>
      </c>
      <c r="E10" s="1" t="s">
        <v>33</v>
      </c>
      <c r="F10" s="3"/>
      <c r="G10" s="1" t="s">
        <v>23</v>
      </c>
      <c r="H10" s="1" t="s">
        <v>24</v>
      </c>
      <c r="I10" s="1" t="s">
        <v>25</v>
      </c>
      <c r="J10" s="3"/>
      <c r="K10" s="1" t="s">
        <v>27</v>
      </c>
      <c r="L10" s="3"/>
      <c r="R10" t="e">
        <f ca="1">_xludf.MAX($Q$9)</f>
        <v>#NAME?</v>
      </c>
    </row>
    <row r="11" spans="3:23" ht="16.5" thickTop="1" thickBot="1" x14ac:dyDescent="0.3">
      <c r="C11" s="1">
        <v>5.5</v>
      </c>
      <c r="D11" s="1">
        <v>6.21</v>
      </c>
      <c r="E11" s="1">
        <v>5.95</v>
      </c>
      <c r="F11" s="3"/>
      <c r="G11" s="1">
        <v>1.5</v>
      </c>
      <c r="H11" s="1">
        <v>1.6</v>
      </c>
      <c r="I11" s="1">
        <v>1.25</v>
      </c>
      <c r="J11" s="3"/>
      <c r="K11" s="1">
        <v>2000</v>
      </c>
      <c r="L11" s="3"/>
      <c r="R11">
        <f>COUNT($O$3:$Q$3,$O$7:$Q$7)</f>
        <v>6</v>
      </c>
    </row>
    <row r="12" spans="3:23" ht="16.5" customHeight="1" thickTop="1" thickBot="1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R12" t="b">
        <f>$T$2&lt;=$U$2</f>
        <v>1</v>
      </c>
    </row>
    <row r="13" spans="3:23" ht="28.5" customHeight="1" thickTop="1" thickBot="1" x14ac:dyDescent="0.3">
      <c r="C13" s="57" t="s">
        <v>18</v>
      </c>
      <c r="D13" s="58"/>
      <c r="E13" s="59"/>
      <c r="F13" s="3"/>
      <c r="G13" s="50" t="s">
        <v>14</v>
      </c>
      <c r="H13" s="50"/>
      <c r="I13" s="50"/>
      <c r="J13" s="3"/>
      <c r="K13" s="50" t="s">
        <v>70</v>
      </c>
      <c r="L13" s="50"/>
      <c r="M13" s="50"/>
      <c r="R13" t="b">
        <f>$T$3&lt;=$U$3</f>
        <v>1</v>
      </c>
    </row>
    <row r="14" spans="3:23" ht="16.5" thickTop="1" thickBot="1" x14ac:dyDescent="0.3">
      <c r="C14" s="1" t="s">
        <v>19</v>
      </c>
      <c r="D14" s="1" t="s">
        <v>20</v>
      </c>
      <c r="E14" s="1" t="s">
        <v>21</v>
      </c>
      <c r="F14" s="3"/>
      <c r="G14" s="1" t="s">
        <v>15</v>
      </c>
      <c r="H14" s="1" t="s">
        <v>16</v>
      </c>
      <c r="I14" s="1" t="s">
        <v>17</v>
      </c>
      <c r="J14" s="3"/>
      <c r="K14" s="2" t="s">
        <v>71</v>
      </c>
      <c r="L14" s="2" t="s">
        <v>72</v>
      </c>
      <c r="M14" s="2" t="s">
        <v>73</v>
      </c>
      <c r="R14" t="b">
        <f>$T$4&lt;=$U$4</f>
        <v>1</v>
      </c>
    </row>
    <row r="15" spans="3:23" ht="16.5" thickTop="1" thickBot="1" x14ac:dyDescent="0.3">
      <c r="C15" s="1">
        <v>45000</v>
      </c>
      <c r="D15" s="1">
        <v>32000</v>
      </c>
      <c r="E15" s="1">
        <v>37500</v>
      </c>
      <c r="F15" s="3"/>
      <c r="G15" s="1">
        <v>4000</v>
      </c>
      <c r="H15" s="1">
        <v>5100</v>
      </c>
      <c r="I15" s="1">
        <v>3250</v>
      </c>
      <c r="J15" s="3"/>
      <c r="K15" s="2">
        <v>0.4</v>
      </c>
      <c r="L15" s="2">
        <v>0.2</v>
      </c>
      <c r="M15" s="2">
        <v>0.35</v>
      </c>
      <c r="R15" t="b">
        <f>$V$2&lt;=ф</f>
        <v>1</v>
      </c>
    </row>
    <row r="16" spans="3:23" ht="15.75" thickTop="1" x14ac:dyDescent="0.25">
      <c r="R16" t="b">
        <f>$O$7=INT($O$7)</f>
        <v>1</v>
      </c>
    </row>
    <row r="17" spans="2:18" ht="15.75" thickBot="1" x14ac:dyDescent="0.3">
      <c r="B17" s="16" t="s">
        <v>64</v>
      </c>
      <c r="C17" s="16"/>
      <c r="D17" s="16"/>
      <c r="E17" s="16"/>
      <c r="F17" s="16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t="b">
        <f>у1&gt;=1</f>
        <v>1</v>
      </c>
    </row>
    <row r="18" spans="2:18" ht="15.75" customHeight="1" thickTop="1" thickBot="1" x14ac:dyDescent="0.3">
      <c r="C18" t="s">
        <v>52</v>
      </c>
      <c r="D18" t="s">
        <v>56</v>
      </c>
      <c r="F18" s="12"/>
      <c r="G18" s="12"/>
      <c r="I18" s="24">
        <f>Q9</f>
        <v>9482050</v>
      </c>
      <c r="J18" s="12" t="s">
        <v>78</v>
      </c>
      <c r="K18" s="12"/>
      <c r="L18" s="12"/>
      <c r="M18" s="12"/>
      <c r="N18" s="13"/>
      <c r="O18" s="13"/>
      <c r="P18" s="14"/>
      <c r="Q18" s="14"/>
      <c r="R18" t="b">
        <f>$P$7=INT($P$7)</f>
        <v>1</v>
      </c>
    </row>
    <row r="19" spans="2:18" ht="15.75" thickTop="1" x14ac:dyDescent="0.25">
      <c r="F19" s="14"/>
      <c r="G19" s="14"/>
      <c r="H19" s="14"/>
      <c r="I19" s="12"/>
      <c r="J19" s="65"/>
      <c r="K19" s="65"/>
      <c r="L19" s="65"/>
      <c r="M19" s="12"/>
      <c r="N19" s="13"/>
      <c r="O19" s="13"/>
      <c r="P19" s="14"/>
      <c r="Q19" s="14"/>
      <c r="R19" t="b">
        <f>$Q$7=INT($Q$7)</f>
        <v>1</v>
      </c>
    </row>
    <row r="20" spans="2:18" x14ac:dyDescent="0.25">
      <c r="F20" s="15"/>
      <c r="G20" s="15"/>
      <c r="H20" s="15"/>
      <c r="I20" s="12"/>
      <c r="J20" s="15"/>
      <c r="K20" s="15"/>
      <c r="L20" s="15"/>
      <c r="M20" s="12"/>
      <c r="N20" s="13"/>
      <c r="O20" s="13"/>
      <c r="P20" s="14"/>
      <c r="Q20" s="14"/>
      <c r="R20" t="b">
        <f>х1&lt;=$T$7</f>
        <v>1</v>
      </c>
    </row>
    <row r="21" spans="2:18" ht="15.75" thickBot="1" x14ac:dyDescent="0.3">
      <c r="F21" s="15"/>
      <c r="G21" s="15"/>
      <c r="H21" s="15"/>
      <c r="I21" s="12"/>
      <c r="J21" s="15"/>
      <c r="K21" s="15"/>
      <c r="L21" s="15"/>
      <c r="M21" s="12"/>
      <c r="N21" s="13"/>
      <c r="O21" s="13"/>
      <c r="P21" s="14"/>
      <c r="Q21" s="14"/>
      <c r="R21" t="b">
        <f>х1&lt;=с1</f>
        <v>1</v>
      </c>
    </row>
    <row r="22" spans="2:18" ht="16.5" thickTop="1" thickBot="1" x14ac:dyDescent="0.3">
      <c r="C22" t="s">
        <v>57</v>
      </c>
      <c r="D22" s="62" t="s">
        <v>58</v>
      </c>
      <c r="E22" s="62"/>
      <c r="F22" s="62"/>
      <c r="G22" s="62"/>
      <c r="H22" s="62"/>
      <c r="I22" s="2">
        <f>T2</f>
        <v>7260</v>
      </c>
      <c r="J22" s="2" t="s">
        <v>59</v>
      </c>
      <c r="K22" s="2">
        <f>U2</f>
        <v>7260</v>
      </c>
      <c r="L22" t="s">
        <v>19</v>
      </c>
      <c r="R22" t="b">
        <f>$O$3=INT($O$3)</f>
        <v>1</v>
      </c>
    </row>
    <row r="23" spans="2:18" ht="16.5" thickTop="1" thickBot="1" x14ac:dyDescent="0.3">
      <c r="I23" s="2">
        <f>T3</f>
        <v>16393.439999999999</v>
      </c>
      <c r="J23" s="2" t="s">
        <v>59</v>
      </c>
      <c r="K23" s="2">
        <f>U3</f>
        <v>16394.400000000001</v>
      </c>
      <c r="L23" t="s">
        <v>20</v>
      </c>
      <c r="R23" t="b">
        <f>х1&gt;=1</f>
        <v>1</v>
      </c>
    </row>
    <row r="24" spans="2:18" ht="16.5" thickTop="1" thickBot="1" x14ac:dyDescent="0.3">
      <c r="I24" s="2">
        <f>T4</f>
        <v>7102.7</v>
      </c>
      <c r="J24" s="2" t="s">
        <v>59</v>
      </c>
      <c r="K24" s="2">
        <f>U4</f>
        <v>7854</v>
      </c>
      <c r="L24" t="s">
        <v>21</v>
      </c>
      <c r="R24" t="b">
        <f>х2&lt;=$T$8</f>
        <v>1</v>
      </c>
    </row>
    <row r="25" spans="2:18" ht="15.75" thickTop="1" x14ac:dyDescent="0.25">
      <c r="R25" t="b">
        <f>х2&lt;=с2</f>
        <v>1</v>
      </c>
    </row>
    <row r="26" spans="2:18" x14ac:dyDescent="0.25">
      <c r="R26" t="b">
        <f>$P$3=INT($P$3)</f>
        <v>1</v>
      </c>
    </row>
    <row r="27" spans="2:18" ht="29.25" customHeight="1" x14ac:dyDescent="0.25">
      <c r="C27" s="19" t="s">
        <v>67</v>
      </c>
      <c r="D27" t="s">
        <v>74</v>
      </c>
      <c r="R27" t="b">
        <f>х3&lt;=$T$9</f>
        <v>1</v>
      </c>
    </row>
    <row r="28" spans="2:18" ht="15.75" thickBot="1" x14ac:dyDescent="0.3">
      <c r="R28" t="b">
        <f>х3&lt;=с3</f>
        <v>1</v>
      </c>
    </row>
    <row r="29" spans="2:18" ht="16.5" thickTop="1" thickBot="1" x14ac:dyDescent="0.3">
      <c r="G29" s="2">
        <f>ц1</f>
        <v>3000</v>
      </c>
      <c r="H29" s="2" t="s">
        <v>59</v>
      </c>
      <c r="I29" s="6">
        <v>3600</v>
      </c>
      <c r="J29" s="2" t="s">
        <v>59</v>
      </c>
      <c r="K29" s="2">
        <f>G29*1.2</f>
        <v>3600</v>
      </c>
      <c r="R29" t="b">
        <f>$Q$3=INT($Q$3)</f>
        <v>1</v>
      </c>
    </row>
    <row r="30" spans="2:18" ht="16.5" thickTop="1" thickBot="1" x14ac:dyDescent="0.3">
      <c r="G30" s="2">
        <f>ц2</f>
        <v>2500</v>
      </c>
      <c r="H30" s="2" t="s">
        <v>59</v>
      </c>
      <c r="I30" s="6">
        <v>3000</v>
      </c>
      <c r="J30" s="2" t="s">
        <v>59</v>
      </c>
      <c r="K30" s="2">
        <f t="shared" ref="K30:K31" si="0">G30*1.2</f>
        <v>3000</v>
      </c>
      <c r="R30">
        <f>{32767;32767;0.000001;0.01;FALSE;FALSE;FALSE;1;2;1;0.0001;FALSE}</f>
        <v>32767</v>
      </c>
    </row>
    <row r="31" spans="2:18" ht="16.5" thickTop="1" thickBot="1" x14ac:dyDescent="0.3">
      <c r="G31" s="2">
        <f>ц3</f>
        <v>4500</v>
      </c>
      <c r="H31" s="2" t="s">
        <v>59</v>
      </c>
      <c r="I31" s="6">
        <v>5400</v>
      </c>
      <c r="J31" s="2" t="s">
        <v>59</v>
      </c>
      <c r="K31" s="2">
        <f t="shared" si="0"/>
        <v>5400</v>
      </c>
      <c r="R31">
        <f>{0;0;1;100;0;FALSE;FALSE;0.075;0;0;FALSE;30}</f>
        <v>0</v>
      </c>
    </row>
    <row r="32" spans="2:18" ht="16.5" thickTop="1" thickBot="1" x14ac:dyDescent="0.3"/>
    <row r="33" spans="3:12" ht="39" customHeight="1" thickTop="1" thickBot="1" x14ac:dyDescent="0.3">
      <c r="C33" t="s">
        <v>60</v>
      </c>
      <c r="D33" s="63" t="s">
        <v>61</v>
      </c>
      <c r="E33" s="63"/>
      <c r="F33" s="63"/>
      <c r="G33" s="63"/>
      <c r="H33" s="10"/>
      <c r="I33" s="2">
        <f>V2</f>
        <v>792000</v>
      </c>
      <c r="J33" s="2" t="s">
        <v>59</v>
      </c>
      <c r="K33" s="2">
        <f>ф</f>
        <v>800000</v>
      </c>
      <c r="L33" t="s">
        <v>29</v>
      </c>
    </row>
    <row r="34" spans="3:12" ht="15.75" thickTop="1" x14ac:dyDescent="0.25"/>
    <row r="37" spans="3:12" ht="15.75" thickBot="1" x14ac:dyDescent="0.3"/>
    <row r="38" spans="3:12" ht="16.5" thickTop="1" thickBot="1" x14ac:dyDescent="0.3">
      <c r="C38" t="s">
        <v>68</v>
      </c>
      <c r="D38" s="16" t="s">
        <v>62</v>
      </c>
      <c r="E38" s="16"/>
      <c r="F38" s="16"/>
      <c r="G38" s="16"/>
      <c r="H38" s="11" t="s">
        <v>75</v>
      </c>
      <c r="I38" s="17">
        <f>х1</f>
        <v>2420</v>
      </c>
      <c r="J38" s="17" t="s">
        <v>59</v>
      </c>
      <c r="K38" s="17">
        <f>с1-K15*(I29-G29)</f>
        <v>3760</v>
      </c>
    </row>
    <row r="39" spans="3:12" ht="16.5" thickTop="1" thickBot="1" x14ac:dyDescent="0.3">
      <c r="E39" t="s">
        <v>69</v>
      </c>
      <c r="H39" t="s">
        <v>76</v>
      </c>
      <c r="I39" s="17">
        <f>х2</f>
        <v>4998</v>
      </c>
      <c r="J39" s="17" t="s">
        <v>59</v>
      </c>
      <c r="K39" s="17">
        <f>с2-L15*(I30-G30)</f>
        <v>5000</v>
      </c>
    </row>
    <row r="40" spans="3:12" ht="16.5" thickTop="1" thickBot="1" x14ac:dyDescent="0.3">
      <c r="D40" s="20"/>
      <c r="H40" t="s">
        <v>77</v>
      </c>
      <c r="I40" s="17">
        <f>х3</f>
        <v>2935</v>
      </c>
      <c r="J40" s="17" t="s">
        <v>59</v>
      </c>
      <c r="K40" s="17">
        <f>с3-M15*(I31-G31)</f>
        <v>2935</v>
      </c>
    </row>
    <row r="41" spans="3:12" ht="15.75" thickTop="1" x14ac:dyDescent="0.25">
      <c r="D41" s="20"/>
    </row>
    <row r="43" spans="3:12" x14ac:dyDescent="0.25">
      <c r="C43" t="s">
        <v>54</v>
      </c>
      <c r="D43" t="s">
        <v>63</v>
      </c>
    </row>
  </sheetData>
  <mergeCells count="17">
    <mergeCell ref="K13:M13"/>
    <mergeCell ref="J19:L19"/>
    <mergeCell ref="C13:E13"/>
    <mergeCell ref="G9:I9"/>
    <mergeCell ref="O9:P9"/>
    <mergeCell ref="K2:K3"/>
    <mergeCell ref="C9:E9"/>
    <mergeCell ref="O1:Q1"/>
    <mergeCell ref="O5:Q5"/>
    <mergeCell ref="C5:E5"/>
    <mergeCell ref="G5:I5"/>
    <mergeCell ref="K5:M5"/>
    <mergeCell ref="D22:H22"/>
    <mergeCell ref="D33:G33"/>
    <mergeCell ref="C1:E1"/>
    <mergeCell ref="G1:I1"/>
    <mergeCell ref="G13:I1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288</vt:i4>
      </vt:variant>
    </vt:vector>
  </HeadingPairs>
  <TitlesOfParts>
    <vt:vector size="298" baseType="lpstr">
      <vt:lpstr>Дисконт правильно и оборудовани</vt:lpstr>
      <vt:lpstr>Дисконт правильно</vt:lpstr>
      <vt:lpstr>Заказ дисконтирование</vt:lpstr>
      <vt:lpstr>Zaki</vt:lpstr>
      <vt:lpstr>Dгр нефикс</vt:lpstr>
      <vt:lpstr>Dгр</vt:lpstr>
      <vt:lpstr>обчная</vt:lpstr>
      <vt:lpstr>обычная с изм ценой</vt:lpstr>
      <vt:lpstr>Лист2</vt:lpstr>
      <vt:lpstr>Лист3</vt:lpstr>
      <vt:lpstr>Dгр!вд1</vt:lpstr>
      <vt:lpstr>'Dгр нефикс'!вд1</vt:lpstr>
      <vt:lpstr>Zaki!вд1</vt:lpstr>
      <vt:lpstr>'Дисконт правильно'!вд1</vt:lpstr>
      <vt:lpstr>'Дисконт правильно и оборудовани'!вд1</vt:lpstr>
      <vt:lpstr>'Заказ дисконтирование'!вд1</vt:lpstr>
      <vt:lpstr>обчная!вд1</vt:lpstr>
      <vt:lpstr>вд1</vt:lpstr>
      <vt:lpstr>Dгр!вд2</vt:lpstr>
      <vt:lpstr>'Dгр нефикс'!вд2</vt:lpstr>
      <vt:lpstr>Zaki!вд2</vt:lpstr>
      <vt:lpstr>'Дисконт правильно'!вд2</vt:lpstr>
      <vt:lpstr>'Дисконт правильно и оборудовани'!вд2</vt:lpstr>
      <vt:lpstr>'Заказ дисконтирование'!вд2</vt:lpstr>
      <vt:lpstr>обчная!вд2</vt:lpstr>
      <vt:lpstr>вд2</vt:lpstr>
      <vt:lpstr>Dгр!вд3</vt:lpstr>
      <vt:lpstr>'Dгр нефикс'!вд3</vt:lpstr>
      <vt:lpstr>Zaki!вд3</vt:lpstr>
      <vt:lpstr>'Дисконт правильно'!вд3</vt:lpstr>
      <vt:lpstr>'Дисконт правильно и оборудовани'!вд3</vt:lpstr>
      <vt:lpstr>'Заказ дисконтирование'!вд3</vt:lpstr>
      <vt:lpstr>обчная!вд3</vt:lpstr>
      <vt:lpstr>вд3</vt:lpstr>
      <vt:lpstr>Dгр!во1</vt:lpstr>
      <vt:lpstr>'Dгр нефикс'!во1</vt:lpstr>
      <vt:lpstr>Zaki!во1</vt:lpstr>
      <vt:lpstr>'Дисконт правильно'!во1</vt:lpstr>
      <vt:lpstr>'Дисконт правильно и оборудовани'!во1</vt:lpstr>
      <vt:lpstr>'Заказ дисконтирование'!во1</vt:lpstr>
      <vt:lpstr>обчная!во1</vt:lpstr>
      <vt:lpstr>во1</vt:lpstr>
      <vt:lpstr>Dгр!во2</vt:lpstr>
      <vt:lpstr>'Dгр нефикс'!во2</vt:lpstr>
      <vt:lpstr>Zaki!во2</vt:lpstr>
      <vt:lpstr>'Дисконт правильно'!во2</vt:lpstr>
      <vt:lpstr>'Дисконт правильно и оборудовани'!во2</vt:lpstr>
      <vt:lpstr>'Заказ дисконтирование'!во2</vt:lpstr>
      <vt:lpstr>обчная!во2</vt:lpstr>
      <vt:lpstr>во2</vt:lpstr>
      <vt:lpstr>Dгр!во21</vt:lpstr>
      <vt:lpstr>'Dгр нефикс'!во21</vt:lpstr>
      <vt:lpstr>Zaki!во21</vt:lpstr>
      <vt:lpstr>'Дисконт правильно'!во21</vt:lpstr>
      <vt:lpstr>'Дисконт правильно и оборудовани'!во21</vt:lpstr>
      <vt:lpstr>'Заказ дисконтирование'!во21</vt:lpstr>
      <vt:lpstr>обчная!во21</vt:lpstr>
      <vt:lpstr>во21</vt:lpstr>
      <vt:lpstr>Dгр!во22</vt:lpstr>
      <vt:lpstr>'Dгр нефикс'!во22</vt:lpstr>
      <vt:lpstr>Zaki!во22</vt:lpstr>
      <vt:lpstr>'Дисконт правильно'!во22</vt:lpstr>
      <vt:lpstr>'Дисконт правильно и оборудовани'!во22</vt:lpstr>
      <vt:lpstr>'Заказ дисконтирование'!во22</vt:lpstr>
      <vt:lpstr>обчная!во22</vt:lpstr>
      <vt:lpstr>во22</vt:lpstr>
      <vt:lpstr>Dгр!во23</vt:lpstr>
      <vt:lpstr>'Dгр нефикс'!во23</vt:lpstr>
      <vt:lpstr>Zaki!во23</vt:lpstr>
      <vt:lpstr>'Дисконт правильно'!во23</vt:lpstr>
      <vt:lpstr>'Дисконт правильно и оборудовани'!во23</vt:lpstr>
      <vt:lpstr>'Заказ дисконтирование'!во23</vt:lpstr>
      <vt:lpstr>обчная!во23</vt:lpstr>
      <vt:lpstr>во23</vt:lpstr>
      <vt:lpstr>Dгр!во3</vt:lpstr>
      <vt:lpstr>'Dгр нефикс'!во3</vt:lpstr>
      <vt:lpstr>Zaki!во3</vt:lpstr>
      <vt:lpstr>'Дисконт правильно'!во3</vt:lpstr>
      <vt:lpstr>'Дисконт правильно и оборудовани'!во3</vt:lpstr>
      <vt:lpstr>'Заказ дисконтирование'!во3</vt:lpstr>
      <vt:lpstr>обчная!во3</vt:lpstr>
      <vt:lpstr>во3</vt:lpstr>
      <vt:lpstr>Dгр!во31</vt:lpstr>
      <vt:lpstr>'Dгр нефикс'!во31</vt:lpstr>
      <vt:lpstr>Zaki!во31</vt:lpstr>
      <vt:lpstr>'Дисконт правильно'!во31</vt:lpstr>
      <vt:lpstr>'Дисконт правильно и оборудовани'!во31</vt:lpstr>
      <vt:lpstr>'Заказ дисконтирование'!во31</vt:lpstr>
      <vt:lpstr>обчная!во31</vt:lpstr>
      <vt:lpstr>во31</vt:lpstr>
      <vt:lpstr>Dгр!во32</vt:lpstr>
      <vt:lpstr>'Dгр нефикс'!во32</vt:lpstr>
      <vt:lpstr>Zaki!во32</vt:lpstr>
      <vt:lpstr>'Дисконт правильно'!во32</vt:lpstr>
      <vt:lpstr>'Дисконт правильно и оборудовани'!во32</vt:lpstr>
      <vt:lpstr>'Заказ дисконтирование'!во32</vt:lpstr>
      <vt:lpstr>обчная!во32</vt:lpstr>
      <vt:lpstr>во32</vt:lpstr>
      <vt:lpstr>Dгр!во33</vt:lpstr>
      <vt:lpstr>'Dгр нефикс'!во33</vt:lpstr>
      <vt:lpstr>Zaki!во33</vt:lpstr>
      <vt:lpstr>'Дисконт правильно'!во33</vt:lpstr>
      <vt:lpstr>'Дисконт правильно и оборудовани'!во33</vt:lpstr>
      <vt:lpstr>'Заказ дисконтирование'!во33</vt:lpstr>
      <vt:lpstr>обчная!во33</vt:lpstr>
      <vt:lpstr>во33</vt:lpstr>
      <vt:lpstr>Dгр!д</vt:lpstr>
      <vt:lpstr>'Dгр нефикс'!д</vt:lpstr>
      <vt:lpstr>Zaki!д</vt:lpstr>
      <vt:lpstr>'Дисконт правильно'!д</vt:lpstr>
      <vt:lpstr>'Дисконт правильно и оборудовани'!д</vt:lpstr>
      <vt:lpstr>'Заказ дисконтирование'!д</vt:lpstr>
      <vt:lpstr>обчная!д</vt:lpstr>
      <vt:lpstr>д</vt:lpstr>
      <vt:lpstr>Dгр!и1</vt:lpstr>
      <vt:lpstr>'Dгр нефикс'!и1</vt:lpstr>
      <vt:lpstr>Zaki!и1</vt:lpstr>
      <vt:lpstr>'Дисконт правильно'!и1</vt:lpstr>
      <vt:lpstr>'Дисконт правильно и оборудовани'!и1</vt:lpstr>
      <vt:lpstr>'Заказ дисконтирование'!и1</vt:lpstr>
      <vt:lpstr>обчная!и1</vt:lpstr>
      <vt:lpstr>и1</vt:lpstr>
      <vt:lpstr>Dгр!и2</vt:lpstr>
      <vt:lpstr>'Dгр нефикс'!и2</vt:lpstr>
      <vt:lpstr>Zaki!и2</vt:lpstr>
      <vt:lpstr>'Дисконт правильно'!и2</vt:lpstr>
      <vt:lpstr>'Дисконт правильно и оборудовани'!и2</vt:lpstr>
      <vt:lpstr>'Заказ дисконтирование'!и2</vt:lpstr>
      <vt:lpstr>обчная!и2</vt:lpstr>
      <vt:lpstr>и2</vt:lpstr>
      <vt:lpstr>Dгр!и3</vt:lpstr>
      <vt:lpstr>'Dгр нефикс'!и3</vt:lpstr>
      <vt:lpstr>Zaki!и3</vt:lpstr>
      <vt:lpstr>'Дисконт правильно'!и3</vt:lpstr>
      <vt:lpstr>'Дисконт правильно и оборудовани'!и3</vt:lpstr>
      <vt:lpstr>'Заказ дисконтирование'!и3</vt:lpstr>
      <vt:lpstr>обчная!и3</vt:lpstr>
      <vt:lpstr>и3</vt:lpstr>
      <vt:lpstr>Dгр!об1</vt:lpstr>
      <vt:lpstr>'Dгр нефикс'!об1</vt:lpstr>
      <vt:lpstr>Zaki!об1</vt:lpstr>
      <vt:lpstr>'Дисконт правильно'!об1</vt:lpstr>
      <vt:lpstr>'Дисконт правильно и оборудовани'!об1</vt:lpstr>
      <vt:lpstr>'Заказ дисконтирование'!об1</vt:lpstr>
      <vt:lpstr>обчная!об1</vt:lpstr>
      <vt:lpstr>об1</vt:lpstr>
      <vt:lpstr>Dгр!об2</vt:lpstr>
      <vt:lpstr>'Dгр нефикс'!об2</vt:lpstr>
      <vt:lpstr>Zaki!об2</vt:lpstr>
      <vt:lpstr>'Дисконт правильно'!об2</vt:lpstr>
      <vt:lpstr>'Дисконт правильно и оборудовани'!об2</vt:lpstr>
      <vt:lpstr>'Заказ дисконтирование'!об2</vt:lpstr>
      <vt:lpstr>обчная!об2</vt:lpstr>
      <vt:lpstr>об2</vt:lpstr>
      <vt:lpstr>Dгр!об3</vt:lpstr>
      <vt:lpstr>'Dгр нефикс'!об3</vt:lpstr>
      <vt:lpstr>Zaki!об3</vt:lpstr>
      <vt:lpstr>'Дисконт правильно'!об3</vt:lpstr>
      <vt:lpstr>'Дисконт правильно и оборудовани'!об3</vt:lpstr>
      <vt:lpstr>'Заказ дисконтирование'!об3</vt:lpstr>
      <vt:lpstr>обчная!об3</vt:lpstr>
      <vt:lpstr>об3</vt:lpstr>
      <vt:lpstr>Dгр!п1</vt:lpstr>
      <vt:lpstr>'Dгр нефикс'!п1</vt:lpstr>
      <vt:lpstr>Zaki!п1</vt:lpstr>
      <vt:lpstr>'Дисконт правильно'!п1</vt:lpstr>
      <vt:lpstr>'Дисконт правильно и оборудовани'!п1</vt:lpstr>
      <vt:lpstr>'Заказ дисконтирование'!п1</vt:lpstr>
      <vt:lpstr>обчная!п1</vt:lpstr>
      <vt:lpstr>п1</vt:lpstr>
      <vt:lpstr>Dгр!п2</vt:lpstr>
      <vt:lpstr>'Dгр нефикс'!п2</vt:lpstr>
      <vt:lpstr>Zaki!п2</vt:lpstr>
      <vt:lpstr>'Дисконт правильно'!п2</vt:lpstr>
      <vt:lpstr>'Дисконт правильно и оборудовани'!п2</vt:lpstr>
      <vt:lpstr>'Заказ дисконтирование'!п2</vt:lpstr>
      <vt:lpstr>обчная!п2</vt:lpstr>
      <vt:lpstr>п2</vt:lpstr>
      <vt:lpstr>Dгр!п3</vt:lpstr>
      <vt:lpstr>'Dгр нефикс'!п3</vt:lpstr>
      <vt:lpstr>Zaki!п3</vt:lpstr>
      <vt:lpstr>'Дисконт правильно'!п3</vt:lpstr>
      <vt:lpstr>'Дисконт правильно и оборудовани'!п3</vt:lpstr>
      <vt:lpstr>'Заказ дисконтирование'!п3</vt:lpstr>
      <vt:lpstr>обчная!п3</vt:lpstr>
      <vt:lpstr>п3</vt:lpstr>
      <vt:lpstr>Dгр!пи</vt:lpstr>
      <vt:lpstr>'Dгр нефикс'!пи</vt:lpstr>
      <vt:lpstr>Zaki!пи</vt:lpstr>
      <vt:lpstr>'Дисконт правильно'!пи</vt:lpstr>
      <vt:lpstr>'Дисконт правильно и оборудовани'!пи</vt:lpstr>
      <vt:lpstr>'Заказ дисконтирование'!пи</vt:lpstr>
      <vt:lpstr>обчная!пи</vt:lpstr>
      <vt:lpstr>пи</vt:lpstr>
      <vt:lpstr>Dгр!с1</vt:lpstr>
      <vt:lpstr>'Dгр нефикс'!с1</vt:lpstr>
      <vt:lpstr>Zaki!с1</vt:lpstr>
      <vt:lpstr>'Дисконт правильно'!с1</vt:lpstr>
      <vt:lpstr>'Дисконт правильно и оборудовани'!с1</vt:lpstr>
      <vt:lpstr>'Заказ дисконтирование'!с1</vt:lpstr>
      <vt:lpstr>обчная!с1</vt:lpstr>
      <vt:lpstr>с1</vt:lpstr>
      <vt:lpstr>Dгр!с2</vt:lpstr>
      <vt:lpstr>'Dгр нефикс'!с2</vt:lpstr>
      <vt:lpstr>Zaki!с2</vt:lpstr>
      <vt:lpstr>'Дисконт правильно'!с2</vt:lpstr>
      <vt:lpstr>'Дисконт правильно и оборудовани'!с2</vt:lpstr>
      <vt:lpstr>'Заказ дисконтирование'!с2</vt:lpstr>
      <vt:lpstr>обчная!с2</vt:lpstr>
      <vt:lpstr>с2</vt:lpstr>
      <vt:lpstr>Dгр!с3</vt:lpstr>
      <vt:lpstr>'Dгр нефикс'!с3</vt:lpstr>
      <vt:lpstr>Zaki!с3</vt:lpstr>
      <vt:lpstr>'Дисконт правильно'!с3</vt:lpstr>
      <vt:lpstr>'Дисконт правильно и оборудовани'!с3</vt:lpstr>
      <vt:lpstr>'Заказ дисконтирование'!с3</vt:lpstr>
      <vt:lpstr>обчная!с3</vt:lpstr>
      <vt:lpstr>с3</vt:lpstr>
      <vt:lpstr>Dгр!у1</vt:lpstr>
      <vt:lpstr>'Dгр нефикс'!у1</vt:lpstr>
      <vt:lpstr>Zaki!у1</vt:lpstr>
      <vt:lpstr>'Дисконт правильно'!у1</vt:lpstr>
      <vt:lpstr>'Дисконт правильно и оборудовани'!у1</vt:lpstr>
      <vt:lpstr>'Заказ дисконтирование'!у1</vt:lpstr>
      <vt:lpstr>обчная!у1</vt:lpstr>
      <vt:lpstr>у1</vt:lpstr>
      <vt:lpstr>Dгр!у2</vt:lpstr>
      <vt:lpstr>'Dгр нефикс'!у2</vt:lpstr>
      <vt:lpstr>Zaki!у2</vt:lpstr>
      <vt:lpstr>'Дисконт правильно'!у2</vt:lpstr>
      <vt:lpstr>'Дисконт правильно и оборудовани'!у2</vt:lpstr>
      <vt:lpstr>'Заказ дисконтирование'!у2</vt:lpstr>
      <vt:lpstr>обчная!у2</vt:lpstr>
      <vt:lpstr>у2</vt:lpstr>
      <vt:lpstr>Dгр!у3</vt:lpstr>
      <vt:lpstr>'Dгр нефикс'!у3</vt:lpstr>
      <vt:lpstr>Zaki!у3</vt:lpstr>
      <vt:lpstr>'Дисконт правильно'!у3</vt:lpstr>
      <vt:lpstr>'Дисконт правильно и оборудовани'!у3</vt:lpstr>
      <vt:lpstr>'Заказ дисконтирование'!у3</vt:lpstr>
      <vt:lpstr>обчная!у3</vt:lpstr>
      <vt:lpstr>у3</vt:lpstr>
      <vt:lpstr>Dгр!ф</vt:lpstr>
      <vt:lpstr>'Dгр нефикс'!ф</vt:lpstr>
      <vt:lpstr>Zaki!ф</vt:lpstr>
      <vt:lpstr>'Дисконт правильно'!ф</vt:lpstr>
      <vt:lpstr>'Дисконт правильно и оборудовани'!ф</vt:lpstr>
      <vt:lpstr>'Заказ дисконтирование'!ф</vt:lpstr>
      <vt:lpstr>обчная!ф</vt:lpstr>
      <vt:lpstr>ф</vt:lpstr>
      <vt:lpstr>Dгр!х1</vt:lpstr>
      <vt:lpstr>'Dгр нефикс'!х1</vt:lpstr>
      <vt:lpstr>Zaki!х1</vt:lpstr>
      <vt:lpstr>'Дисконт правильно'!х1</vt:lpstr>
      <vt:lpstr>'Дисконт правильно и оборудовани'!х1</vt:lpstr>
      <vt:lpstr>'Заказ дисконтирование'!х1</vt:lpstr>
      <vt:lpstr>обчная!х1</vt:lpstr>
      <vt:lpstr>х1</vt:lpstr>
      <vt:lpstr>Dгр!х2</vt:lpstr>
      <vt:lpstr>'Dгр нефикс'!х2</vt:lpstr>
      <vt:lpstr>Zaki!х2</vt:lpstr>
      <vt:lpstr>'Дисконт правильно'!х2</vt:lpstr>
      <vt:lpstr>'Дисконт правильно и оборудовани'!х2</vt:lpstr>
      <vt:lpstr>'Заказ дисконтирование'!х2</vt:lpstr>
      <vt:lpstr>обчная!х2</vt:lpstr>
      <vt:lpstr>х2</vt:lpstr>
      <vt:lpstr>Dгр!х3</vt:lpstr>
      <vt:lpstr>'Dгр нефикс'!х3</vt:lpstr>
      <vt:lpstr>Zaki!х3</vt:lpstr>
      <vt:lpstr>'Дисконт правильно'!х3</vt:lpstr>
      <vt:lpstr>'Дисконт правильно и оборудовани'!х3</vt:lpstr>
      <vt:lpstr>'Заказ дисконтирование'!х3</vt:lpstr>
      <vt:lpstr>обчная!х3</vt:lpstr>
      <vt:lpstr>х3</vt:lpstr>
      <vt:lpstr>Dгр!ц1</vt:lpstr>
      <vt:lpstr>'Dгр нефикс'!ц1</vt:lpstr>
      <vt:lpstr>Zaki!ц1</vt:lpstr>
      <vt:lpstr>'Дисконт правильно'!ц1</vt:lpstr>
      <vt:lpstr>'Дисконт правильно и оборудовани'!ц1</vt:lpstr>
      <vt:lpstr>'Заказ дисконтирование'!ц1</vt:lpstr>
      <vt:lpstr>обчная!ц1</vt:lpstr>
      <vt:lpstr>ц1</vt:lpstr>
      <vt:lpstr>Dгр!ц2</vt:lpstr>
      <vt:lpstr>'Dгр нефикс'!ц2</vt:lpstr>
      <vt:lpstr>Zaki!ц2</vt:lpstr>
      <vt:lpstr>'Дисконт правильно'!ц2</vt:lpstr>
      <vt:lpstr>'Дисконт правильно и оборудовани'!ц2</vt:lpstr>
      <vt:lpstr>'Заказ дисконтирование'!ц2</vt:lpstr>
      <vt:lpstr>обчная!ц2</vt:lpstr>
      <vt:lpstr>ц2</vt:lpstr>
      <vt:lpstr>Dгр!ц3</vt:lpstr>
      <vt:lpstr>'Dгр нефикс'!ц3</vt:lpstr>
      <vt:lpstr>Zaki!ц3</vt:lpstr>
      <vt:lpstr>'Дисконт правильно'!ц3</vt:lpstr>
      <vt:lpstr>'Дисконт правильно и оборудовани'!ц3</vt:lpstr>
      <vt:lpstr>'Заказ дисконтирование'!ц3</vt:lpstr>
      <vt:lpstr>обчная!ц3</vt:lpstr>
      <vt:lpstr>ц3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</dc:creator>
  <cp:lastModifiedBy>Юра</cp:lastModifiedBy>
  <dcterms:created xsi:type="dcterms:W3CDTF">2020-09-20T15:04:10Z</dcterms:created>
  <dcterms:modified xsi:type="dcterms:W3CDTF">2020-10-13T13:23:56Z</dcterms:modified>
</cp:coreProperties>
</file>