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Ця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758AB6-CAAA-441C-B9E7-9F820C355575}" xr6:coauthVersionLast="47" xr6:coauthVersionMax="47" xr10:uidLastSave="{00000000-0000-0000-0000-000000000000}"/>
  <bookViews>
    <workbookView xWindow="-108" yWindow="-108" windowWidth="23256" windowHeight="12576" firstSheet="1" activeTab="4" xr2:uid="{4B40229F-8CF7-451A-BEAA-D9E85E4D35E5}"/>
  </bookViews>
  <sheets>
    <sheet name="Налаштування" sheetId="2" state="hidden" r:id="rId1"/>
    <sheet name="Планування бюджету" sheetId="5" r:id="rId2"/>
    <sheet name="Відслідковування бюджету" sheetId="6" r:id="rId3"/>
    <sheet name="Калькулятор" sheetId="7" state="hidden" r:id="rId4"/>
    <sheet name="Dashboard" sheetId="8" r:id="rId5"/>
    <sheet name="Випадаючі дані" sheetId="9" state="hidden" r:id="rId6"/>
  </sheets>
  <definedNames>
    <definedName name="budget">Dashboard!$L1</definedName>
    <definedName name="budget_range" localSheetId="4">Dashboard!$Q1</definedName>
    <definedName name="budget_rank" localSheetId="4">Dashboard!$R1</definedName>
    <definedName name="cc_budget" localSheetId="3">Калькулятор!$J1</definedName>
    <definedName name="cc_delta" localSheetId="3">Калькулятор!$K1</definedName>
    <definedName name="cc_in_focus" localSheetId="3">Калькулятор!$F1</definedName>
    <definedName name="cc_month" localSheetId="3">Калькулятор!$E1</definedName>
    <definedName name="cc_show_remaning_budget" localSheetId="3">Калькулятор!$H1</definedName>
    <definedName name="cc_show_type" localSheetId="3">Калькулятор!$G1</definedName>
    <definedName name="cc_tracked" localSheetId="3">Калькулятор!$I1</definedName>
    <definedName name="cc_type" localSheetId="3">Калькулятор!$D6</definedName>
    <definedName name="comb_rank" localSheetId="4">Dashboard!$S1</definedName>
    <definedName name="comb_rank_norm" localSheetId="4">Dashboard!$U1</definedName>
    <definedName name="comb_rank_norm_run_range" localSheetId="4">Dashboard!$V1</definedName>
    <definedName name="comb_rank_range" localSheetId="4">Dashboard!$T1</definedName>
    <definedName name="comb_rank_unique" localSheetId="4">Dashboard!$W1</definedName>
    <definedName name="current_date">TODAY()</definedName>
    <definedName name="expenses_header">ROW(Витрати[[#Headers],[Витрати]])</definedName>
    <definedName name="expenses_max">MAX(ROW(Витрати[]))</definedName>
    <definedName name="expenses_min">MIN(ROW(Витрати[]))</definedName>
    <definedName name="expenses_total">ROW('Планування бюджету'!$C$36)</definedName>
    <definedName name="header_row_id" localSheetId="4">Dashboard!$D1</definedName>
    <definedName name="income_header_row">ROW(Дохід[[#Headers],[Дохід]])</definedName>
    <definedName name="income_max">MAX(ROW(Дохід[]))</definedName>
    <definedName name="income_min">MIN(ROW(Дохід[]))</definedName>
    <definedName name="income_total">ROW('Планування бюджету'!$C$21)</definedName>
    <definedName name="is_cat">Dashboard!$F1</definedName>
    <definedName name="is_empty">Dashboard!$H1</definedName>
    <definedName name="is_header" localSheetId="4">Dashboard!$E1</definedName>
    <definedName name="is_total">Dashboard!$G1</definedName>
    <definedName name="item">Dashboard!$J1</definedName>
    <definedName name="out_budget" localSheetId="4">Dashboard!$AA1</definedName>
    <definedName name="out_tracked" localSheetId="4">Dashboard!$Z1</definedName>
    <definedName name="percent_completed" localSheetId="4">Dashboard!$AB1</definedName>
    <definedName name="row_id" localSheetId="4">Dashboard!$C1</definedName>
    <definedName name="savings_header">ROW(Збереження[[#Headers],[Збереження]])</definedName>
    <definedName name="savings_max">MAX(ROW(Збереження[]))</definedName>
    <definedName name="savings_min">MIN(ROW(Збереження[]))</definedName>
    <definedName name="savings_total">ROW('Планування бюджету'!$C$51)</definedName>
    <definedName name="selected_period">Калькулятор!$E$20</definedName>
    <definedName name="selected_period_display">Калькулятор!$E$21</definedName>
    <definedName name="selected_year">Калькулятор!$E$19</definedName>
    <definedName name="shift_late_income_starting_day">Налаштування!$E$18</definedName>
    <definedName name="shift_late_income_status">Налаштування!$E$16</definedName>
    <definedName name="sort_max" localSheetId="4">Dashboard!$N1</definedName>
    <definedName name="sort_min" localSheetId="4">Dashboard!$M1</definedName>
    <definedName name="starting_year">Налаштування!$E$9</definedName>
    <definedName name="tracked">Dashboard!$K1</definedName>
    <definedName name="tracked_range" localSheetId="4">Dashboard!$O1</definedName>
    <definedName name="tracked_rank" localSheetId="4">Dashboard!$P1</definedName>
    <definedName name="type">Dashboard!$I1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9" i="7" l="1"/>
  <c r="H60" i="7"/>
  <c r="H61" i="7"/>
  <c r="H63" i="7"/>
  <c r="H64" i="7"/>
  <c r="H65" i="7"/>
  <c r="H67" i="7"/>
  <c r="H68" i="7"/>
  <c r="H69" i="7"/>
  <c r="H71" i="7"/>
  <c r="H72" i="7"/>
  <c r="H73" i="7"/>
  <c r="H75" i="7"/>
  <c r="H76" i="7"/>
  <c r="H77" i="7"/>
  <c r="H79" i="7"/>
  <c r="H80" i="7"/>
  <c r="H81" i="7"/>
  <c r="H83" i="7"/>
  <c r="H84" i="7"/>
  <c r="H85" i="7"/>
  <c r="H87" i="7"/>
  <c r="H88" i="7"/>
  <c r="H89" i="7"/>
  <c r="H91" i="7"/>
  <c r="H92" i="7"/>
  <c r="H93" i="7"/>
  <c r="H95" i="7"/>
  <c r="H96" i="7"/>
  <c r="H97" i="7"/>
  <c r="H99" i="7"/>
  <c r="H100" i="7"/>
  <c r="H101" i="7"/>
  <c r="H56" i="7"/>
  <c r="H57" i="7"/>
  <c r="H55" i="7"/>
  <c r="G59" i="7"/>
  <c r="G60" i="7"/>
  <c r="G61" i="7"/>
  <c r="G63" i="7"/>
  <c r="G64" i="7"/>
  <c r="G65" i="7"/>
  <c r="G67" i="7"/>
  <c r="G68" i="7"/>
  <c r="G69" i="7"/>
  <c r="G71" i="7"/>
  <c r="G72" i="7"/>
  <c r="G73" i="7"/>
  <c r="G75" i="7"/>
  <c r="G76" i="7"/>
  <c r="G77" i="7"/>
  <c r="G79" i="7"/>
  <c r="G80" i="7"/>
  <c r="G81" i="7"/>
  <c r="G83" i="7"/>
  <c r="G84" i="7"/>
  <c r="G85" i="7"/>
  <c r="G87" i="7"/>
  <c r="G88" i="7"/>
  <c r="G89" i="7"/>
  <c r="G91" i="7"/>
  <c r="G92" i="7"/>
  <c r="G93" i="7"/>
  <c r="G95" i="7"/>
  <c r="G96" i="7"/>
  <c r="G97" i="7"/>
  <c r="G99" i="7"/>
  <c r="G100" i="7"/>
  <c r="G101" i="7"/>
  <c r="G57" i="7"/>
  <c r="G56" i="7"/>
  <c r="G55" i="7"/>
  <c r="E10" i="7"/>
  <c r="G59" i="6" a="1"/>
  <c r="G59" i="6" s="1"/>
  <c r="H59" i="6"/>
  <c r="G58" i="6" a="1"/>
  <c r="G58" i="6" s="1"/>
  <c r="H58" i="6"/>
  <c r="G57" i="6" a="1"/>
  <c r="G57" i="6" s="1"/>
  <c r="H57" i="6"/>
  <c r="G56" i="6" a="1"/>
  <c r="G56" i="6" s="1"/>
  <c r="H56" i="6"/>
  <c r="G55" i="6" a="1"/>
  <c r="G55" i="6" s="1"/>
  <c r="H55" i="6"/>
  <c r="G54" i="6" a="1"/>
  <c r="G54" i="6" s="1"/>
  <c r="H54" i="6"/>
  <c r="G53" i="6" a="1"/>
  <c r="G53" i="6" s="1"/>
  <c r="H53" i="6"/>
  <c r="G52" i="6" a="1"/>
  <c r="G52" i="6" s="1"/>
  <c r="H52" i="6"/>
  <c r="G51" i="6" a="1"/>
  <c r="G51" i="6" s="1"/>
  <c r="H51" i="6"/>
  <c r="G50" i="6" a="1"/>
  <c r="G50" i="6" s="1"/>
  <c r="H50" i="6"/>
  <c r="G49" i="6" a="1"/>
  <c r="G49" i="6" s="1"/>
  <c r="H49" i="6"/>
  <c r="G48" i="6" a="1"/>
  <c r="G48" i="6" s="1"/>
  <c r="H48" i="6"/>
  <c r="G47" i="6" a="1"/>
  <c r="G47" i="6" s="1"/>
  <c r="H47" i="6"/>
  <c r="G46" i="6" a="1"/>
  <c r="G46" i="6" s="1"/>
  <c r="H46" i="6"/>
  <c r="G45" i="6" a="1"/>
  <c r="G45" i="6" s="1"/>
  <c r="H45" i="6"/>
  <c r="E38" i="7" a="1"/>
  <c r="E38" i="7" s="1"/>
  <c r="D38" i="7" s="1" a="1"/>
  <c r="D38" i="7" s="1"/>
  <c r="AI19" i="8" s="1"/>
  <c r="E39" i="7" a="1"/>
  <c r="E39" i="7" s="1"/>
  <c r="D39" i="7" s="1" a="1"/>
  <c r="D39" i="7" s="1"/>
  <c r="AI20" i="8" s="1"/>
  <c r="AP35" i="8"/>
  <c r="AI35" i="8"/>
  <c r="AI22" i="8"/>
  <c r="G44" i="6" a="1"/>
  <c r="G44" i="6" s="1"/>
  <c r="H44" i="6"/>
  <c r="G43" i="6" a="1"/>
  <c r="G43" i="6" s="1"/>
  <c r="H43" i="6"/>
  <c r="G42" i="6" a="1"/>
  <c r="G42" i="6" s="1"/>
  <c r="H42" i="6"/>
  <c r="G41" i="6" a="1"/>
  <c r="G41" i="6" s="1"/>
  <c r="H41" i="6"/>
  <c r="G40" i="6" a="1"/>
  <c r="G40" i="6" s="1"/>
  <c r="H40" i="6"/>
  <c r="G39" i="6" a="1"/>
  <c r="G39" i="6" s="1"/>
  <c r="H39" i="6"/>
  <c r="G38" i="6" a="1"/>
  <c r="G38" i="6" s="1"/>
  <c r="H38" i="6"/>
  <c r="G37" i="6" a="1"/>
  <c r="G37" i="6" s="1"/>
  <c r="H37" i="6"/>
  <c r="G36" i="6" a="1"/>
  <c r="G36" i="6" s="1"/>
  <c r="H36" i="6"/>
  <c r="G35" i="6" a="1"/>
  <c r="G35" i="6" s="1"/>
  <c r="H35" i="6"/>
  <c r="G34" i="6" a="1"/>
  <c r="G34" i="6" s="1"/>
  <c r="H34" i="6"/>
  <c r="G33" i="6" a="1"/>
  <c r="G33" i="6" s="1"/>
  <c r="H33" i="6"/>
  <c r="G32" i="6" a="1"/>
  <c r="G32" i="6" s="1"/>
  <c r="H32" i="6"/>
  <c r="G31" i="6" a="1"/>
  <c r="G31" i="6" s="1"/>
  <c r="H31" i="6"/>
  <c r="G30" i="6" a="1"/>
  <c r="G30" i="6" s="1"/>
  <c r="H30" i="6"/>
  <c r="G29" i="6" a="1"/>
  <c r="G29" i="6" s="1"/>
  <c r="H29" i="6"/>
  <c r="G28" i="6" a="1"/>
  <c r="G28" i="6" s="1"/>
  <c r="H28" i="6"/>
  <c r="G27" i="6" a="1"/>
  <c r="G27" i="6" s="1"/>
  <c r="H27" i="6"/>
  <c r="G26" i="6" a="1"/>
  <c r="G26" i="6" s="1"/>
  <c r="H26" i="6"/>
  <c r="G25" i="6" a="1"/>
  <c r="G25" i="6" s="1"/>
  <c r="H25" i="6"/>
  <c r="G24" i="6" a="1"/>
  <c r="G24" i="6" s="1"/>
  <c r="H24" i="6"/>
  <c r="G23" i="6" a="1"/>
  <c r="G23" i="6" s="1"/>
  <c r="H23" i="6"/>
  <c r="G22" i="6" a="1"/>
  <c r="G22" i="6" s="1"/>
  <c r="H22" i="6"/>
  <c r="G21" i="6" a="1"/>
  <c r="G21" i="6" s="1"/>
  <c r="H21" i="6"/>
  <c r="Q12" i="5"/>
  <c r="G20" i="6" a="1"/>
  <c r="G20" i="6" s="1"/>
  <c r="H20" i="6"/>
  <c r="H17" i="6"/>
  <c r="H18" i="6"/>
  <c r="H19" i="6"/>
  <c r="H16" i="6"/>
  <c r="C13" i="8" a="1"/>
  <c r="C13" i="8" s="1"/>
  <c r="E20" i="7" a="1"/>
  <c r="E20" i="7" s="1"/>
  <c r="E19" i="7" a="1"/>
  <c r="E19" i="7" s="1"/>
  <c r="C55" i="7" s="1"/>
  <c r="E55" i="7" s="1"/>
  <c r="C8" i="9"/>
  <c r="C9" i="9" s="1"/>
  <c r="C10" i="9" s="1"/>
  <c r="C11" i="9" s="1"/>
  <c r="G19" i="6" a="1"/>
  <c r="G19" i="6" s="1"/>
  <c r="E9" i="7" a="1"/>
  <c r="E9" i="7" s="1"/>
  <c r="G17" i="6" a="1"/>
  <c r="G17" i="6" s="1"/>
  <c r="G18" i="6" a="1"/>
  <c r="G18" i="6" s="1"/>
  <c r="G16" i="6" a="1"/>
  <c r="G16" i="6" s="1"/>
  <c r="AS10" i="5"/>
  <c r="BG10" i="5"/>
  <c r="AS11" i="5"/>
  <c r="BG11" i="5"/>
  <c r="AS12" i="5"/>
  <c r="BG12" i="5"/>
  <c r="AS13" i="5"/>
  <c r="BG13" i="5"/>
  <c r="AS14" i="5"/>
  <c r="BG14" i="5"/>
  <c r="AS15" i="5"/>
  <c r="BG15" i="5"/>
  <c r="AS16" i="5"/>
  <c r="BG16" i="5"/>
  <c r="AS17" i="5"/>
  <c r="BG17" i="5"/>
  <c r="AS18" i="5"/>
  <c r="BG18" i="5"/>
  <c r="AS19" i="5"/>
  <c r="BG19" i="5"/>
  <c r="AS20" i="5"/>
  <c r="BG20" i="5"/>
  <c r="AS25" i="5"/>
  <c r="BG25" i="5"/>
  <c r="AS26" i="5"/>
  <c r="BG26" i="5"/>
  <c r="AS27" i="5"/>
  <c r="BG27" i="5"/>
  <c r="AS28" i="5"/>
  <c r="BG28" i="5"/>
  <c r="AS29" i="5"/>
  <c r="BG29" i="5"/>
  <c r="AS30" i="5"/>
  <c r="BG30" i="5"/>
  <c r="AS31" i="5"/>
  <c r="BG31" i="5"/>
  <c r="AS32" i="5"/>
  <c r="BG32" i="5"/>
  <c r="AS33" i="5"/>
  <c r="BG33" i="5"/>
  <c r="AS34" i="5"/>
  <c r="BG34" i="5"/>
  <c r="AS35" i="5"/>
  <c r="BG35" i="5"/>
  <c r="AS40" i="5"/>
  <c r="BG40" i="5"/>
  <c r="AS41" i="5"/>
  <c r="BG41" i="5"/>
  <c r="AS42" i="5"/>
  <c r="BG42" i="5"/>
  <c r="AS43" i="5"/>
  <c r="BG43" i="5"/>
  <c r="AS44" i="5"/>
  <c r="BG44" i="5"/>
  <c r="AS45" i="5"/>
  <c r="BG45" i="5"/>
  <c r="AS46" i="5"/>
  <c r="BG46" i="5"/>
  <c r="AS47" i="5"/>
  <c r="BG47" i="5"/>
  <c r="AS48" i="5"/>
  <c r="BG48" i="5"/>
  <c r="AS49" i="5"/>
  <c r="BG49" i="5"/>
  <c r="AS50" i="5"/>
  <c r="BG50" i="5"/>
  <c r="AE10" i="5"/>
  <c r="AE11" i="5"/>
  <c r="AE12" i="5"/>
  <c r="AE13" i="5"/>
  <c r="AE14" i="5"/>
  <c r="AE15" i="5"/>
  <c r="AE16" i="5"/>
  <c r="AE17" i="5"/>
  <c r="AE18" i="5"/>
  <c r="AE19" i="5"/>
  <c r="AE20" i="5"/>
  <c r="AE25" i="5"/>
  <c r="AE26" i="5"/>
  <c r="AE27" i="5"/>
  <c r="AE28" i="5"/>
  <c r="AE29" i="5"/>
  <c r="AE30" i="5"/>
  <c r="AE31" i="5"/>
  <c r="AE32" i="5"/>
  <c r="AE33" i="5"/>
  <c r="AE34" i="5"/>
  <c r="AE35" i="5"/>
  <c r="AE40" i="5"/>
  <c r="AE41" i="5"/>
  <c r="AE42" i="5"/>
  <c r="AE43" i="5"/>
  <c r="AE44" i="5"/>
  <c r="AE45" i="5"/>
  <c r="AE46" i="5"/>
  <c r="AE47" i="5"/>
  <c r="AE48" i="5"/>
  <c r="AE49" i="5"/>
  <c r="AE50" i="5"/>
  <c r="Q40" i="5"/>
  <c r="Q41" i="5"/>
  <c r="Q42" i="5"/>
  <c r="Q43" i="5"/>
  <c r="Q44" i="5"/>
  <c r="Q45" i="5"/>
  <c r="Q46" i="5"/>
  <c r="Q47" i="5"/>
  <c r="Q48" i="5"/>
  <c r="Q49" i="5"/>
  <c r="Q50" i="5"/>
  <c r="Q26" i="5"/>
  <c r="Q27" i="5"/>
  <c r="Q28" i="5"/>
  <c r="Q29" i="5"/>
  <c r="Q30" i="5"/>
  <c r="Q31" i="5"/>
  <c r="Q32" i="5"/>
  <c r="Q33" i="5"/>
  <c r="Q34" i="5"/>
  <c r="Q35" i="5"/>
  <c r="Q25" i="5"/>
  <c r="Q11" i="5"/>
  <c r="Q13" i="5"/>
  <c r="Q14" i="5"/>
  <c r="Q15" i="5"/>
  <c r="Q16" i="5"/>
  <c r="Q17" i="5"/>
  <c r="Q18" i="5"/>
  <c r="Q19" i="5"/>
  <c r="Q20" i="5"/>
  <c r="Q10" i="5"/>
  <c r="AB36" i="5" a="1"/>
  <c r="Z36" i="5" a="1"/>
  <c r="AP21" i="5" a="1"/>
  <c r="T36" i="5" a="1"/>
  <c r="AW21" i="5" a="1"/>
  <c r="P21" i="5" a="1"/>
  <c r="AJ21" i="5" a="1"/>
  <c r="X36" i="5" a="1"/>
  <c r="AB51" i="5" a="1"/>
  <c r="F21" i="5" a="1"/>
  <c r="BF21" i="5" a="1"/>
  <c r="AV21" i="5" a="1"/>
  <c r="U36" i="5" a="1"/>
  <c r="AU36" i="5" a="1"/>
  <c r="AB21" i="5" a="1"/>
  <c r="AZ51" i="5" a="1"/>
  <c r="AH36" i="5" a="1"/>
  <c r="AI36" i="5" a="1"/>
  <c r="L51" i="5" a="1"/>
  <c r="BA36" i="5" a="1"/>
  <c r="U51" i="5" a="1"/>
  <c r="AE36" i="5" a="1"/>
  <c r="AO36" i="5" a="1"/>
  <c r="BB36" i="5" a="1"/>
  <c r="AO21" i="5" a="1"/>
  <c r="V21" i="5" a="1"/>
  <c r="P51" i="5" a="1"/>
  <c r="AQ21" i="5" a="1"/>
  <c r="AU21" i="5" a="1"/>
  <c r="L36" i="5" a="1"/>
  <c r="H36" i="5" a="1"/>
  <c r="AO51" i="5" a="1"/>
  <c r="J36" i="5" a="1"/>
  <c r="AR21" i="5" a="1"/>
  <c r="M21" i="5" a="1"/>
  <c r="N21" i="5" a="1"/>
  <c r="E36" i="5" a="1"/>
  <c r="AY51" i="5" a="1"/>
  <c r="AG36" i="5" a="1"/>
  <c r="BA51" i="5" a="1"/>
  <c r="O36" i="5" a="1"/>
  <c r="X51" i="5" a="1"/>
  <c r="AM51" i="5" a="1"/>
  <c r="AJ36" i="5" a="1"/>
  <c r="AH51" i="5" a="1"/>
  <c r="BE51" i="5" a="1"/>
  <c r="Y36" i="5" a="1"/>
  <c r="BB51" i="5" a="1"/>
  <c r="AH21" i="5" a="1"/>
  <c r="AV51" i="5" a="1"/>
  <c r="AP36" i="5" a="1"/>
  <c r="K51" i="5" a="1"/>
  <c r="AS36" i="5" a="1"/>
  <c r="AK21" i="5" a="1"/>
  <c r="AC51" i="5" a="1"/>
  <c r="BG21" i="5" a="1"/>
  <c r="W36" i="5" a="1"/>
  <c r="AL36" i="5" a="1"/>
  <c r="AE51" i="5" a="1"/>
  <c r="BE36" i="5" a="1"/>
  <c r="N51" i="5" a="1"/>
  <c r="AZ36" i="5" a="1"/>
  <c r="Q21" i="5" a="1"/>
  <c r="BA21" i="5" a="1"/>
  <c r="AY36" i="5" a="1"/>
  <c r="E21" i="5" a="1"/>
  <c r="BB21" i="5" a="1"/>
  <c r="AN21" i="5" a="1"/>
  <c r="AC21" i="5" a="1"/>
  <c r="M36" i="5" a="1"/>
  <c r="AX51" i="5" a="1"/>
  <c r="AK36" i="5" a="1"/>
  <c r="BF51" i="5" a="1"/>
  <c r="AE21" i="5" a="1"/>
  <c r="AA21" i="5" a="1"/>
  <c r="BC51" i="5" a="1"/>
  <c r="BD21" i="5" a="1"/>
  <c r="AS21" i="5" a="1"/>
  <c r="L21" i="5" a="1"/>
  <c r="AM36" i="5" a="1"/>
  <c r="X21" i="5" a="1"/>
  <c r="AS51" i="5" a="1"/>
  <c r="F51" i="5" a="1"/>
  <c r="I36" i="5" a="1"/>
  <c r="J51" i="5" a="1"/>
  <c r="Z21" i="5" a="1"/>
  <c r="W21" i="5" a="1"/>
  <c r="S36" i="5" a="1"/>
  <c r="O51" i="5" a="1"/>
  <c r="H21" i="5" a="1"/>
  <c r="G51" i="5" a="1"/>
  <c r="AG51" i="5" a="1"/>
  <c r="AC36" i="5" a="1"/>
  <c r="S21" i="5" a="1"/>
  <c r="AX36" i="5" a="1"/>
  <c r="G21" i="5" a="1"/>
  <c r="AQ51" i="5" a="1"/>
  <c r="AD36" i="5" a="1"/>
  <c r="K21" i="5" a="1"/>
  <c r="AR36" i="5" a="1"/>
  <c r="AZ21" i="5" a="1"/>
  <c r="BC21" i="5" a="1"/>
  <c r="AN51" i="5" a="1"/>
  <c r="AM21" i="5" a="1"/>
  <c r="BE21" i="5" a="1"/>
  <c r="H51" i="5" a="1"/>
  <c r="I51" i="5" a="1"/>
  <c r="BD51" i="5" a="1"/>
  <c r="S51" i="5" a="1"/>
  <c r="Y21" i="5" a="1"/>
  <c r="AD51" i="5" a="1"/>
  <c r="BC36" i="5" a="1"/>
  <c r="AR51" i="5" a="1"/>
  <c r="AJ51" i="5" a="1"/>
  <c r="I21" i="5" a="1"/>
  <c r="AW36" i="5" a="1"/>
  <c r="AL21" i="5" a="1"/>
  <c r="AP51" i="5" a="1"/>
  <c r="O21" i="5" a="1"/>
  <c r="F36" i="5" a="1"/>
  <c r="U21" i="5" a="1"/>
  <c r="AY21" i="5" a="1"/>
  <c r="M51" i="5" a="1"/>
  <c r="AV36" i="5" a="1"/>
  <c r="P36" i="5" a="1"/>
  <c r="G36" i="5" a="1"/>
  <c r="BG51" i="5" a="1"/>
  <c r="W51" i="5" a="1"/>
  <c r="V36" i="5" a="1"/>
  <c r="AQ36" i="5" a="1"/>
  <c r="AK51" i="5" a="1"/>
  <c r="Q36" i="5" a="1"/>
  <c r="AW51" i="5" a="1"/>
  <c r="T21" i="5" a="1"/>
  <c r="AD21" i="5" a="1"/>
  <c r="BG36" i="5" a="1"/>
  <c r="AI21" i="5" a="1"/>
  <c r="AG21" i="5" a="1"/>
  <c r="T51" i="5" a="1"/>
  <c r="AX21" i="5" a="1"/>
  <c r="E51" i="5" a="1"/>
  <c r="Z51" i="5" a="1"/>
  <c r="V51" i="5" a="1"/>
  <c r="Q51" i="5" a="1"/>
  <c r="AU51" i="5" a="1"/>
  <c r="AN36" i="5" a="1"/>
  <c r="AL51" i="5" a="1"/>
  <c r="AI51" i="5" a="1"/>
  <c r="N36" i="5" a="1"/>
  <c r="BD36" i="5" a="1"/>
  <c r="Y51" i="5" a="1"/>
  <c r="AA51" i="5" a="1"/>
  <c r="BF36" i="5" a="1"/>
  <c r="AA36" i="5" a="1"/>
  <c r="K36" i="5" a="1"/>
  <c r="J21" i="5" a="1"/>
  <c r="E21" i="7" l="1"/>
  <c r="E22" i="7"/>
  <c r="E23" i="7" s="1" a="1"/>
  <c r="E23" i="7" s="1"/>
  <c r="E24" i="7" s="1"/>
  <c r="I55" i="7" a="1"/>
  <c r="I55" i="7" s="1"/>
  <c r="E57" i="7"/>
  <c r="I57" i="7" s="1" a="1"/>
  <c r="I57" i="7" s="1"/>
  <c r="E56" i="7"/>
  <c r="I56" i="7" s="1" a="1"/>
  <c r="I56" i="7" s="1"/>
  <c r="C99" i="7"/>
  <c r="C95" i="7"/>
  <c r="C91" i="7"/>
  <c r="C87" i="7"/>
  <c r="C83" i="7"/>
  <c r="C79" i="7"/>
  <c r="C75" i="7"/>
  <c r="C71" i="7"/>
  <c r="C67" i="7"/>
  <c r="C63" i="7"/>
  <c r="C59" i="7"/>
  <c r="C14" i="8" a="1"/>
  <c r="C14" i="8" s="1"/>
  <c r="C15" i="8" s="1" a="1"/>
  <c r="C15" i="8" s="1"/>
  <c r="C16" i="8" s="1" a="1"/>
  <c r="C16" i="8" s="1"/>
  <c r="C17" i="8" s="1" a="1"/>
  <c r="C17" i="8" s="1"/>
  <c r="H17" i="8" s="1"/>
  <c r="H13" i="8"/>
  <c r="E13" i="8" a="1"/>
  <c r="E13" i="8" s="1"/>
  <c r="G13" i="8" a="1"/>
  <c r="G13" i="8" s="1"/>
  <c r="F13" i="8" s="1"/>
  <c r="E15" i="8" a="1"/>
  <c r="E15" i="8" s="1"/>
  <c r="J13" i="8" a="1"/>
  <c r="J13" i="8" s="1"/>
  <c r="E12" i="7"/>
  <c r="E11" i="7"/>
  <c r="BF51" i="5"/>
  <c r="AZ36" i="5"/>
  <c r="BG51" i="5"/>
  <c r="AY51" i="5"/>
  <c r="AP51" i="5"/>
  <c r="AH51" i="5"/>
  <c r="BA36" i="5"/>
  <c r="AR36" i="5"/>
  <c r="AN36" i="5"/>
  <c r="BC21" i="5"/>
  <c r="AU21" i="5"/>
  <c r="AP21" i="5"/>
  <c r="AH21" i="5"/>
  <c r="AG51" i="5"/>
  <c r="AI36" i="5"/>
  <c r="BF21" i="5"/>
  <c r="BB21" i="5"/>
  <c r="AX21" i="5"/>
  <c r="AS21" i="5"/>
  <c r="AO21" i="5"/>
  <c r="AK21" i="5"/>
  <c r="AG21" i="5"/>
  <c r="AX51" i="5"/>
  <c r="AV36" i="5"/>
  <c r="AW51" i="5"/>
  <c r="AJ51" i="5"/>
  <c r="BG36" i="5"/>
  <c r="AY36" i="5"/>
  <c r="AP36" i="5"/>
  <c r="AL36" i="5"/>
  <c r="BE21" i="5"/>
  <c r="AW21" i="5"/>
  <c r="AN21" i="5"/>
  <c r="AK51" i="5"/>
  <c r="AM36" i="5"/>
  <c r="AN51" i="5"/>
  <c r="BC36" i="5"/>
  <c r="AU36" i="5"/>
  <c r="AH36" i="5"/>
  <c r="BA21" i="5"/>
  <c r="AR21" i="5"/>
  <c r="AJ21" i="5"/>
  <c r="AO51" i="5"/>
  <c r="BA51" i="5"/>
  <c r="BD51" i="5"/>
  <c r="AV51" i="5"/>
  <c r="AM51" i="5"/>
  <c r="BB36" i="5"/>
  <c r="AS36" i="5"/>
  <c r="AK36" i="5"/>
  <c r="BD21" i="5"/>
  <c r="AV21" i="5"/>
  <c r="AQ21" i="5"/>
  <c r="AI21" i="5"/>
  <c r="BB51" i="5"/>
  <c r="BD36" i="5"/>
  <c r="BE51" i="5"/>
  <c r="AR51" i="5"/>
  <c r="AZ51" i="5"/>
  <c r="AQ51" i="5"/>
  <c r="AI51" i="5"/>
  <c r="BF36" i="5"/>
  <c r="AX36" i="5"/>
  <c r="AO36" i="5"/>
  <c r="AG36" i="5"/>
  <c r="AZ21" i="5"/>
  <c r="AM21" i="5"/>
  <c r="AS51" i="5"/>
  <c r="AQ36" i="5"/>
  <c r="BC51" i="5"/>
  <c r="AU51" i="5"/>
  <c r="AL51" i="5"/>
  <c r="BE36" i="5"/>
  <c r="AW36" i="5"/>
  <c r="AJ36" i="5"/>
  <c r="BG21" i="5"/>
  <c r="AY21" i="5"/>
  <c r="AL21" i="5"/>
  <c r="AB36" i="5"/>
  <c r="X36" i="5"/>
  <c r="T36" i="5"/>
  <c r="AC21" i="5"/>
  <c r="Y21" i="5"/>
  <c r="U21" i="5"/>
  <c r="Z51" i="5"/>
  <c r="AA36" i="5"/>
  <c r="S36" i="5"/>
  <c r="AB21" i="5"/>
  <c r="X21" i="5"/>
  <c r="T21" i="5"/>
  <c r="AA51" i="5"/>
  <c r="W36" i="5"/>
  <c r="AE51" i="5"/>
  <c r="AD51" i="5"/>
  <c r="AE36" i="5"/>
  <c r="Y51" i="5"/>
  <c r="AD36" i="5"/>
  <c r="V36" i="5"/>
  <c r="AA21" i="5"/>
  <c r="S21" i="5"/>
  <c r="S51" i="5"/>
  <c r="V51" i="5"/>
  <c r="AC51" i="5"/>
  <c r="U51" i="5"/>
  <c r="Z36" i="5"/>
  <c r="AE21" i="5"/>
  <c r="W21" i="5"/>
  <c r="AB51" i="5"/>
  <c r="X51" i="5"/>
  <c r="AC36" i="5"/>
  <c r="Y36" i="5"/>
  <c r="U36" i="5"/>
  <c r="AD21" i="5"/>
  <c r="Z21" i="5"/>
  <c r="V21" i="5"/>
  <c r="W51" i="5"/>
  <c r="T51" i="5"/>
  <c r="L51" i="5"/>
  <c r="N51" i="5"/>
  <c r="J51" i="5"/>
  <c r="F51" i="5"/>
  <c r="M51" i="5"/>
  <c r="I51" i="5"/>
  <c r="P51" i="5"/>
  <c r="H51" i="5"/>
  <c r="O51" i="5"/>
  <c r="K51" i="5"/>
  <c r="G51" i="5"/>
  <c r="Q51" i="5"/>
  <c r="E51" i="5"/>
  <c r="Q36" i="5"/>
  <c r="I36" i="5"/>
  <c r="L36" i="5"/>
  <c r="M36" i="5"/>
  <c r="P36" i="5"/>
  <c r="H36" i="5"/>
  <c r="O36" i="5"/>
  <c r="K36" i="5"/>
  <c r="G36" i="5"/>
  <c r="N36" i="5"/>
  <c r="J36" i="5"/>
  <c r="F36" i="5"/>
  <c r="E36" i="5"/>
  <c r="M21" i="5"/>
  <c r="I21" i="5"/>
  <c r="Q21" i="5"/>
  <c r="L21" i="5"/>
  <c r="H21" i="5"/>
  <c r="P21" i="5"/>
  <c r="O21" i="5"/>
  <c r="K21" i="5"/>
  <c r="G21" i="5"/>
  <c r="N21" i="5"/>
  <c r="J21" i="5"/>
  <c r="F21" i="5"/>
  <c r="E21" i="5"/>
  <c r="E5" i="5"/>
  <c r="H14" i="8" l="1"/>
  <c r="E14" i="8" a="1"/>
  <c r="E14" i="8" s="1"/>
  <c r="D13" i="8"/>
  <c r="I13" i="8" s="1" a="1"/>
  <c r="I13" i="8" s="1"/>
  <c r="L13" i="8" a="1"/>
  <c r="L13" i="8" s="1"/>
  <c r="J57" i="7" a="1"/>
  <c r="J57" i="7" s="1"/>
  <c r="K57" i="7" s="1"/>
  <c r="J56" i="7" a="1"/>
  <c r="J56" i="7" s="1"/>
  <c r="K56" i="7" s="1"/>
  <c r="E75" i="7"/>
  <c r="E77" i="7"/>
  <c r="E76" i="7"/>
  <c r="E81" i="7"/>
  <c r="E79" i="7"/>
  <c r="E80" i="7"/>
  <c r="E83" i="7"/>
  <c r="E84" i="7"/>
  <c r="E85" i="7"/>
  <c r="E60" i="7"/>
  <c r="E59" i="7"/>
  <c r="E61" i="7"/>
  <c r="E63" i="7"/>
  <c r="E64" i="7"/>
  <c r="E65" i="7"/>
  <c r="E95" i="7"/>
  <c r="E96" i="7"/>
  <c r="E97" i="7"/>
  <c r="E71" i="7"/>
  <c r="E73" i="7"/>
  <c r="E72" i="7"/>
  <c r="E89" i="7"/>
  <c r="E87" i="7"/>
  <c r="E88" i="7"/>
  <c r="E92" i="7"/>
  <c r="E91" i="7"/>
  <c r="E93" i="7"/>
  <c r="E67" i="7"/>
  <c r="E68" i="7"/>
  <c r="E69" i="7"/>
  <c r="E100" i="7"/>
  <c r="E101" i="7"/>
  <c r="E99" i="7"/>
  <c r="G17" i="8" a="1"/>
  <c r="G17" i="8" s="1"/>
  <c r="J14" i="8" a="1"/>
  <c r="J14" i="8" s="1"/>
  <c r="G14" i="8" a="1"/>
  <c r="G14" i="8" s="1"/>
  <c r="C18" i="8" a="1"/>
  <c r="C18" i="8" s="1"/>
  <c r="E18" i="8" s="1" a="1"/>
  <c r="E18" i="8" s="1"/>
  <c r="E17" i="8" a="1"/>
  <c r="E17" i="8" s="1"/>
  <c r="E16" i="8" a="1"/>
  <c r="E16" i="8" s="1"/>
  <c r="Z13" i="8"/>
  <c r="G15" i="8" a="1"/>
  <c r="G15" i="8" s="1"/>
  <c r="H16" i="8"/>
  <c r="G16" i="8" a="1"/>
  <c r="G16" i="8" s="1"/>
  <c r="H15" i="8"/>
  <c r="K13" i="8" a="1"/>
  <c r="K13" i="8" s="1"/>
  <c r="P13" i="8"/>
  <c r="V13" i="8"/>
  <c r="S13" i="8"/>
  <c r="N13" i="8" a="1"/>
  <c r="N13" i="8" s="1"/>
  <c r="O13" i="8"/>
  <c r="M13" i="8" a="1"/>
  <c r="M13" i="8" s="1"/>
  <c r="W13" i="8"/>
  <c r="T13" i="8"/>
  <c r="Q13" i="8"/>
  <c r="X13" i="8"/>
  <c r="Y13" i="8" s="1"/>
  <c r="U13" i="8"/>
  <c r="R13" i="8"/>
  <c r="AD13" i="8"/>
  <c r="AA13" i="8"/>
  <c r="AC13" i="8"/>
  <c r="AB13" i="8"/>
  <c r="J15" i="8" a="1"/>
  <c r="J15" i="8" s="1"/>
  <c r="Y11" i="8"/>
  <c r="AF11" i="8"/>
  <c r="L39" i="5"/>
  <c r="K39" i="5"/>
  <c r="J39" i="5"/>
  <c r="Q39" i="5"/>
  <c r="I39" i="5"/>
  <c r="P39" i="5"/>
  <c r="H39" i="5"/>
  <c r="O39" i="5"/>
  <c r="G39" i="5"/>
  <c r="S5" i="5"/>
  <c r="N39" i="5"/>
  <c r="F39" i="5"/>
  <c r="Q24" i="5"/>
  <c r="M39" i="5"/>
  <c r="E39" i="5"/>
  <c r="AY7" i="5"/>
  <c r="AY6" i="5" s="1"/>
  <c r="AN7" i="5"/>
  <c r="AN6" i="5" s="1"/>
  <c r="AR7" i="5"/>
  <c r="AR6" i="5" s="1"/>
  <c r="AK7" i="5"/>
  <c r="AK6" i="5" s="1"/>
  <c r="AQ7" i="5"/>
  <c r="AQ6" i="5" s="1"/>
  <c r="BB7" i="5"/>
  <c r="BB6" i="5" s="1"/>
  <c r="BA7" i="5"/>
  <c r="BA6" i="5" s="1"/>
  <c r="AW7" i="5"/>
  <c r="AW6" i="5" s="1"/>
  <c r="BF7" i="5"/>
  <c r="BF6" i="5" s="1"/>
  <c r="BE7" i="5"/>
  <c r="BE6" i="5" s="1"/>
  <c r="AL7" i="5"/>
  <c r="AL6" i="5" s="1"/>
  <c r="AI7" i="5"/>
  <c r="AI6" i="5" s="1"/>
  <c r="AG7" i="5"/>
  <c r="AG6" i="5" s="1"/>
  <c r="AH7" i="5"/>
  <c r="AH6" i="5" s="1"/>
  <c r="BG7" i="5"/>
  <c r="BG6" i="5" s="1"/>
  <c r="AV7" i="5"/>
  <c r="AV6" i="5" s="1"/>
  <c r="AO7" i="5"/>
  <c r="AO6" i="5" s="1"/>
  <c r="AP7" i="5"/>
  <c r="AP6" i="5" s="1"/>
  <c r="AM7" i="5"/>
  <c r="AM6" i="5" s="1"/>
  <c r="BD7" i="5"/>
  <c r="BD6" i="5" s="1"/>
  <c r="AS7" i="5"/>
  <c r="AS6" i="5" s="1"/>
  <c r="AU7" i="5"/>
  <c r="AU6" i="5" s="1"/>
  <c r="AZ7" i="5"/>
  <c r="AZ6" i="5" s="1"/>
  <c r="AJ7" i="5"/>
  <c r="AJ6" i="5" s="1"/>
  <c r="AX7" i="5"/>
  <c r="AX6" i="5" s="1"/>
  <c r="BC7" i="5"/>
  <c r="BC6" i="5" s="1"/>
  <c r="V7" i="5"/>
  <c r="V6" i="5" s="1"/>
  <c r="AA7" i="5"/>
  <c r="AA6" i="5" s="1"/>
  <c r="W7" i="5"/>
  <c r="W6" i="5" s="1"/>
  <c r="AB7" i="5"/>
  <c r="AB6" i="5" s="1"/>
  <c r="S7" i="5"/>
  <c r="S6" i="5" s="1"/>
  <c r="U7" i="5"/>
  <c r="U6" i="5" s="1"/>
  <c r="Y7" i="5"/>
  <c r="Y6" i="5" s="1"/>
  <c r="Z7" i="5"/>
  <c r="Z6" i="5" s="1"/>
  <c r="AE7" i="5"/>
  <c r="AE6" i="5" s="1"/>
  <c r="T7" i="5"/>
  <c r="T6" i="5" s="1"/>
  <c r="AC7" i="5"/>
  <c r="AC6" i="5" s="1"/>
  <c r="AD7" i="5"/>
  <c r="AD6" i="5" s="1"/>
  <c r="X7" i="5"/>
  <c r="X6" i="5" s="1"/>
  <c r="K7" i="5"/>
  <c r="K6" i="5" s="1"/>
  <c r="J7" i="5"/>
  <c r="J6" i="5" s="1"/>
  <c r="O7" i="5"/>
  <c r="O6" i="5" s="1"/>
  <c r="P7" i="5"/>
  <c r="P6" i="5" s="1"/>
  <c r="H7" i="5"/>
  <c r="H6" i="5" s="1"/>
  <c r="F7" i="5"/>
  <c r="F6" i="5" s="1"/>
  <c r="L7" i="5"/>
  <c r="L6" i="5" s="1"/>
  <c r="Q7" i="5"/>
  <c r="Q6" i="5" s="1"/>
  <c r="N7" i="5"/>
  <c r="N6" i="5" s="1"/>
  <c r="I7" i="5"/>
  <c r="I6" i="5" s="1"/>
  <c r="G7" i="5"/>
  <c r="G6" i="5" s="1"/>
  <c r="M7" i="5"/>
  <c r="M6" i="5" s="1"/>
  <c r="E7" i="5"/>
  <c r="E6" i="5" s="1"/>
  <c r="P9" i="5"/>
  <c r="M24" i="5"/>
  <c r="E24" i="5"/>
  <c r="L24" i="5"/>
  <c r="K24" i="5"/>
  <c r="I24" i="5"/>
  <c r="P24" i="5"/>
  <c r="H24" i="5"/>
  <c r="O24" i="5"/>
  <c r="G24" i="5"/>
  <c r="N24" i="5"/>
  <c r="F24" i="5"/>
  <c r="J24" i="5"/>
  <c r="I9" i="5"/>
  <c r="J9" i="5"/>
  <c r="K9" i="5"/>
  <c r="L9" i="5"/>
  <c r="F9" i="5"/>
  <c r="N9" i="5"/>
  <c r="G9" i="5"/>
  <c r="O9" i="5"/>
  <c r="E9" i="5"/>
  <c r="J55" i="7" s="1" a="1"/>
  <c r="J55" i="7" s="1"/>
  <c r="K55" i="7" s="1"/>
  <c r="Q9" i="5"/>
  <c r="M9" i="5"/>
  <c r="H9" i="5"/>
  <c r="L17" i="8" l="1" a="1"/>
  <c r="L17" i="8" s="1"/>
  <c r="L14" i="8" a="1"/>
  <c r="L14" i="8" s="1"/>
  <c r="F14" i="8"/>
  <c r="G18" i="8" a="1"/>
  <c r="G18" i="8" s="1"/>
  <c r="F17" i="8"/>
  <c r="O17" i="8" s="1"/>
  <c r="D14" i="8"/>
  <c r="I69" i="7" a="1"/>
  <c r="I69" i="7" s="1"/>
  <c r="J69" i="7" a="1"/>
  <c r="J69" i="7" s="1"/>
  <c r="I89" i="7" a="1"/>
  <c r="I89" i="7" s="1"/>
  <c r="J89" i="7" a="1"/>
  <c r="J89" i="7" s="1"/>
  <c r="I64" i="7" a="1"/>
  <c r="I64" i="7" s="1"/>
  <c r="J64" i="7" a="1"/>
  <c r="J64" i="7" s="1"/>
  <c r="I80" i="7" a="1"/>
  <c r="I80" i="7" s="1"/>
  <c r="J80" i="7" a="1"/>
  <c r="J80" i="7" s="1"/>
  <c r="I68" i="7" a="1"/>
  <c r="I68" i="7" s="1"/>
  <c r="J68" i="7" a="1"/>
  <c r="J68" i="7" s="1"/>
  <c r="I72" i="7" a="1"/>
  <c r="I72" i="7" s="1"/>
  <c r="J72" i="7" a="1"/>
  <c r="J72" i="7" s="1"/>
  <c r="I63" i="7" a="1"/>
  <c r="I63" i="7" s="1"/>
  <c r="J63" i="7" a="1"/>
  <c r="J63" i="7" s="1"/>
  <c r="I79" i="7" a="1"/>
  <c r="I79" i="7" s="1"/>
  <c r="J79" i="7" a="1"/>
  <c r="J79" i="7" s="1"/>
  <c r="I84" i="7" a="1"/>
  <c r="I84" i="7" s="1"/>
  <c r="J84" i="7" a="1"/>
  <c r="J84" i="7" s="1"/>
  <c r="I73" i="7" a="1"/>
  <c r="I73" i="7" s="1"/>
  <c r="J73" i="7" a="1"/>
  <c r="J73" i="7" s="1"/>
  <c r="I71" i="7" a="1"/>
  <c r="I71" i="7" s="1"/>
  <c r="J71" i="7" a="1"/>
  <c r="J71" i="7" s="1"/>
  <c r="I59" i="7" a="1"/>
  <c r="I59" i="7" s="1"/>
  <c r="J59" i="7" a="1"/>
  <c r="J59" i="7" s="1"/>
  <c r="I76" i="7" a="1"/>
  <c r="I76" i="7" s="1"/>
  <c r="J76" i="7" a="1"/>
  <c r="J76" i="7" s="1"/>
  <c r="I88" i="7" a="1"/>
  <c r="I88" i="7" s="1"/>
  <c r="J88" i="7" a="1"/>
  <c r="J88" i="7" s="1"/>
  <c r="I81" i="7" a="1"/>
  <c r="I81" i="7" s="1"/>
  <c r="J81" i="7" a="1"/>
  <c r="J81" i="7" s="1"/>
  <c r="I91" i="7" a="1"/>
  <c r="I91" i="7" s="1"/>
  <c r="J91" i="7" a="1"/>
  <c r="J91" i="7" s="1"/>
  <c r="I97" i="7" a="1"/>
  <c r="I97" i="7" s="1"/>
  <c r="J97" i="7" a="1"/>
  <c r="J97" i="7" s="1"/>
  <c r="I60" i="7" a="1"/>
  <c r="I60" i="7" s="1"/>
  <c r="J60" i="7" a="1"/>
  <c r="J60" i="7" s="1"/>
  <c r="I77" i="7" a="1"/>
  <c r="I77" i="7" s="1"/>
  <c r="J77" i="7" a="1"/>
  <c r="J77" i="7" s="1"/>
  <c r="I95" i="7" a="1"/>
  <c r="I95" i="7" s="1"/>
  <c r="J95" i="7" a="1"/>
  <c r="J95" i="7" s="1"/>
  <c r="I67" i="7" a="1"/>
  <c r="I67" i="7" s="1"/>
  <c r="J67" i="7" a="1"/>
  <c r="J67" i="7" s="1"/>
  <c r="I61" i="7" a="1"/>
  <c r="I61" i="7" s="1"/>
  <c r="J61" i="7" a="1"/>
  <c r="J61" i="7" s="1"/>
  <c r="I93" i="7" a="1"/>
  <c r="I93" i="7" s="1"/>
  <c r="J93" i="7" a="1"/>
  <c r="J93" i="7" s="1"/>
  <c r="I99" i="7" a="1"/>
  <c r="I99" i="7" s="1"/>
  <c r="J99" i="7" a="1"/>
  <c r="J99" i="7" s="1"/>
  <c r="I92" i="7" a="1"/>
  <c r="I92" i="7" s="1"/>
  <c r="J92" i="7" a="1"/>
  <c r="J92" i="7" s="1"/>
  <c r="I96" i="7" a="1"/>
  <c r="I96" i="7" s="1"/>
  <c r="J96" i="7" a="1"/>
  <c r="J96" i="7" s="1"/>
  <c r="I85" i="7" a="1"/>
  <c r="I85" i="7" s="1"/>
  <c r="J85" i="7" a="1"/>
  <c r="J85" i="7" s="1"/>
  <c r="I75" i="7" a="1"/>
  <c r="I75" i="7" s="1"/>
  <c r="J75" i="7" a="1"/>
  <c r="J75" i="7" s="1"/>
  <c r="I101" i="7" a="1"/>
  <c r="I101" i="7" s="1"/>
  <c r="J101" i="7" a="1"/>
  <c r="J101" i="7" s="1"/>
  <c r="I100" i="7" a="1"/>
  <c r="I100" i="7" s="1"/>
  <c r="J100" i="7" a="1"/>
  <c r="J100" i="7" s="1"/>
  <c r="I87" i="7" a="1"/>
  <c r="I87" i="7" s="1"/>
  <c r="J87" i="7" a="1"/>
  <c r="J87" i="7" s="1"/>
  <c r="I65" i="7" a="1"/>
  <c r="I65" i="7" s="1"/>
  <c r="J65" i="7" a="1"/>
  <c r="J65" i="7" s="1"/>
  <c r="I83" i="7" a="1"/>
  <c r="I83" i="7" s="1"/>
  <c r="J83" i="7" a="1"/>
  <c r="J83" i="7" s="1"/>
  <c r="L16" i="8" a="1"/>
  <c r="L16" i="8" s="1"/>
  <c r="H18" i="8"/>
  <c r="AB18" i="8" s="1"/>
  <c r="F15" i="8"/>
  <c r="C19" i="8" a="1"/>
  <c r="C19" i="8" s="1"/>
  <c r="G19" i="8" s="1" a="1"/>
  <c r="G19" i="8" s="1"/>
  <c r="F16" i="8"/>
  <c r="N14" i="8" a="1"/>
  <c r="N14" i="8" s="1"/>
  <c r="M14" i="8" a="1"/>
  <c r="M14" i="8" s="1"/>
  <c r="V14" i="8" s="1"/>
  <c r="R17" i="8"/>
  <c r="N17" i="8" a="1"/>
  <c r="N17" i="8" s="1"/>
  <c r="S17" i="8"/>
  <c r="W17" i="8"/>
  <c r="L15" i="8" a="1"/>
  <c r="L15" i="8" s="1"/>
  <c r="K18" i="8" a="1"/>
  <c r="K18" i="8" s="1"/>
  <c r="D15" i="8"/>
  <c r="I14" i="8" a="1"/>
  <c r="I14" i="8" s="1"/>
  <c r="K14" i="8" s="1" a="1"/>
  <c r="K14" i="8" s="1"/>
  <c r="J16" i="8" a="1"/>
  <c r="J16" i="8" s="1"/>
  <c r="Y9" i="5"/>
  <c r="AG5" i="5"/>
  <c r="AA39" i="5"/>
  <c r="AE39" i="5"/>
  <c r="V9" i="5"/>
  <c r="AD39" i="5"/>
  <c r="AB39" i="5"/>
  <c r="Y39" i="5"/>
  <c r="T39" i="5"/>
  <c r="AC9" i="5"/>
  <c r="V39" i="5"/>
  <c r="U24" i="5"/>
  <c r="X39" i="5"/>
  <c r="Z24" i="5"/>
  <c r="AE9" i="5"/>
  <c r="U9" i="5"/>
  <c r="X24" i="5"/>
  <c r="AD24" i="5"/>
  <c r="W9" i="5"/>
  <c r="AB9" i="5"/>
  <c r="Z9" i="5"/>
  <c r="S24" i="5"/>
  <c r="Z39" i="5"/>
  <c r="T9" i="5"/>
  <c r="AC24" i="5"/>
  <c r="U39" i="5"/>
  <c r="AB24" i="5"/>
  <c r="W24" i="5"/>
  <c r="S9" i="5"/>
  <c r="S39" i="5"/>
  <c r="W39" i="5"/>
  <c r="AE24" i="5"/>
  <c r="Y24" i="5"/>
  <c r="AA24" i="5"/>
  <c r="AA9" i="5"/>
  <c r="V24" i="5"/>
  <c r="AD9" i="5"/>
  <c r="AC39" i="5"/>
  <c r="T24" i="5"/>
  <c r="X9" i="5"/>
  <c r="U17" i="8" l="1"/>
  <c r="Q17" i="8"/>
  <c r="C20" i="8" a="1"/>
  <c r="C20" i="8" s="1"/>
  <c r="E20" i="8" s="1" a="1"/>
  <c r="E20" i="8" s="1"/>
  <c r="Z18" i="8"/>
  <c r="T17" i="8"/>
  <c r="V17" i="8"/>
  <c r="X17" i="8"/>
  <c r="P17" i="8"/>
  <c r="M17" i="8" a="1"/>
  <c r="M17" i="8" s="1"/>
  <c r="E19" i="8" a="1"/>
  <c r="E19" i="8" s="1"/>
  <c r="M15" i="8" a="1"/>
  <c r="M15" i="8" s="1"/>
  <c r="V15" i="8" s="1"/>
  <c r="H19" i="8"/>
  <c r="Y18" i="8"/>
  <c r="L18" i="8" a="1"/>
  <c r="L18" i="8" s="1"/>
  <c r="K75" i="7"/>
  <c r="K99" i="7"/>
  <c r="K95" i="7"/>
  <c r="K91" i="7"/>
  <c r="K59" i="7"/>
  <c r="K79" i="7"/>
  <c r="K80" i="7"/>
  <c r="K87" i="7"/>
  <c r="K85" i="7"/>
  <c r="K93" i="7"/>
  <c r="K77" i="7"/>
  <c r="K81" i="7"/>
  <c r="K71" i="7"/>
  <c r="K63" i="7"/>
  <c r="K64" i="7"/>
  <c r="K100" i="7"/>
  <c r="K96" i="7"/>
  <c r="K61" i="7"/>
  <c r="K60" i="7"/>
  <c r="K88" i="7"/>
  <c r="K73" i="7"/>
  <c r="K72" i="7"/>
  <c r="K89" i="7"/>
  <c r="K65" i="7"/>
  <c r="K83" i="7"/>
  <c r="K101" i="7"/>
  <c r="K92" i="7"/>
  <c r="K67" i="7"/>
  <c r="K97" i="7"/>
  <c r="K76" i="7"/>
  <c r="K84" i="7"/>
  <c r="K68" i="7"/>
  <c r="K69" i="7"/>
  <c r="N15" i="8" a="1"/>
  <c r="N15" i="8" s="1"/>
  <c r="F18" i="8"/>
  <c r="M18" i="8" s="1" a="1"/>
  <c r="M18" i="8" s="1"/>
  <c r="AA18" i="8"/>
  <c r="AC18" i="8"/>
  <c r="AD18" i="8"/>
  <c r="T14" i="8"/>
  <c r="Q14" i="8"/>
  <c r="O14" i="8"/>
  <c r="D16" i="8"/>
  <c r="I15" i="8" a="1"/>
  <c r="I15" i="8" s="1"/>
  <c r="K15" i="8" s="1" a="1"/>
  <c r="K15" i="8" s="1"/>
  <c r="J17" i="8" a="1"/>
  <c r="J17" i="8" s="1"/>
  <c r="AU5" i="5"/>
  <c r="AO24" i="5"/>
  <c r="AG9" i="5"/>
  <c r="AQ24" i="5"/>
  <c r="AG39" i="5"/>
  <c r="AI9" i="5"/>
  <c r="AS24" i="5"/>
  <c r="AI39" i="5"/>
  <c r="AM9" i="5"/>
  <c r="AK39" i="5"/>
  <c r="AO9" i="5"/>
  <c r="AG24" i="5"/>
  <c r="AM39" i="5"/>
  <c r="AQ9" i="5"/>
  <c r="AI24" i="5"/>
  <c r="AO39" i="5"/>
  <c r="AK24" i="5"/>
  <c r="AM24" i="5"/>
  <c r="AS39" i="5"/>
  <c r="AQ39" i="5"/>
  <c r="AP9" i="5"/>
  <c r="AH24" i="5"/>
  <c r="AJ9" i="5"/>
  <c r="AH9" i="5"/>
  <c r="AL9" i="5"/>
  <c r="AN39" i="5"/>
  <c r="AS9" i="5"/>
  <c r="AR24" i="5"/>
  <c r="AK9" i="5"/>
  <c r="AJ24" i="5"/>
  <c r="AR39" i="5"/>
  <c r="AP39" i="5"/>
  <c r="AJ39" i="5"/>
  <c r="AN9" i="5"/>
  <c r="AH39" i="5"/>
  <c r="AL39" i="5"/>
  <c r="AN24" i="5"/>
  <c r="AP24" i="5"/>
  <c r="AL24" i="5"/>
  <c r="AR9" i="5"/>
  <c r="R14" i="8"/>
  <c r="G20" i="8" l="1" a="1"/>
  <c r="G20" i="8" s="1"/>
  <c r="C21" i="8" a="1"/>
  <c r="C21" i="8" s="1"/>
  <c r="H21" i="8" s="1"/>
  <c r="H20" i="8"/>
  <c r="L20" i="8" s="1" a="1"/>
  <c r="L20" i="8" s="1"/>
  <c r="AB19" i="8"/>
  <c r="AD19" i="8"/>
  <c r="D19" i="8"/>
  <c r="I19" i="8" s="1" a="1"/>
  <c r="I19" i="8" s="1"/>
  <c r="AA19" i="8"/>
  <c r="X18" i="8"/>
  <c r="L19" i="8" a="1"/>
  <c r="L19" i="8" s="1"/>
  <c r="F19" i="8"/>
  <c r="W19" i="8" s="1"/>
  <c r="K19" i="8" a="1"/>
  <c r="K19" i="8" s="1"/>
  <c r="O18" i="8"/>
  <c r="AC19" i="8"/>
  <c r="Z19" i="8"/>
  <c r="T15" i="8"/>
  <c r="S18" i="8"/>
  <c r="U18" i="8"/>
  <c r="N18" i="8" a="1"/>
  <c r="N18" i="8" s="1"/>
  <c r="Q18" i="8"/>
  <c r="O15" i="8"/>
  <c r="Q15" i="8"/>
  <c r="R18" i="8"/>
  <c r="V18" i="8"/>
  <c r="T18" i="8"/>
  <c r="W18" i="8"/>
  <c r="P18" i="8"/>
  <c r="N16" i="8" a="1"/>
  <c r="N16" i="8" s="1"/>
  <c r="M16" i="8" a="1"/>
  <c r="M16" i="8" s="1"/>
  <c r="D17" i="8"/>
  <c r="I16" i="8" a="1"/>
  <c r="I16" i="8" s="1"/>
  <c r="K16" i="8" s="1" a="1"/>
  <c r="K16" i="8" s="1"/>
  <c r="J18" i="8" a="1"/>
  <c r="J18" i="8" s="1"/>
  <c r="BA9" i="5"/>
  <c r="AU9" i="5"/>
  <c r="AV39" i="5"/>
  <c r="AX9" i="5"/>
  <c r="AY39" i="5"/>
  <c r="BE39" i="5"/>
  <c r="AW24" i="5"/>
  <c r="BC9" i="5"/>
  <c r="AV9" i="5"/>
  <c r="BF9" i="5"/>
  <c r="BG39" i="5"/>
  <c r="BE24" i="5"/>
  <c r="AY24" i="5"/>
  <c r="BD39" i="5"/>
  <c r="BB24" i="5"/>
  <c r="AZ9" i="5"/>
  <c r="BA39" i="5"/>
  <c r="BG24" i="5"/>
  <c r="AW9" i="5"/>
  <c r="AX39" i="5"/>
  <c r="AV24" i="5"/>
  <c r="AX24" i="5"/>
  <c r="AU39" i="5"/>
  <c r="AY9" i="5"/>
  <c r="BD24" i="5"/>
  <c r="BB39" i="5"/>
  <c r="BC39" i="5"/>
  <c r="BA24" i="5"/>
  <c r="BG9" i="5"/>
  <c r="BE9" i="5"/>
  <c r="AZ39" i="5"/>
  <c r="BD9" i="5"/>
  <c r="AW39" i="5"/>
  <c r="AU24" i="5"/>
  <c r="BF24" i="5"/>
  <c r="BC24" i="5"/>
  <c r="BB9" i="5"/>
  <c r="BF39" i="5"/>
  <c r="AZ24" i="5"/>
  <c r="P15" i="8"/>
  <c r="R15" i="8"/>
  <c r="P14" i="8"/>
  <c r="C22" i="8" l="1" a="1"/>
  <c r="C22" i="8" s="1"/>
  <c r="C23" i="8" s="1" a="1"/>
  <c r="C23" i="8" s="1"/>
  <c r="E21" i="8" a="1"/>
  <c r="E21" i="8" s="1"/>
  <c r="D21" i="8" s="1"/>
  <c r="F20" i="8"/>
  <c r="D20" i="8"/>
  <c r="I20" i="8" s="1" a="1"/>
  <c r="I20" i="8" s="1"/>
  <c r="G21" i="8" a="1"/>
  <c r="G21" i="8" s="1"/>
  <c r="U19" i="8"/>
  <c r="X19" i="8"/>
  <c r="P19" i="8"/>
  <c r="S19" i="8"/>
  <c r="O19" i="8"/>
  <c r="M19" i="8" a="1"/>
  <c r="M19" i="8" s="1"/>
  <c r="Q19" i="8"/>
  <c r="N19" i="8" a="1"/>
  <c r="N19" i="8" s="1"/>
  <c r="R19" i="8"/>
  <c r="V19" i="8"/>
  <c r="T19" i="8"/>
  <c r="T16" i="8"/>
  <c r="Q16" i="8"/>
  <c r="O16" i="8"/>
  <c r="V16" i="8"/>
  <c r="S14" i="8"/>
  <c r="S15" i="8"/>
  <c r="D18" i="8"/>
  <c r="I18" i="8" s="1" a="1"/>
  <c r="I18" i="8" s="1"/>
  <c r="I17" i="8" a="1"/>
  <c r="I17" i="8" s="1"/>
  <c r="K17" i="8" s="1" a="1"/>
  <c r="K17" i="8" s="1"/>
  <c r="J19" i="8" a="1"/>
  <c r="J19" i="8" s="1"/>
  <c r="R16" i="8"/>
  <c r="P16" i="8"/>
  <c r="M20" i="8" l="1" a="1"/>
  <c r="M20" i="8" s="1"/>
  <c r="V20" i="8" s="1"/>
  <c r="L21" i="8" a="1"/>
  <c r="L21" i="8" s="1"/>
  <c r="E22" i="8" a="1"/>
  <c r="E22" i="8" s="1"/>
  <c r="G22" i="8" a="1"/>
  <c r="G22" i="8" s="1"/>
  <c r="H22" i="8"/>
  <c r="L22" i="8" s="1" a="1"/>
  <c r="L22" i="8" s="1"/>
  <c r="F21" i="8"/>
  <c r="M21" i="8" s="1" a="1"/>
  <c r="M21" i="8" s="1"/>
  <c r="V21" i="8" s="1"/>
  <c r="S16" i="8"/>
  <c r="C24" i="8" a="1"/>
  <c r="C24" i="8" s="1"/>
  <c r="G23" i="8" a="1"/>
  <c r="G23" i="8" s="1"/>
  <c r="E23" i="8" a="1"/>
  <c r="E23" i="8" s="1"/>
  <c r="H23" i="8"/>
  <c r="I21" i="8" a="1"/>
  <c r="I21" i="8" s="1"/>
  <c r="J20" i="8" a="1"/>
  <c r="J20" i="8" s="1"/>
  <c r="K20" i="8" s="1" a="1"/>
  <c r="K20" i="8" s="1"/>
  <c r="U14" i="8"/>
  <c r="U16" i="8"/>
  <c r="U15" i="8"/>
  <c r="D22" i="8" l="1"/>
  <c r="D23" i="8" s="1"/>
  <c r="F22" i="8"/>
  <c r="M22" i="8" s="1" a="1"/>
  <c r="M22" i="8" s="1"/>
  <c r="V22" i="8" s="1"/>
  <c r="L23" i="8" a="1"/>
  <c r="L23" i="8" s="1"/>
  <c r="K21" i="8" a="1"/>
  <c r="K21" i="8" s="1"/>
  <c r="F23" i="8"/>
  <c r="C25" i="8" a="1"/>
  <c r="C25" i="8" s="1"/>
  <c r="G24" i="8" a="1"/>
  <c r="G24" i="8" s="1"/>
  <c r="E24" i="8" a="1"/>
  <c r="E24" i="8" s="1"/>
  <c r="H24" i="8"/>
  <c r="J21" i="8" a="1"/>
  <c r="J21" i="8" s="1"/>
  <c r="W16" i="8"/>
  <c r="W14" i="8"/>
  <c r="W15" i="8"/>
  <c r="I22" i="8" l="1" a="1"/>
  <c r="I22" i="8" s="1"/>
  <c r="K22" i="8" s="1" a="1"/>
  <c r="K22" i="8" s="1"/>
  <c r="X14" i="8"/>
  <c r="X15" i="8"/>
  <c r="X16" i="8"/>
  <c r="M23" i="8" a="1"/>
  <c r="M23" i="8" s="1"/>
  <c r="V23" i="8" s="1"/>
  <c r="L24" i="8" a="1"/>
  <c r="L24" i="8" s="1"/>
  <c r="C26" i="8" a="1"/>
  <c r="C26" i="8" s="1"/>
  <c r="H25" i="8"/>
  <c r="G25" i="8" a="1"/>
  <c r="G25" i="8" s="1"/>
  <c r="E25" i="8" a="1"/>
  <c r="E25" i="8" s="1"/>
  <c r="F24" i="8"/>
  <c r="D24" i="8"/>
  <c r="I23" i="8" a="1"/>
  <c r="I23" i="8" s="1"/>
  <c r="J22" i="8" a="1"/>
  <c r="J22" i="8" s="1"/>
  <c r="E41" i="7" l="1" a="1"/>
  <c r="E41" i="7" s="1"/>
  <c r="E36" i="7" a="1"/>
  <c r="E36" i="7" s="1"/>
  <c r="E37" i="7" a="1"/>
  <c r="E37" i="7" s="1"/>
  <c r="E35" i="7" a="1"/>
  <c r="E35" i="7" s="1"/>
  <c r="AA17" i="8"/>
  <c r="Y17" i="8"/>
  <c r="Y19" i="8"/>
  <c r="Z17" i="8"/>
  <c r="L25" i="8" a="1"/>
  <c r="L25" i="8" s="1"/>
  <c r="M24" i="8" a="1"/>
  <c r="M24" i="8" s="1"/>
  <c r="V24" i="8" s="1"/>
  <c r="K23" i="8" a="1"/>
  <c r="K23" i="8" s="1"/>
  <c r="F25" i="8"/>
  <c r="D25" i="8"/>
  <c r="I25" i="8" s="1" a="1"/>
  <c r="I25" i="8" s="1"/>
  <c r="I24" i="8" a="1"/>
  <c r="I24" i="8" s="1"/>
  <c r="C27" i="8" a="1"/>
  <c r="C27" i="8" s="1"/>
  <c r="H26" i="8"/>
  <c r="G26" i="8" a="1"/>
  <c r="G26" i="8" s="1"/>
  <c r="E26" i="8" a="1"/>
  <c r="E26" i="8" s="1"/>
  <c r="J23" i="8" a="1"/>
  <c r="J23" i="8" s="1"/>
  <c r="AJ18" i="8" l="1"/>
  <c r="D37" i="7" a="1"/>
  <c r="D37" i="7" s="1"/>
  <c r="AI18" i="8" s="1"/>
  <c r="AJ17" i="8"/>
  <c r="D36" i="7" a="1"/>
  <c r="D36" i="7" s="1"/>
  <c r="AI17" i="8" s="1"/>
  <c r="AJ16" i="8"/>
  <c r="D35" i="7" a="1"/>
  <c r="D35" i="7" s="1"/>
  <c r="E40" i="7"/>
  <c r="AJ22" i="8"/>
  <c r="AB17" i="8"/>
  <c r="AC17" i="8"/>
  <c r="AD17" i="8"/>
  <c r="M25" i="8" a="1"/>
  <c r="M25" i="8" s="1"/>
  <c r="V25" i="8" s="1"/>
  <c r="L26" i="8" a="1"/>
  <c r="L26" i="8" s="1"/>
  <c r="C28" i="8" a="1"/>
  <c r="C28" i="8" s="1"/>
  <c r="N24" i="8" s="1" a="1"/>
  <c r="N24" i="8" s="1"/>
  <c r="G27" i="8" a="1"/>
  <c r="G27" i="8" s="1"/>
  <c r="E27" i="8" a="1"/>
  <c r="E27" i="8" s="1"/>
  <c r="H27" i="8"/>
  <c r="D26" i="8"/>
  <c r="I26" i="8" s="1" a="1"/>
  <c r="I26" i="8" s="1"/>
  <c r="F26" i="8"/>
  <c r="J24" i="8" a="1"/>
  <c r="J24" i="8" s="1"/>
  <c r="K24" i="8" s="1" a="1"/>
  <c r="K24" i="8" s="1"/>
  <c r="AJ21" i="8" l="1"/>
  <c r="D40" i="7"/>
  <c r="AI21" i="8" s="1"/>
  <c r="T24" i="8"/>
  <c r="Q24" i="8"/>
  <c r="O24" i="8"/>
  <c r="N23" i="8" a="1"/>
  <c r="N23" i="8" s="1"/>
  <c r="N22" i="8" a="1"/>
  <c r="N22" i="8" s="1"/>
  <c r="N26" i="8" a="1"/>
  <c r="N26" i="8" s="1"/>
  <c r="M26" i="8" a="1"/>
  <c r="M26" i="8" s="1"/>
  <c r="N25" i="8" a="1"/>
  <c r="N25" i="8" s="1"/>
  <c r="O25" i="8" s="1"/>
  <c r="L27" i="8" a="1"/>
  <c r="L27" i="8" s="1"/>
  <c r="F27" i="8"/>
  <c r="D27" i="8"/>
  <c r="I27" i="8" s="1" a="1"/>
  <c r="I27" i="8" s="1"/>
  <c r="C29" i="8" a="1"/>
  <c r="C29" i="8" s="1"/>
  <c r="H28" i="8"/>
  <c r="G28" i="8" a="1"/>
  <c r="G28" i="8" s="1"/>
  <c r="E28" i="8" a="1"/>
  <c r="E28" i="8" s="1"/>
  <c r="J25" i="8" a="1"/>
  <c r="J25" i="8" s="1"/>
  <c r="K25" i="8" s="1" a="1"/>
  <c r="K25" i="8" s="1"/>
  <c r="T26" i="8" l="1"/>
  <c r="Q25" i="8"/>
  <c r="O26" i="8"/>
  <c r="V26" i="8"/>
  <c r="Q22" i="8"/>
  <c r="O22" i="8"/>
  <c r="T22" i="8"/>
  <c r="T23" i="8"/>
  <c r="O23" i="8"/>
  <c r="Q23" i="8"/>
  <c r="L28" i="8" a="1"/>
  <c r="L28" i="8" s="1"/>
  <c r="T25" i="8"/>
  <c r="Q26" i="8"/>
  <c r="N27" i="8" a="1"/>
  <c r="N27" i="8" s="1"/>
  <c r="M27" i="8" a="1"/>
  <c r="M27" i="8" s="1"/>
  <c r="V27" i="8" s="1"/>
  <c r="C30" i="8" a="1"/>
  <c r="C30" i="8" s="1"/>
  <c r="H29" i="8"/>
  <c r="G29" i="8" a="1"/>
  <c r="G29" i="8" s="1"/>
  <c r="E29" i="8" a="1"/>
  <c r="E29" i="8" s="1"/>
  <c r="D28" i="8"/>
  <c r="I28" i="8" s="1" a="1"/>
  <c r="I28" i="8" s="1"/>
  <c r="F28" i="8"/>
  <c r="J26" i="8" a="1"/>
  <c r="J26" i="8" s="1"/>
  <c r="K26" i="8" s="1" a="1"/>
  <c r="K26" i="8" s="1"/>
  <c r="R26" i="8"/>
  <c r="R24" i="8"/>
  <c r="R22" i="8"/>
  <c r="R25" i="8"/>
  <c r="R23" i="8"/>
  <c r="Q27" i="8" l="1"/>
  <c r="N28" i="8" a="1"/>
  <c r="N28" i="8" s="1"/>
  <c r="M28" i="8" a="1"/>
  <c r="M28" i="8" s="1"/>
  <c r="V28" i="8" s="1"/>
  <c r="T27" i="8"/>
  <c r="L29" i="8" a="1"/>
  <c r="L29" i="8" s="1"/>
  <c r="O27" i="8"/>
  <c r="D29" i="8"/>
  <c r="F29" i="8"/>
  <c r="C31" i="8" a="1"/>
  <c r="C31" i="8" s="1"/>
  <c r="H30" i="8"/>
  <c r="AB30" i="8" s="1"/>
  <c r="G30" i="8" a="1"/>
  <c r="G30" i="8" s="1"/>
  <c r="E30" i="8" a="1"/>
  <c r="E30" i="8" s="1"/>
  <c r="J27" i="8" a="1"/>
  <c r="J27" i="8" s="1"/>
  <c r="K27" i="8" s="1" a="1"/>
  <c r="K27" i="8" s="1"/>
  <c r="R27" i="8"/>
  <c r="AD30" i="8" l="1"/>
  <c r="AA30" i="8"/>
  <c r="Y30" i="8"/>
  <c r="Z30" i="8"/>
  <c r="AC30" i="8"/>
  <c r="T28" i="8"/>
  <c r="S29" i="8"/>
  <c r="M29" i="8" a="1"/>
  <c r="M29" i="8" s="1"/>
  <c r="W29" i="8"/>
  <c r="V29" i="8"/>
  <c r="P29" i="8"/>
  <c r="O29" i="8"/>
  <c r="X29" i="8"/>
  <c r="T29" i="8"/>
  <c r="Q29" i="8"/>
  <c r="R29" i="8"/>
  <c r="N29" i="8" a="1"/>
  <c r="N29" i="8" s="1"/>
  <c r="U29" i="8"/>
  <c r="Q28" i="8"/>
  <c r="O28" i="8"/>
  <c r="K30" i="8" a="1"/>
  <c r="K30" i="8" s="1"/>
  <c r="L30" i="8" a="1"/>
  <c r="L30" i="8" s="1"/>
  <c r="C32" i="8" a="1"/>
  <c r="C32" i="8" s="1"/>
  <c r="H31" i="8"/>
  <c r="G31" i="8" a="1"/>
  <c r="G31" i="8" s="1"/>
  <c r="E31" i="8" a="1"/>
  <c r="E31" i="8" s="1"/>
  <c r="F30" i="8"/>
  <c r="D30" i="8"/>
  <c r="I29" i="8" a="1"/>
  <c r="I29" i="8" s="1"/>
  <c r="K29" i="8" s="1" a="1"/>
  <c r="K29" i="8" s="1"/>
  <c r="J28" i="8" a="1"/>
  <c r="J28" i="8" s="1"/>
  <c r="K28" i="8" s="1" a="1"/>
  <c r="K28" i="8" s="1"/>
  <c r="P23" i="8"/>
  <c r="P25" i="8"/>
  <c r="P24" i="8"/>
  <c r="P26" i="8"/>
  <c r="P27" i="8"/>
  <c r="P22" i="8"/>
  <c r="R28" i="8"/>
  <c r="P28" i="8"/>
  <c r="Z31" i="8" l="1"/>
  <c r="AB31" i="8"/>
  <c r="K31" i="8" a="1"/>
  <c r="K31" i="8" s="1"/>
  <c r="L31" i="8" a="1"/>
  <c r="L31" i="8" s="1"/>
  <c r="S30" i="8"/>
  <c r="W30" i="8"/>
  <c r="M30" i="8" a="1"/>
  <c r="M30" i="8" s="1"/>
  <c r="V30" i="8"/>
  <c r="X30" i="8"/>
  <c r="U30" i="8"/>
  <c r="R30" i="8"/>
  <c r="N30" i="8" a="1"/>
  <c r="N30" i="8" s="1"/>
  <c r="Q30" i="8"/>
  <c r="P30" i="8"/>
  <c r="O30" i="8"/>
  <c r="T30" i="8"/>
  <c r="AD31" i="8"/>
  <c r="AA31" i="8"/>
  <c r="AC31" i="8"/>
  <c r="S28" i="8"/>
  <c r="S26" i="8"/>
  <c r="S24" i="8"/>
  <c r="S22" i="8"/>
  <c r="S23" i="8"/>
  <c r="S25" i="8"/>
  <c r="S27" i="8"/>
  <c r="F31" i="8"/>
  <c r="D31" i="8"/>
  <c r="I31" i="8" s="1" a="1"/>
  <c r="I31" i="8" s="1"/>
  <c r="I30" i="8" a="1"/>
  <c r="I30" i="8" s="1"/>
  <c r="C33" i="8" a="1"/>
  <c r="C33" i="8" s="1"/>
  <c r="G32" i="8" a="1"/>
  <c r="G32" i="8" s="1"/>
  <c r="E32" i="8" a="1"/>
  <c r="E32" i="8" s="1"/>
  <c r="H32" i="8"/>
  <c r="J29" i="8" a="1"/>
  <c r="J29" i="8" s="1"/>
  <c r="T31" i="8" l="1"/>
  <c r="Q31" i="8"/>
  <c r="N31" i="8" a="1"/>
  <c r="N31" i="8" s="1"/>
  <c r="S31" i="8"/>
  <c r="W31" i="8"/>
  <c r="M31" i="8" a="1"/>
  <c r="M31" i="8" s="1"/>
  <c r="V31" i="8"/>
  <c r="P31" i="8"/>
  <c r="O31" i="8"/>
  <c r="X31" i="8"/>
  <c r="R31" i="8"/>
  <c r="U31" i="8"/>
  <c r="L32" i="8" a="1"/>
  <c r="L32" i="8" s="1"/>
  <c r="D32" i="8"/>
  <c r="I32" i="8" s="1" a="1"/>
  <c r="I32" i="8" s="1"/>
  <c r="F32" i="8"/>
  <c r="C34" i="8" a="1"/>
  <c r="C34" i="8" s="1"/>
  <c r="H33" i="8"/>
  <c r="G33" i="8" a="1"/>
  <c r="G33" i="8" s="1"/>
  <c r="E33" i="8" a="1"/>
  <c r="E33" i="8" s="1"/>
  <c r="J30" i="8" a="1"/>
  <c r="J30" i="8" s="1"/>
  <c r="M32" i="8" l="1" a="1"/>
  <c r="M32" i="8" s="1"/>
  <c r="L33" i="8" a="1"/>
  <c r="L33" i="8" s="1"/>
  <c r="F33" i="8"/>
  <c r="D33" i="8"/>
  <c r="I33" i="8" s="1" a="1"/>
  <c r="I33" i="8" s="1"/>
  <c r="C35" i="8" a="1"/>
  <c r="C35" i="8" s="1"/>
  <c r="H34" i="8"/>
  <c r="G34" i="8" a="1"/>
  <c r="G34" i="8" s="1"/>
  <c r="E34" i="8" a="1"/>
  <c r="E34" i="8" s="1"/>
  <c r="J31" i="8" a="1"/>
  <c r="J31" i="8" s="1"/>
  <c r="V32" i="8" l="1"/>
  <c r="L34" i="8" a="1"/>
  <c r="L34" i="8" s="1"/>
  <c r="M33" i="8" a="1"/>
  <c r="M33" i="8" s="1"/>
  <c r="V33" i="8" s="1"/>
  <c r="C36" i="8" a="1"/>
  <c r="C36" i="8" s="1"/>
  <c r="N32" i="8" s="1" a="1"/>
  <c r="N32" i="8" s="1"/>
  <c r="T32" i="8" s="1"/>
  <c r="G35" i="8" a="1"/>
  <c r="G35" i="8" s="1"/>
  <c r="H35" i="8"/>
  <c r="E35" i="8" a="1"/>
  <c r="E35" i="8" s="1"/>
  <c r="F34" i="8"/>
  <c r="D34" i="8"/>
  <c r="I34" i="8" s="1" a="1"/>
  <c r="I34" i="8" s="1"/>
  <c r="J32" i="8" a="1"/>
  <c r="J32" i="8" s="1"/>
  <c r="K32" i="8" s="1" a="1"/>
  <c r="K32" i="8" s="1"/>
  <c r="L35" i="8" l="1" a="1"/>
  <c r="L35" i="8" s="1"/>
  <c r="Q32" i="8"/>
  <c r="O32" i="8"/>
  <c r="M34" i="8" a="1"/>
  <c r="M34" i="8" s="1"/>
  <c r="N34" i="8" a="1"/>
  <c r="N34" i="8" s="1"/>
  <c r="N33" i="8" a="1"/>
  <c r="N33" i="8" s="1"/>
  <c r="Q33" i="8" s="1"/>
  <c r="D35" i="8"/>
  <c r="I35" i="8" s="1" a="1"/>
  <c r="I35" i="8" s="1"/>
  <c r="F35" i="8"/>
  <c r="C37" i="8" a="1"/>
  <c r="C37" i="8" s="1"/>
  <c r="G36" i="8" a="1"/>
  <c r="G36" i="8" s="1"/>
  <c r="E36" i="8" a="1"/>
  <c r="E36" i="8" s="1"/>
  <c r="H36" i="8"/>
  <c r="J33" i="8" a="1"/>
  <c r="J33" i="8" s="1"/>
  <c r="K33" i="8" s="1" a="1"/>
  <c r="K33" i="8" s="1"/>
  <c r="O34" i="8" l="1"/>
  <c r="V34" i="8"/>
  <c r="O33" i="8"/>
  <c r="Q34" i="8"/>
  <c r="T33" i="8"/>
  <c r="T34" i="8"/>
  <c r="M35" i="8" a="1"/>
  <c r="M35" i="8" s="1"/>
  <c r="N35" i="8" a="1"/>
  <c r="N35" i="8" s="1"/>
  <c r="L36" i="8" a="1"/>
  <c r="L36" i="8" s="1"/>
  <c r="D36" i="8"/>
  <c r="I36" i="8" s="1" a="1"/>
  <c r="I36" i="8" s="1"/>
  <c r="F36" i="8"/>
  <c r="C38" i="8" a="1"/>
  <c r="C38" i="8" s="1"/>
  <c r="G37" i="8" a="1"/>
  <c r="G37" i="8" s="1"/>
  <c r="E37" i="8" a="1"/>
  <c r="E37" i="8" s="1"/>
  <c r="H37" i="8"/>
  <c r="J34" i="8" a="1"/>
  <c r="J34" i="8" s="1"/>
  <c r="K34" i="8" s="1" a="1"/>
  <c r="K34" i="8" s="1"/>
  <c r="R34" i="8"/>
  <c r="R32" i="8"/>
  <c r="R33" i="8"/>
  <c r="T35" i="8" l="1"/>
  <c r="M36" i="8" a="1"/>
  <c r="M36" i="8" s="1"/>
  <c r="V36" i="8" s="1"/>
  <c r="N36" i="8" a="1"/>
  <c r="N36" i="8" s="1"/>
  <c r="O35" i="8"/>
  <c r="V35" i="8"/>
  <c r="L37" i="8" a="1"/>
  <c r="L37" i="8" s="1"/>
  <c r="Q35" i="8"/>
  <c r="D37" i="8"/>
  <c r="I37" i="8" s="1" a="1"/>
  <c r="I37" i="8" s="1"/>
  <c r="K37" i="8" s="1" a="1"/>
  <c r="K37" i="8" s="1"/>
  <c r="F37" i="8"/>
  <c r="C39" i="8" a="1"/>
  <c r="C39" i="8" s="1"/>
  <c r="H38" i="8"/>
  <c r="AB38" i="8" s="1"/>
  <c r="G38" i="8" a="1"/>
  <c r="G38" i="8" s="1"/>
  <c r="E38" i="8" a="1"/>
  <c r="E38" i="8" s="1"/>
  <c r="J35" i="8" a="1"/>
  <c r="J35" i="8" s="1"/>
  <c r="K35" i="8" s="1" a="1"/>
  <c r="K35" i="8" s="1"/>
  <c r="R35" i="8"/>
  <c r="T36" i="8" l="1"/>
  <c r="AC38" i="8"/>
  <c r="AD38" i="8"/>
  <c r="AA38" i="8"/>
  <c r="Y38" i="8"/>
  <c r="Z38" i="8"/>
  <c r="X37" i="8"/>
  <c r="U37" i="8"/>
  <c r="R37" i="8"/>
  <c r="V37" i="8"/>
  <c r="S37" i="8"/>
  <c r="O37" i="8"/>
  <c r="W37" i="8"/>
  <c r="T37" i="8"/>
  <c r="Q37" i="8"/>
  <c r="N37" i="8" a="1"/>
  <c r="N37" i="8" s="1"/>
  <c r="M37" i="8" a="1"/>
  <c r="M37" i="8" s="1"/>
  <c r="P37" i="8"/>
  <c r="Q36" i="8"/>
  <c r="O36" i="8"/>
  <c r="K38" i="8" a="1"/>
  <c r="K38" i="8" s="1"/>
  <c r="L38" i="8" a="1"/>
  <c r="L38" i="8" s="1"/>
  <c r="F38" i="8"/>
  <c r="D38" i="8"/>
  <c r="I38" i="8" s="1" a="1"/>
  <c r="I38" i="8" s="1"/>
  <c r="C40" i="8" a="1"/>
  <c r="C40" i="8" s="1"/>
  <c r="G39" i="8" a="1"/>
  <c r="G39" i="8" s="1"/>
  <c r="E39" i="8" a="1"/>
  <c r="E39" i="8" s="1"/>
  <c r="H39" i="8"/>
  <c r="AB39" i="8" s="1"/>
  <c r="J36" i="8" a="1"/>
  <c r="J36" i="8" s="1"/>
  <c r="K36" i="8" s="1" a="1"/>
  <c r="K36" i="8" s="1"/>
  <c r="P32" i="8"/>
  <c r="P35" i="8"/>
  <c r="R36" i="8"/>
  <c r="P34" i="8"/>
  <c r="P33" i="8"/>
  <c r="P36" i="8"/>
  <c r="P38" i="8" l="1"/>
  <c r="X38" i="8"/>
  <c r="U38" i="8"/>
  <c r="R38" i="8"/>
  <c r="N38" i="8" a="1"/>
  <c r="N38" i="8" s="1"/>
  <c r="V38" i="8"/>
  <c r="S38" i="8"/>
  <c r="W38" i="8"/>
  <c r="T38" i="8"/>
  <c r="M38" i="8" a="1"/>
  <c r="M38" i="8" s="1"/>
  <c r="Q38" i="8"/>
  <c r="O38" i="8"/>
  <c r="L39" i="8" a="1"/>
  <c r="L39" i="8" s="1"/>
  <c r="K39" i="8" a="1"/>
  <c r="K39" i="8" s="1"/>
  <c r="AA39" i="8"/>
  <c r="AC39" i="8"/>
  <c r="AD39" i="8"/>
  <c r="Y39" i="8"/>
  <c r="Z39" i="8"/>
  <c r="S36" i="8"/>
  <c r="S34" i="8"/>
  <c r="S32" i="8"/>
  <c r="S33" i="8"/>
  <c r="S35" i="8"/>
  <c r="F39" i="8"/>
  <c r="D39" i="8"/>
  <c r="I39" i="8" s="1" a="1"/>
  <c r="I39" i="8" s="1"/>
  <c r="C41" i="8" a="1"/>
  <c r="C41" i="8" s="1"/>
  <c r="G40" i="8" a="1"/>
  <c r="G40" i="8" s="1"/>
  <c r="E40" i="8" a="1"/>
  <c r="E40" i="8" s="1"/>
  <c r="H40" i="8"/>
  <c r="AB40" i="8" s="1"/>
  <c r="J37" i="8" a="1"/>
  <c r="J37" i="8" s="1"/>
  <c r="U34" i="8"/>
  <c r="U32" i="8"/>
  <c r="U36" i="8"/>
  <c r="U33" i="8"/>
  <c r="U35" i="8"/>
  <c r="L40" i="8" l="1" a="1"/>
  <c r="L40" i="8" s="1"/>
  <c r="K40" i="8" a="1"/>
  <c r="K40" i="8" s="1"/>
  <c r="Z40" i="8"/>
  <c r="AC40" i="8"/>
  <c r="AD40" i="8"/>
  <c r="AA40" i="8"/>
  <c r="Y40" i="8"/>
  <c r="T39" i="8"/>
  <c r="Q39" i="8"/>
  <c r="M39" i="8" a="1"/>
  <c r="M39" i="8" s="1"/>
  <c r="P39" i="8"/>
  <c r="X39" i="8"/>
  <c r="U39" i="8"/>
  <c r="R39" i="8"/>
  <c r="N39" i="8" a="1"/>
  <c r="N39" i="8" s="1"/>
  <c r="V39" i="8"/>
  <c r="O39" i="8"/>
  <c r="W39" i="8"/>
  <c r="S39" i="8"/>
  <c r="D40" i="8"/>
  <c r="I40" i="8" s="1" a="1"/>
  <c r="I40" i="8" s="1"/>
  <c r="F40" i="8"/>
  <c r="C42" i="8" a="1"/>
  <c r="C42" i="8" s="1"/>
  <c r="H41" i="8"/>
  <c r="AB41" i="8" s="1"/>
  <c r="G41" i="8" a="1"/>
  <c r="G41" i="8" s="1"/>
  <c r="E41" i="8" a="1"/>
  <c r="E41" i="8" s="1"/>
  <c r="J38" i="8" a="1"/>
  <c r="J38" i="8" s="1"/>
  <c r="W36" i="8"/>
  <c r="W34" i="8"/>
  <c r="W33" i="8"/>
  <c r="W32" i="8"/>
  <c r="W35" i="8"/>
  <c r="W40" i="8" l="1"/>
  <c r="T40" i="8"/>
  <c r="Q40" i="8"/>
  <c r="M40" i="8" a="1"/>
  <c r="M40" i="8" s="1"/>
  <c r="P40" i="8"/>
  <c r="X40" i="8"/>
  <c r="U40" i="8"/>
  <c r="R40" i="8"/>
  <c r="N40" i="8" a="1"/>
  <c r="N40" i="8" s="1"/>
  <c r="V40" i="8"/>
  <c r="S40" i="8"/>
  <c r="O40" i="8"/>
  <c r="Z41" i="8"/>
  <c r="AC41" i="8"/>
  <c r="AD41" i="8"/>
  <c r="Y41" i="8"/>
  <c r="AA41" i="8"/>
  <c r="L41" i="8" a="1"/>
  <c r="L41" i="8" s="1"/>
  <c r="K41" i="8" a="1"/>
  <c r="K41" i="8" s="1"/>
  <c r="X36" i="8"/>
  <c r="X32" i="8"/>
  <c r="X35" i="8"/>
  <c r="X34" i="8"/>
  <c r="X33" i="8"/>
  <c r="C43" i="8" a="1"/>
  <c r="C43" i="8" s="1"/>
  <c r="H42" i="8"/>
  <c r="AB42" i="8" s="1"/>
  <c r="G42" i="8" a="1"/>
  <c r="G42" i="8" s="1"/>
  <c r="E42" i="8" a="1"/>
  <c r="E42" i="8" s="1"/>
  <c r="F41" i="8"/>
  <c r="D41" i="8"/>
  <c r="I41" i="8" s="1" a="1"/>
  <c r="I41" i="8" s="1"/>
  <c r="J39" i="8" a="1"/>
  <c r="J39" i="8" s="1"/>
  <c r="K42" i="8" l="1" a="1"/>
  <c r="K42" i="8" s="1"/>
  <c r="L42" i="8" a="1"/>
  <c r="L42" i="8" s="1"/>
  <c r="AD42" i="8"/>
  <c r="AA42" i="8"/>
  <c r="Y42" i="8"/>
  <c r="Z42" i="8"/>
  <c r="AC42" i="8"/>
  <c r="O41" i="8"/>
  <c r="W41" i="8"/>
  <c r="T41" i="8"/>
  <c r="Q41" i="8"/>
  <c r="P41" i="8"/>
  <c r="M41" i="8" a="1"/>
  <c r="M41" i="8" s="1"/>
  <c r="X41" i="8"/>
  <c r="U41" i="8"/>
  <c r="R41" i="8"/>
  <c r="N41" i="8" a="1"/>
  <c r="N41" i="8" s="1"/>
  <c r="V41" i="8"/>
  <c r="S41" i="8"/>
  <c r="F42" i="8"/>
  <c r="D42" i="8"/>
  <c r="I42" i="8" s="1" a="1"/>
  <c r="I42" i="8" s="1"/>
  <c r="C44" i="8" a="1"/>
  <c r="C44" i="8" s="1"/>
  <c r="G43" i="8" a="1"/>
  <c r="G43" i="8" s="1"/>
  <c r="E43" i="8" a="1"/>
  <c r="E43" i="8" s="1"/>
  <c r="H43" i="8"/>
  <c r="AB43" i="8" s="1"/>
  <c r="J41" i="8" a="1"/>
  <c r="J41" i="8" s="1"/>
  <c r="V42" i="8" l="1"/>
  <c r="S42" i="8"/>
  <c r="O42" i="8"/>
  <c r="W42" i="8"/>
  <c r="T42" i="8"/>
  <c r="Q42" i="8"/>
  <c r="P42" i="8"/>
  <c r="X42" i="8"/>
  <c r="N42" i="8" a="1"/>
  <c r="N42" i="8" s="1"/>
  <c r="U42" i="8"/>
  <c r="M42" i="8" a="1"/>
  <c r="M42" i="8" s="1"/>
  <c r="R42" i="8"/>
  <c r="AD43" i="8"/>
  <c r="AA43" i="8"/>
  <c r="Y43" i="8"/>
  <c r="Z43" i="8"/>
  <c r="AC43" i="8"/>
  <c r="K43" i="8" a="1"/>
  <c r="K43" i="8" s="1"/>
  <c r="L43" i="8" a="1"/>
  <c r="L43" i="8" s="1"/>
  <c r="D43" i="8"/>
  <c r="I43" i="8" s="1" a="1"/>
  <c r="I43" i="8" s="1"/>
  <c r="C45" i="8" a="1"/>
  <c r="C45" i="8" s="1"/>
  <c r="H44" i="8"/>
  <c r="AB44" i="8" s="1"/>
  <c r="G44" i="8" a="1"/>
  <c r="G44" i="8" s="1"/>
  <c r="E44" i="8" a="1"/>
  <c r="E44" i="8" s="1"/>
  <c r="F43" i="8"/>
  <c r="J43" i="8" a="1"/>
  <c r="J43" i="8" s="1"/>
  <c r="K44" i="8" l="1" a="1"/>
  <c r="K44" i="8" s="1"/>
  <c r="L44" i="8" a="1"/>
  <c r="L44" i="8" s="1"/>
  <c r="V43" i="8"/>
  <c r="S43" i="8"/>
  <c r="O43" i="8"/>
  <c r="W43" i="8"/>
  <c r="T43" i="8"/>
  <c r="Q43" i="8"/>
  <c r="X43" i="8"/>
  <c r="U43" i="8"/>
  <c r="R43" i="8"/>
  <c r="M43" i="8" a="1"/>
  <c r="M43" i="8" s="1"/>
  <c r="P43" i="8"/>
  <c r="N43" i="8" a="1"/>
  <c r="N43" i="8" s="1"/>
  <c r="AD44" i="8"/>
  <c r="AA44" i="8"/>
  <c r="Y44" i="8"/>
  <c r="Z44" i="8"/>
  <c r="AC44" i="8"/>
  <c r="D44" i="8"/>
  <c r="I44" i="8" s="1" a="1"/>
  <c r="I44" i="8" s="1"/>
  <c r="F44" i="8"/>
  <c r="C46" i="8" a="1"/>
  <c r="C46" i="8" s="1"/>
  <c r="H45" i="8"/>
  <c r="AB45" i="8" s="1"/>
  <c r="G45" i="8" a="1"/>
  <c r="G45" i="8" s="1"/>
  <c r="E45" i="8" a="1"/>
  <c r="E45" i="8" s="1"/>
  <c r="J45" i="8" a="1"/>
  <c r="J45" i="8" s="1"/>
  <c r="AD45" i="8" l="1"/>
  <c r="AA45" i="8"/>
  <c r="Y45" i="8"/>
  <c r="Z45" i="8"/>
  <c r="AC45" i="8"/>
  <c r="K45" i="8" a="1"/>
  <c r="K45" i="8" s="1"/>
  <c r="L45" i="8" a="1"/>
  <c r="L45" i="8" s="1"/>
  <c r="N44" i="8" a="1"/>
  <c r="N44" i="8" s="1"/>
  <c r="V44" i="8"/>
  <c r="S44" i="8"/>
  <c r="O44" i="8"/>
  <c r="W44" i="8"/>
  <c r="P44" i="8"/>
  <c r="U44" i="8"/>
  <c r="T44" i="8"/>
  <c r="M44" i="8" a="1"/>
  <c r="M44" i="8" s="1"/>
  <c r="X44" i="8"/>
  <c r="R44" i="8"/>
  <c r="Q44" i="8"/>
  <c r="C47" i="8" a="1"/>
  <c r="C47" i="8" s="1"/>
  <c r="J47" i="8" s="1" a="1"/>
  <c r="J47" i="8" s="1"/>
  <c r="H46" i="8"/>
  <c r="AB46" i="8" s="1"/>
  <c r="G46" i="8" a="1"/>
  <c r="G46" i="8" s="1"/>
  <c r="E46" i="8" a="1"/>
  <c r="E46" i="8" s="1"/>
  <c r="D45" i="8"/>
  <c r="I45" i="8" s="1" a="1"/>
  <c r="I45" i="8" s="1"/>
  <c r="F45" i="8"/>
  <c r="K46" i="8" l="1" a="1"/>
  <c r="K46" i="8" s="1"/>
  <c r="L46" i="8" a="1"/>
  <c r="L46" i="8" s="1"/>
  <c r="AC46" i="8"/>
  <c r="AD46" i="8"/>
  <c r="AA46" i="8"/>
  <c r="Y46" i="8"/>
  <c r="Z46" i="8"/>
  <c r="X45" i="8"/>
  <c r="U45" i="8"/>
  <c r="R45" i="8"/>
  <c r="N45" i="8" a="1"/>
  <c r="N45" i="8" s="1"/>
  <c r="M45" i="8" a="1"/>
  <c r="M45" i="8" s="1"/>
  <c r="V45" i="8"/>
  <c r="S45" i="8"/>
  <c r="O45" i="8"/>
  <c r="W45" i="8"/>
  <c r="T45" i="8"/>
  <c r="Q45" i="8"/>
  <c r="P45" i="8"/>
  <c r="D46" i="8"/>
  <c r="I46" i="8" s="1" a="1"/>
  <c r="I46" i="8" s="1"/>
  <c r="F46" i="8"/>
  <c r="C48" i="8" a="1"/>
  <c r="C48" i="8" s="1"/>
  <c r="H47" i="8"/>
  <c r="AB47" i="8" s="1"/>
  <c r="G47" i="8" a="1"/>
  <c r="G47" i="8" s="1"/>
  <c r="E47" i="8" a="1"/>
  <c r="E47" i="8" s="1"/>
  <c r="P46" i="8" l="1"/>
  <c r="X46" i="8"/>
  <c r="U46" i="8"/>
  <c r="R46" i="8"/>
  <c r="N46" i="8" a="1"/>
  <c r="N46" i="8" s="1"/>
  <c r="M46" i="8" a="1"/>
  <c r="M46" i="8" s="1"/>
  <c r="V46" i="8"/>
  <c r="S46" i="8"/>
  <c r="W46" i="8"/>
  <c r="O46" i="8"/>
  <c r="T46" i="8"/>
  <c r="Q46" i="8"/>
  <c r="AC47" i="8"/>
  <c r="AA47" i="8"/>
  <c r="AD47" i="8"/>
  <c r="Y47" i="8"/>
  <c r="Z47" i="8"/>
  <c r="L47" i="8" a="1"/>
  <c r="L47" i="8" s="1"/>
  <c r="K47" i="8" a="1"/>
  <c r="K47" i="8" s="1"/>
  <c r="C49" i="8" a="1"/>
  <c r="C49" i="8" s="1"/>
  <c r="H48" i="8"/>
  <c r="AB48" i="8" s="1"/>
  <c r="G48" i="8" a="1"/>
  <c r="G48" i="8" s="1"/>
  <c r="E48" i="8" a="1"/>
  <c r="E48" i="8" s="1"/>
  <c r="D47" i="8"/>
  <c r="I47" i="8" s="1" a="1"/>
  <c r="I47" i="8" s="1"/>
  <c r="F47" i="8"/>
  <c r="Z48" i="8" l="1"/>
  <c r="AC48" i="8"/>
  <c r="AD48" i="8"/>
  <c r="AA48" i="8"/>
  <c r="Y48" i="8"/>
  <c r="L48" i="8" a="1"/>
  <c r="L48" i="8" s="1"/>
  <c r="K48" i="8" a="1"/>
  <c r="K48" i="8" s="1"/>
  <c r="T47" i="8"/>
  <c r="Q47" i="8"/>
  <c r="P47" i="8"/>
  <c r="X47" i="8"/>
  <c r="U47" i="8"/>
  <c r="R47" i="8"/>
  <c r="N47" i="8" a="1"/>
  <c r="N47" i="8" s="1"/>
  <c r="M47" i="8" a="1"/>
  <c r="M47" i="8" s="1"/>
  <c r="O47" i="8"/>
  <c r="V47" i="8"/>
  <c r="W47" i="8"/>
  <c r="S47" i="8"/>
  <c r="D48" i="8"/>
  <c r="I48" i="8" s="1" a="1"/>
  <c r="I48" i="8" s="1"/>
  <c r="F48" i="8"/>
  <c r="C50" i="8" a="1"/>
  <c r="C50" i="8" s="1"/>
  <c r="H49" i="8"/>
  <c r="AB49" i="8" s="1"/>
  <c r="G49" i="8" a="1"/>
  <c r="G49" i="8" s="1"/>
  <c r="E49" i="8" a="1"/>
  <c r="E49" i="8" s="1"/>
  <c r="J49" i="8" a="1"/>
  <c r="J49" i="8" s="1"/>
  <c r="Z49" i="8" l="1"/>
  <c r="AC49" i="8"/>
  <c r="AD49" i="8"/>
  <c r="Y49" i="8"/>
  <c r="AA49" i="8"/>
  <c r="N20" i="8" a="1"/>
  <c r="N20" i="8" s="1"/>
  <c r="N21" i="8" a="1"/>
  <c r="N21" i="8" s="1"/>
  <c r="W48" i="8"/>
  <c r="T48" i="8"/>
  <c r="Q48" i="8"/>
  <c r="P48" i="8"/>
  <c r="X48" i="8"/>
  <c r="U48" i="8"/>
  <c r="R48" i="8"/>
  <c r="V48" i="8"/>
  <c r="S48" i="8"/>
  <c r="M48" i="8" a="1"/>
  <c r="M48" i="8" s="1"/>
  <c r="N48" i="8" a="1"/>
  <c r="N48" i="8" s="1"/>
  <c r="O48" i="8"/>
  <c r="L49" i="8" a="1"/>
  <c r="L49" i="8" s="1"/>
  <c r="K49" i="8" a="1"/>
  <c r="K49" i="8" s="1"/>
  <c r="H50" i="8"/>
  <c r="AB50" i="8" s="1"/>
  <c r="G50" i="8" a="1"/>
  <c r="G50" i="8" s="1"/>
  <c r="E50" i="8" a="1"/>
  <c r="E50" i="8" s="1"/>
  <c r="I49" i="8" a="1"/>
  <c r="I49" i="8" s="1"/>
  <c r="F49" i="8"/>
  <c r="T20" i="8" l="1"/>
  <c r="Q20" i="8"/>
  <c r="O20" i="8"/>
  <c r="AD50" i="8"/>
  <c r="AA50" i="8"/>
  <c r="Y50" i="8"/>
  <c r="Z50" i="8"/>
  <c r="AC50" i="8"/>
  <c r="O21" i="8"/>
  <c r="T21" i="8"/>
  <c r="Q21" i="8"/>
  <c r="O49" i="8"/>
  <c r="W49" i="8"/>
  <c r="T49" i="8"/>
  <c r="Q49" i="8"/>
  <c r="P49" i="8"/>
  <c r="X49" i="8"/>
  <c r="U49" i="8"/>
  <c r="R49" i="8"/>
  <c r="N49" i="8" a="1"/>
  <c r="N49" i="8" s="1"/>
  <c r="S49" i="8"/>
  <c r="V49" i="8"/>
  <c r="M49" i="8" a="1"/>
  <c r="M49" i="8" s="1"/>
  <c r="K50" i="8" a="1"/>
  <c r="K50" i="8" s="1"/>
  <c r="L50" i="8" a="1"/>
  <c r="L50" i="8" s="1"/>
  <c r="I50" i="8" a="1"/>
  <c r="I50" i="8" s="1"/>
  <c r="F50" i="8"/>
  <c r="R20" i="8"/>
  <c r="P20" i="8"/>
  <c r="R21" i="8"/>
  <c r="P21" i="8"/>
  <c r="S20" i="8" l="1"/>
  <c r="S21" i="8"/>
  <c r="V50" i="8"/>
  <c r="S50" i="8"/>
  <c r="N50" i="8" a="1"/>
  <c r="N50" i="8" s="1"/>
  <c r="O50" i="8"/>
  <c r="M50" i="8" a="1"/>
  <c r="M50" i="8" s="1"/>
  <c r="W50" i="8"/>
  <c r="T50" i="8"/>
  <c r="Q50" i="8"/>
  <c r="P50" i="8"/>
  <c r="X50" i="8"/>
  <c r="U50" i="8"/>
  <c r="R50" i="8"/>
  <c r="U22" i="8"/>
  <c r="U27" i="8"/>
  <c r="U20" i="8"/>
  <c r="U25" i="8"/>
  <c r="U24" i="8"/>
  <c r="U26" i="8"/>
  <c r="U28" i="8"/>
  <c r="U21" i="8"/>
  <c r="U23" i="8"/>
  <c r="Y15" i="8" l="1"/>
  <c r="AA15" i="8"/>
  <c r="AA16" i="8"/>
  <c r="AA14" i="8"/>
  <c r="Z16" i="8"/>
  <c r="Z15" i="8"/>
  <c r="Y16" i="8"/>
  <c r="Y14" i="8"/>
  <c r="Z14" i="8"/>
  <c r="W20" i="8"/>
  <c r="W25" i="8"/>
  <c r="W22" i="8"/>
  <c r="W28" i="8"/>
  <c r="W26" i="8"/>
  <c r="W27" i="8"/>
  <c r="W24" i="8"/>
  <c r="W23" i="8"/>
  <c r="W21" i="8"/>
  <c r="X23" i="8" l="1"/>
  <c r="X27" i="8"/>
  <c r="X28" i="8"/>
  <c r="X24" i="8"/>
  <c r="X22" i="8"/>
  <c r="X20" i="8"/>
  <c r="X25" i="8"/>
  <c r="X26" i="8"/>
  <c r="X21" i="8"/>
  <c r="AB16" i="8"/>
  <c r="AB15" i="8"/>
  <c r="AB14" i="8"/>
  <c r="AC14" i="8"/>
  <c r="AD14" i="8"/>
  <c r="AC16" i="8"/>
  <c r="AD16" i="8"/>
  <c r="AC15" i="8"/>
  <c r="AD15" i="8"/>
  <c r="N41" i="7" l="1" a="1"/>
  <c r="N41" i="7" s="1"/>
  <c r="N36" i="7" a="1"/>
  <c r="N36" i="7" s="1"/>
  <c r="M36" i="7" s="1" a="1"/>
  <c r="M36" i="7" s="1"/>
  <c r="N38" i="7" a="1"/>
  <c r="N38" i="7" s="1"/>
  <c r="M38" i="7" s="1" a="1"/>
  <c r="M38" i="7" s="1"/>
  <c r="N39" i="7" a="1"/>
  <c r="N39" i="7" s="1"/>
  <c r="M39" i="7" s="1" a="1"/>
  <c r="M39" i="7" s="1"/>
  <c r="N37" i="7" a="1"/>
  <c r="N37" i="7" s="1"/>
  <c r="M37" i="7" s="1" a="1"/>
  <c r="M37" i="7" s="1"/>
  <c r="N35" i="7" a="1"/>
  <c r="N35" i="7" s="1"/>
  <c r="M35" i="7" s="1" a="1"/>
  <c r="M35" i="7" s="1"/>
  <c r="J41" i="7" a="1"/>
  <c r="J41" i="7" s="1"/>
  <c r="J35" i="7" a="1"/>
  <c r="J35" i="7" s="1"/>
  <c r="I35" i="7" s="1" a="1"/>
  <c r="I35" i="7" s="1"/>
  <c r="AI29" i="8" s="1"/>
  <c r="J36" i="7" a="1"/>
  <c r="J36" i="7" s="1"/>
  <c r="J37" i="7" a="1"/>
  <c r="J37" i="7" s="1"/>
  <c r="J38" i="7" a="1"/>
  <c r="J38" i="7" s="1"/>
  <c r="J39" i="7" a="1"/>
  <c r="J39" i="7" s="1"/>
  <c r="AJ20" i="8"/>
  <c r="AJ19" i="8"/>
  <c r="AA26" i="8"/>
  <c r="Z24" i="8"/>
  <c r="Z34" i="8"/>
  <c r="AA20" i="8"/>
  <c r="AA36" i="8"/>
  <c r="Z32" i="8"/>
  <c r="Z27" i="8"/>
  <c r="Z33" i="8"/>
  <c r="Y22" i="8"/>
  <c r="Z26" i="8"/>
  <c r="Y24" i="8"/>
  <c r="AA29" i="8"/>
  <c r="Y36" i="8"/>
  <c r="Z23" i="8"/>
  <c r="Z20" i="8"/>
  <c r="Y34" i="8"/>
  <c r="Z21" i="8"/>
  <c r="AA28" i="8"/>
  <c r="Y29" i="8"/>
  <c r="AA27" i="8"/>
  <c r="AA33" i="8"/>
  <c r="AA23" i="8"/>
  <c r="AA24" i="8"/>
  <c r="Z35" i="8"/>
  <c r="Y28" i="8"/>
  <c r="Y26" i="8"/>
  <c r="Z28" i="8"/>
  <c r="Y27" i="8"/>
  <c r="Z36" i="8"/>
  <c r="Y20" i="8"/>
  <c r="AA32" i="8"/>
  <c r="Z37" i="8"/>
  <c r="Z25" i="8"/>
  <c r="AA22" i="8"/>
  <c r="AA34" i="8"/>
  <c r="AA21" i="8"/>
  <c r="Z22" i="8"/>
  <c r="Y33" i="8"/>
  <c r="Y37" i="8"/>
  <c r="Y23" i="8"/>
  <c r="AA37" i="8"/>
  <c r="Y21" i="8"/>
  <c r="Y31" i="8"/>
  <c r="AA35" i="8"/>
  <c r="Y32" i="8"/>
  <c r="AA25" i="8"/>
  <c r="Y35" i="8"/>
  <c r="Z29" i="8"/>
  <c r="Y25" i="8"/>
  <c r="AJ35" i="8" l="1"/>
  <c r="E25" i="7"/>
  <c r="AB36" i="8"/>
  <c r="AB29" i="8"/>
  <c r="AQ32" i="8"/>
  <c r="AP32" i="8"/>
  <c r="AP30" i="8"/>
  <c r="AQ30" i="8"/>
  <c r="AQ33" i="8"/>
  <c r="AP33" i="8"/>
  <c r="AQ31" i="8"/>
  <c r="AP31" i="8"/>
  <c r="AQ35" i="8"/>
  <c r="N40" i="7"/>
  <c r="AQ29" i="8"/>
  <c r="AP29" i="8"/>
  <c r="AJ29" i="8"/>
  <c r="I38" i="7" a="1"/>
  <c r="I38" i="7" s="1"/>
  <c r="AI32" i="8" s="1"/>
  <c r="AJ32" i="8"/>
  <c r="J40" i="7"/>
  <c r="AJ34" i="8" s="1"/>
  <c r="I37" i="7" a="1"/>
  <c r="I37" i="7" s="1"/>
  <c r="AI31" i="8" s="1"/>
  <c r="AJ31" i="8"/>
  <c r="I36" i="7" a="1"/>
  <c r="I36" i="7" s="1"/>
  <c r="AI30" i="8" s="1"/>
  <c r="AJ30" i="8"/>
  <c r="I39" i="7" a="1"/>
  <c r="I39" i="7" s="1"/>
  <c r="AI33" i="8" s="1"/>
  <c r="AJ33" i="8"/>
  <c r="AB26" i="8"/>
  <c r="AB22" i="8"/>
  <c r="AB28" i="8"/>
  <c r="AB20" i="8"/>
  <c r="AC35" i="8"/>
  <c r="AD35" i="8"/>
  <c r="AC21" i="8"/>
  <c r="AD21" i="8"/>
  <c r="AB37" i="8"/>
  <c r="AB35" i="8"/>
  <c r="AC27" i="8"/>
  <c r="AD27" i="8"/>
  <c r="AC29" i="8"/>
  <c r="AD29" i="8"/>
  <c r="AB33" i="8"/>
  <c r="AC20" i="8"/>
  <c r="AD20" i="8"/>
  <c r="AC34" i="8"/>
  <c r="AD34" i="8"/>
  <c r="AC32" i="8"/>
  <c r="AD32" i="8"/>
  <c r="AC24" i="8"/>
  <c r="AD24" i="8"/>
  <c r="AB27" i="8"/>
  <c r="AB34" i="8"/>
  <c r="AD25" i="8"/>
  <c r="AC25" i="8"/>
  <c r="AC22" i="8"/>
  <c r="AD22" i="8"/>
  <c r="AD23" i="8"/>
  <c r="AC23" i="8"/>
  <c r="AC28" i="8"/>
  <c r="AD28" i="8"/>
  <c r="AB23" i="8"/>
  <c r="AB32" i="8"/>
  <c r="AB24" i="8"/>
  <c r="AD37" i="8"/>
  <c r="AC37" i="8"/>
  <c r="AB25" i="8"/>
  <c r="AC33" i="8"/>
  <c r="AD33" i="8"/>
  <c r="AB21" i="8"/>
  <c r="AD36" i="8"/>
  <c r="AC36" i="8"/>
  <c r="AC26" i="8"/>
  <c r="AD26" i="8"/>
  <c r="I40" i="7" l="1"/>
  <c r="AI34" i="8" s="1"/>
  <c r="M40" i="7"/>
  <c r="AP34" i="8" s="1"/>
  <c r="AQ34" i="8"/>
  <c r="F77" i="7"/>
  <c r="F100" i="7"/>
  <c r="F81" i="7"/>
  <c r="F85" i="7"/>
  <c r="F72" i="7"/>
  <c r="F68" i="7"/>
  <c r="F56" i="7"/>
  <c r="F61" i="7"/>
  <c r="F84" i="7"/>
  <c r="F69" i="7"/>
  <c r="F76" i="7"/>
  <c r="F87" i="7"/>
  <c r="F60" i="7"/>
  <c r="F65" i="7"/>
  <c r="F80" i="7"/>
  <c r="F88" i="7"/>
  <c r="F75" i="7"/>
  <c r="F97" i="7"/>
  <c r="F92" i="7"/>
  <c r="F71" i="7"/>
  <c r="F63" i="7"/>
  <c r="F91" i="7"/>
  <c r="F64" i="7"/>
  <c r="F93" i="7"/>
  <c r="F79" i="7"/>
  <c r="F73" i="7"/>
  <c r="F95" i="7"/>
  <c r="F59" i="7"/>
  <c r="F57" i="7"/>
  <c r="F101" i="7"/>
  <c r="F83" i="7"/>
  <c r="F96" i="7"/>
  <c r="F99" i="7"/>
  <c r="F89" i="7"/>
  <c r="F67" i="7"/>
  <c r="F55" i="7"/>
  <c r="O71" i="7" l="1"/>
  <c r="L71" i="7"/>
  <c r="N71" i="7"/>
  <c r="M71" i="7"/>
  <c r="P71" i="7"/>
  <c r="Q71" i="7"/>
  <c r="O85" i="7"/>
  <c r="L85" i="7"/>
  <c r="P85" i="7"/>
  <c r="Q85" i="7"/>
  <c r="N85" i="7"/>
  <c r="M85" i="7"/>
  <c r="O81" i="7"/>
  <c r="L81" i="7"/>
  <c r="P81" i="7"/>
  <c r="Q81" i="7"/>
  <c r="M81" i="7"/>
  <c r="N81" i="7"/>
  <c r="O72" i="7"/>
  <c r="L72" i="7"/>
  <c r="Q72" i="7"/>
  <c r="N72" i="7"/>
  <c r="P72" i="7"/>
  <c r="M72" i="7"/>
  <c r="L76" i="7"/>
  <c r="O76" i="7"/>
  <c r="P76" i="7"/>
  <c r="Q76" i="7"/>
  <c r="M76" i="7"/>
  <c r="N76" i="7"/>
  <c r="O73" i="7"/>
  <c r="L73" i="7"/>
  <c r="M73" i="7"/>
  <c r="N73" i="7"/>
  <c r="P73" i="7"/>
  <c r="Q73" i="7"/>
  <c r="L97" i="7"/>
  <c r="O97" i="7"/>
  <c r="M97" i="7"/>
  <c r="N97" i="7"/>
  <c r="P97" i="7"/>
  <c r="Q97" i="7"/>
  <c r="L69" i="7"/>
  <c r="O69" i="7"/>
  <c r="Q69" i="7"/>
  <c r="M69" i="7"/>
  <c r="P69" i="7"/>
  <c r="N69" i="7"/>
  <c r="L100" i="7"/>
  <c r="O100" i="7"/>
  <c r="M100" i="7"/>
  <c r="N100" i="7"/>
  <c r="P100" i="7"/>
  <c r="Q100" i="7"/>
  <c r="O55" i="7"/>
  <c r="M55" i="7"/>
  <c r="P55" i="7"/>
  <c r="Q55" i="7"/>
  <c r="L92" i="7"/>
  <c r="O92" i="7"/>
  <c r="P92" i="7"/>
  <c r="Q92" i="7"/>
  <c r="N92" i="7"/>
  <c r="M92" i="7"/>
  <c r="O99" i="7"/>
  <c r="L99" i="7"/>
  <c r="Q99" i="7"/>
  <c r="N99" i="7"/>
  <c r="P99" i="7"/>
  <c r="M99" i="7"/>
  <c r="O79" i="7"/>
  <c r="L79" i="7"/>
  <c r="P79" i="7"/>
  <c r="M79" i="7"/>
  <c r="Q79" i="7"/>
  <c r="N79" i="7"/>
  <c r="L75" i="7"/>
  <c r="O75" i="7"/>
  <c r="P75" i="7"/>
  <c r="N75" i="7"/>
  <c r="Q75" i="7"/>
  <c r="M75" i="7"/>
  <c r="L84" i="7"/>
  <c r="O84" i="7"/>
  <c r="N84" i="7"/>
  <c r="P84" i="7"/>
  <c r="Q84" i="7"/>
  <c r="M84" i="7"/>
  <c r="O77" i="7"/>
  <c r="L77" i="7"/>
  <c r="M77" i="7"/>
  <c r="N77" i="7"/>
  <c r="P77" i="7"/>
  <c r="Q77" i="7"/>
  <c r="L60" i="7"/>
  <c r="O60" i="7"/>
  <c r="M60" i="7"/>
  <c r="N60" i="7"/>
  <c r="P60" i="7"/>
  <c r="Q60" i="7"/>
  <c r="L67" i="7"/>
  <c r="O67" i="7"/>
  <c r="M67" i="7"/>
  <c r="N67" i="7"/>
  <c r="P67" i="7"/>
  <c r="Q67" i="7"/>
  <c r="L93" i="7"/>
  <c r="O93" i="7"/>
  <c r="M93" i="7"/>
  <c r="Q93" i="7"/>
  <c r="N93" i="7"/>
  <c r="P93" i="7"/>
  <c r="L88" i="7"/>
  <c r="O88" i="7"/>
  <c r="Q88" i="7"/>
  <c r="M88" i="7"/>
  <c r="N88" i="7"/>
  <c r="P88" i="7"/>
  <c r="L61" i="7"/>
  <c r="O61" i="7"/>
  <c r="Q61" i="7"/>
  <c r="N61" i="7"/>
  <c r="P61" i="7"/>
  <c r="M61" i="7"/>
  <c r="N57" i="7"/>
  <c r="O57" i="7"/>
  <c r="M57" i="7"/>
  <c r="Q57" i="7"/>
  <c r="P57" i="7"/>
  <c r="O59" i="7"/>
  <c r="L59" i="7"/>
  <c r="P59" i="7"/>
  <c r="Q59" i="7"/>
  <c r="M59" i="7"/>
  <c r="N59" i="7"/>
  <c r="O95" i="7"/>
  <c r="L95" i="7"/>
  <c r="M95" i="7"/>
  <c r="N95" i="7"/>
  <c r="P95" i="7"/>
  <c r="Q95" i="7"/>
  <c r="O96" i="7"/>
  <c r="L96" i="7"/>
  <c r="P96" i="7"/>
  <c r="Q96" i="7"/>
  <c r="M96" i="7"/>
  <c r="N96" i="7"/>
  <c r="L83" i="7"/>
  <c r="O83" i="7"/>
  <c r="N83" i="7"/>
  <c r="M83" i="7"/>
  <c r="Q83" i="7"/>
  <c r="P83" i="7"/>
  <c r="L64" i="7"/>
  <c r="O64" i="7"/>
  <c r="M64" i="7"/>
  <c r="Q64" i="7"/>
  <c r="N64" i="7"/>
  <c r="P64" i="7"/>
  <c r="L80" i="7"/>
  <c r="O80" i="7"/>
  <c r="Q80" i="7"/>
  <c r="P80" i="7"/>
  <c r="M80" i="7"/>
  <c r="N80" i="7"/>
  <c r="N56" i="7"/>
  <c r="O56" i="7"/>
  <c r="M56" i="7"/>
  <c r="P56" i="7"/>
  <c r="Q56" i="7"/>
  <c r="L63" i="7"/>
  <c r="O63" i="7"/>
  <c r="M63" i="7"/>
  <c r="P63" i="7"/>
  <c r="N63" i="7"/>
  <c r="Q63" i="7"/>
  <c r="L87" i="7"/>
  <c r="O87" i="7"/>
  <c r="Q87" i="7"/>
  <c r="P87" i="7"/>
  <c r="M87" i="7"/>
  <c r="N87" i="7"/>
  <c r="O89" i="7"/>
  <c r="L89" i="7"/>
  <c r="M89" i="7"/>
  <c r="N89" i="7"/>
  <c r="P89" i="7"/>
  <c r="Q89" i="7"/>
  <c r="L101" i="7"/>
  <c r="O101" i="7"/>
  <c r="Q101" i="7"/>
  <c r="M101" i="7"/>
  <c r="P101" i="7"/>
  <c r="N101" i="7"/>
  <c r="O91" i="7"/>
  <c r="L91" i="7"/>
  <c r="Q91" i="7"/>
  <c r="P91" i="7"/>
  <c r="M91" i="7"/>
  <c r="N91" i="7"/>
  <c r="O65" i="7"/>
  <c r="L65" i="7"/>
  <c r="M65" i="7"/>
  <c r="N65" i="7"/>
  <c r="P65" i="7"/>
  <c r="Q65" i="7"/>
  <c r="L68" i="7"/>
  <c r="O68" i="7"/>
  <c r="M68" i="7"/>
  <c r="P68" i="7"/>
  <c r="Q68" i="7"/>
  <c r="N68" i="7"/>
  <c r="L57" i="7"/>
  <c r="L56" i="7"/>
  <c r="N55" i="7"/>
  <c r="L5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<sst xmlns="http://schemas.openxmlformats.org/spreadsheetml/2006/main" count="266" uniqueCount="105">
  <si>
    <t>Дата</t>
  </si>
  <si>
    <t>Планування  Бюджету</t>
  </si>
  <si>
    <t>визначити поточний рік у налаштуваннях       -&gt;</t>
  </si>
  <si>
    <t>Налаштування</t>
  </si>
  <si>
    <t>Поточний рік:</t>
  </si>
  <si>
    <t>встановити рік і більше його не редагувати</t>
  </si>
  <si>
    <t>Всього</t>
  </si>
  <si>
    <t>Витрати</t>
  </si>
  <si>
    <t>ввести категорію витрат</t>
  </si>
  <si>
    <t>ввести категорю доходу</t>
  </si>
  <si>
    <t>Збереження</t>
  </si>
  <si>
    <t>ввести категорію заощаджень</t>
  </si>
  <si>
    <t>Динаміка планування</t>
  </si>
  <si>
    <t>Відслідковування бюджету</t>
  </si>
  <si>
    <t>Тип</t>
  </si>
  <si>
    <t>Категорія</t>
  </si>
  <si>
    <t>Деталі</t>
  </si>
  <si>
    <t>Дохід</t>
  </si>
  <si>
    <t>Баланс</t>
  </si>
  <si>
    <t>Загальні</t>
  </si>
  <si>
    <t>Сьогодні :</t>
  </si>
  <si>
    <t>Останій запис :</t>
  </si>
  <si>
    <t>Баланс:</t>
  </si>
  <si>
    <t>Калькулятор</t>
  </si>
  <si>
    <t>Dashboard</t>
  </si>
  <si>
    <t>Рік</t>
  </si>
  <si>
    <t>Період</t>
  </si>
  <si>
    <t>Випадаючі дані</t>
  </si>
  <si>
    <t>Випадаючий рік</t>
  </si>
  <si>
    <t>Поточний рік</t>
  </si>
  <si>
    <t>Випадаючий період</t>
  </si>
  <si>
    <t>Всього за рік</t>
  </si>
  <si>
    <t>Поточний місяць</t>
  </si>
  <si>
    <t>Вибраний Період (Display):</t>
  </si>
  <si>
    <t>Вибраний Період:</t>
  </si>
  <si>
    <t>Вибраний Рік:</t>
  </si>
  <si>
    <t>row_id</t>
  </si>
  <si>
    <t>header_row_id</t>
  </si>
  <si>
    <t>is_header</t>
  </si>
  <si>
    <t>is_cat</t>
  </si>
  <si>
    <t>is_total</t>
  </si>
  <si>
    <t>is_empty</t>
  </si>
  <si>
    <t>type</t>
  </si>
  <si>
    <t>item</t>
  </si>
  <si>
    <t>tracked</t>
  </si>
  <si>
    <t>budget</t>
  </si>
  <si>
    <t>Майбутнє надходження</t>
  </si>
  <si>
    <t>Неактивний</t>
  </si>
  <si>
    <t>Статус надходження:</t>
  </si>
  <si>
    <t>День начислення в майбутньому місяці:</t>
  </si>
  <si>
    <t>Сума</t>
  </si>
  <si>
    <t>Асфальт</t>
  </si>
  <si>
    <t>Шини</t>
  </si>
  <si>
    <t>Пили</t>
  </si>
  <si>
    <t>Інструменти</t>
  </si>
  <si>
    <t>Паливо</t>
  </si>
  <si>
    <t>Форма</t>
  </si>
  <si>
    <t>Арматура</t>
  </si>
  <si>
    <t>Дорожні знаки</t>
  </si>
  <si>
    <t>Навчання персоналу</t>
  </si>
  <si>
    <t>Трактор</t>
  </si>
  <si>
    <t>Автогрейдер</t>
  </si>
  <si>
    <t>Ексакаватор</t>
  </si>
  <si>
    <t>Основні засоби</t>
  </si>
  <si>
    <t>Світлофори</t>
  </si>
  <si>
    <t>Виділення з бюджету</t>
  </si>
  <si>
    <t>Інвестиції</t>
  </si>
  <si>
    <t>Акції</t>
  </si>
  <si>
    <t>sort_min</t>
  </si>
  <si>
    <t>sort_max</t>
  </si>
  <si>
    <t>tracked_range</t>
  </si>
  <si>
    <t>tracked_rank</t>
  </si>
  <si>
    <t>budget_range</t>
  </si>
  <si>
    <t>budget_rank</t>
  </si>
  <si>
    <t>comb_rank</t>
  </si>
  <si>
    <t>comb_rank_range</t>
  </si>
  <si>
    <t>comb_rank_norm</t>
  </si>
  <si>
    <t>comb_rank_norm_run_range</t>
  </si>
  <si>
    <t>comb_rank_unique</t>
  </si>
  <si>
    <t>sorted_row_id (Look up)</t>
  </si>
  <si>
    <r>
      <rPr>
        <b/>
        <sz val="12"/>
        <color theme="8" tint="-0.499984740745262"/>
        <rFont val="Calibri"/>
        <family val="2"/>
        <charset val="204"/>
        <scheme val="minor"/>
      </rPr>
      <t>Діаграма розрахунків:</t>
    </r>
    <r>
      <rPr>
        <sz val="12"/>
        <color theme="8" tint="-0.499984740745262"/>
        <rFont val="Calibri"/>
        <family val="2"/>
        <scheme val="minor"/>
      </rPr>
      <t xml:space="preserve"> категорія розподілу діаграми</t>
    </r>
  </si>
  <si>
    <t>Дохід 1</t>
  </si>
  <si>
    <r>
      <rPr>
        <b/>
        <sz val="12"/>
        <color theme="8" tint="-0.499984740745262"/>
        <rFont val="Calibri"/>
        <family val="2"/>
        <charset val="204"/>
        <scheme val="minor"/>
      </rPr>
      <t>Діаграма розрахунків:</t>
    </r>
    <r>
      <rPr>
        <sz val="12"/>
        <color theme="8" tint="-0.499984740745262"/>
        <rFont val="Calibri"/>
        <family val="2"/>
        <scheme val="minor"/>
      </rPr>
      <t xml:space="preserve"> Діаграма періода в розрізі бюджету</t>
    </r>
  </si>
  <si>
    <t>Місяць</t>
  </si>
  <si>
    <t>У фокусі</t>
  </si>
  <si>
    <t>Показати тип</t>
  </si>
  <si>
    <t>Показати бюджет</t>
  </si>
  <si>
    <t>Tracked</t>
  </si>
  <si>
    <t>Бюджет</t>
  </si>
  <si>
    <t>Delta</t>
  </si>
  <si>
    <t>Місяць (номер)</t>
  </si>
  <si>
    <t>Період у фокусі</t>
  </si>
  <si>
    <t xml:space="preserve"> В бюджеті</t>
  </si>
  <si>
    <t>Залишок</t>
  </si>
  <si>
    <t>Надлишок</t>
  </si>
  <si>
    <t>Показати Дохід</t>
  </si>
  <si>
    <t>Показати Витрати</t>
  </si>
  <si>
    <t>Показати Збереження</t>
  </si>
  <si>
    <t>Показати Бюджет</t>
  </si>
  <si>
    <t>Період не у фокусі</t>
  </si>
  <si>
    <t>Кіл-ть днів від минулого запису:</t>
  </si>
  <si>
    <t>День в періоді</t>
  </si>
  <si>
    <t>Днів пройшло в періоді</t>
  </si>
  <si>
    <t>Днів пройшло в періоді %</t>
  </si>
  <si>
    <t>Баланс періоду який відстежується: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</si>
</sst>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mmmm"/>
    <numFmt numFmtId="165" formatCode="0.000"/>
    <numFmt numFmtId="166" formatCode="[$-FC22]d\ mmmm\ yyyy&quot; р.&quot;;@"/>
    <numFmt numFmtId="167" formatCode="_-* #,##0_-;\-* #,##0_-;_-* &quot;-&quot;??_-;_-@_-"/>
    <numFmt numFmtId="168" formatCode="_-* #,##0.0_-;\-* #,##0.0_-;_-* &quot;-&quot;??_-;_-@_-"/>
    <numFmt numFmtId="169" formatCode="mmm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24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0" tint="-0.34998626667073579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rgb="FF42424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 tint="-0.34998626667073579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rgb="FF345B3E"/>
      <name val="Calibri"/>
      <family val="2"/>
      <scheme val="minor"/>
    </font>
    <font>
      <sz val="12"/>
      <color rgb="FF345B3E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4" tint="-0.499984740745262"/>
      <name val="Calibri"/>
      <family val="2"/>
      <charset val="204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charset val="204"/>
      <scheme val="minor"/>
    </font>
    <font>
      <sz val="12"/>
      <color theme="8" tint="-0.499984740745262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424240"/>
        <bgColor indexed="64"/>
      </patternFill>
    </fill>
    <fill>
      <patternFill patternType="solid">
        <fgColor rgb="FF345B3E"/>
        <bgColor indexed="64"/>
      </patternFill>
    </fill>
    <fill>
      <patternFill patternType="solid">
        <fgColor rgb="FFF5DBC4"/>
        <bgColor indexed="64"/>
      </patternFill>
    </fill>
    <fill>
      <patternFill patternType="solid">
        <fgColor rgb="FF417D71"/>
        <bgColor indexed="64"/>
      </patternFill>
    </fill>
    <fill>
      <patternFill patternType="solid">
        <fgColor rgb="FFF3444F"/>
        <bgColor indexed="64"/>
      </patternFill>
    </fill>
    <fill>
      <patternFill patternType="solid">
        <fgColor rgb="FF0286B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4F5B"/>
        <bgColor indexed="64"/>
      </patternFill>
    </fill>
    <fill>
      <patternFill patternType="solid">
        <fgColor rgb="FFFECD07"/>
        <bgColor indexed="64"/>
      </patternFill>
    </fill>
    <fill>
      <patternFill patternType="solid">
        <fgColor rgb="FF4B6D9E"/>
        <bgColor indexed="64"/>
      </patternFill>
    </fill>
    <fill>
      <patternFill patternType="solid">
        <fgColor rgb="FF213397"/>
        <bgColor indexed="64"/>
      </patternFill>
    </fill>
    <fill>
      <patternFill patternType="solid">
        <fgColor rgb="FF425F6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714D"/>
        <bgColor indexed="64"/>
      </patternFill>
    </fill>
    <fill>
      <patternFill patternType="solid">
        <fgColor rgb="FFFED5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rgb="FF424240"/>
      </left>
      <right style="thin">
        <color rgb="FF424240"/>
      </right>
      <top style="thin">
        <color rgb="FF424240"/>
      </top>
      <bottom style="thin">
        <color rgb="FF42424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345B3E"/>
      </left>
      <right/>
      <top style="thin">
        <color auto="1"/>
      </top>
      <bottom/>
      <diagonal/>
    </border>
    <border>
      <left/>
      <right style="thin">
        <color rgb="FF345B3E"/>
      </right>
      <top style="thin">
        <color auto="1"/>
      </top>
      <bottom/>
      <diagonal/>
    </border>
    <border>
      <left style="thin">
        <color rgb="FF345B3E"/>
      </left>
      <right/>
      <top/>
      <bottom/>
      <diagonal/>
    </border>
    <border>
      <left/>
      <right style="thin">
        <color rgb="FF345B3E"/>
      </right>
      <top/>
      <bottom/>
      <diagonal/>
    </border>
    <border>
      <left style="thin">
        <color rgb="FF345B3E"/>
      </left>
      <right/>
      <top/>
      <bottom style="thin">
        <color rgb="FF345B3E"/>
      </bottom>
      <diagonal/>
    </border>
    <border>
      <left/>
      <right/>
      <top/>
      <bottom style="thin">
        <color rgb="FF345B3E"/>
      </bottom>
      <diagonal/>
    </border>
    <border>
      <left/>
      <right style="thin">
        <color rgb="FF345B3E"/>
      </right>
      <top/>
      <bottom style="thin">
        <color rgb="FF345B3E"/>
      </bottom>
      <diagonal/>
    </border>
    <border>
      <left style="thin">
        <color rgb="FF345B3E"/>
      </left>
      <right style="thin">
        <color rgb="FF345B3E"/>
      </right>
      <top style="thin">
        <color rgb="FF345B3E"/>
      </top>
      <bottom style="thin">
        <color rgb="FF345B3E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mediumDashed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rgb="FF136B43"/>
      </left>
      <right/>
      <top/>
      <bottom/>
      <diagonal/>
    </border>
    <border>
      <left/>
      <right style="thin">
        <color rgb="FF136B43"/>
      </right>
      <top/>
      <bottom/>
      <diagonal/>
    </border>
    <border>
      <left style="thin">
        <color rgb="FF136B43"/>
      </left>
      <right/>
      <top/>
      <bottom style="thin">
        <color rgb="FF136B43"/>
      </bottom>
      <diagonal/>
    </border>
    <border>
      <left/>
      <right/>
      <top/>
      <bottom style="thin">
        <color rgb="FF136B43"/>
      </bottom>
      <diagonal/>
    </border>
    <border>
      <left/>
      <right style="thin">
        <color rgb="FF136B43"/>
      </right>
      <top/>
      <bottom style="thin">
        <color rgb="FF136B4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Dashed">
        <color auto="1"/>
      </top>
      <bottom style="double">
        <color auto="1"/>
      </bottom>
      <diagonal/>
    </border>
    <border>
      <left/>
      <right/>
      <top style="dashed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6" fillId="0" borderId="0" xfId="0" applyFont="1"/>
    <xf numFmtId="0" fontId="7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 indent="1"/>
    </xf>
    <xf numFmtId="0" fontId="12" fillId="0" borderId="0" xfId="0" applyFont="1" applyAlignment="1">
      <alignment horizontal="left" indent="1"/>
    </xf>
    <xf numFmtId="0" fontId="13" fillId="0" borderId="11" xfId="0" applyFont="1" applyBorder="1" applyAlignment="1">
      <alignment horizontal="left" indent="1"/>
    </xf>
    <xf numFmtId="165" fontId="9" fillId="0" borderId="11" xfId="1" applyNumberFormat="1" applyFont="1" applyBorder="1"/>
    <xf numFmtId="0" fontId="11" fillId="6" borderId="0" xfId="0" applyFont="1" applyFill="1" applyAlignment="1">
      <alignment horizontal="left" indent="1"/>
    </xf>
    <xf numFmtId="0" fontId="11" fillId="7" borderId="0" xfId="0" applyFont="1" applyFill="1" applyAlignment="1">
      <alignment horizontal="left" indent="1"/>
    </xf>
    <xf numFmtId="164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11" fillId="5" borderId="0" xfId="0" applyNumberFormat="1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3" fontId="15" fillId="0" borderId="11" xfId="1" applyFont="1" applyBorder="1"/>
    <xf numFmtId="43" fontId="14" fillId="0" borderId="11" xfId="1" applyFont="1" applyBorder="1"/>
    <xf numFmtId="43" fontId="8" fillId="0" borderId="11" xfId="1" applyFont="1" applyBorder="1"/>
    <xf numFmtId="43" fontId="16" fillId="0" borderId="11" xfId="1" applyFont="1" applyBorder="1"/>
    <xf numFmtId="2" fontId="9" fillId="0" borderId="11" xfId="1" applyNumberFormat="1" applyFont="1" applyBorder="1"/>
    <xf numFmtId="2" fontId="14" fillId="0" borderId="11" xfId="1" applyNumberFormat="1" applyFont="1" applyBorder="1"/>
    <xf numFmtId="43" fontId="2" fillId="0" borderId="1" xfId="1" applyFont="1" applyBorder="1"/>
    <xf numFmtId="43" fontId="9" fillId="0" borderId="11" xfId="1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0" fontId="0" fillId="9" borderId="0" xfId="0" applyFill="1"/>
    <xf numFmtId="0" fontId="5" fillId="9" borderId="0" xfId="0" applyFont="1" applyFill="1"/>
    <xf numFmtId="0" fontId="18" fillId="9" borderId="0" xfId="0" applyFont="1" applyFill="1" applyAlignment="1">
      <alignment horizontal="left" vertical="center" indent="1"/>
    </xf>
    <xf numFmtId="166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  <xf numFmtId="0" fontId="18" fillId="10" borderId="0" xfId="0" applyFont="1" applyFill="1" applyAlignment="1">
      <alignment horizontal="left" vertical="center" indent="1"/>
    </xf>
    <xf numFmtId="3" fontId="19" fillId="0" borderId="0" xfId="0" applyNumberFormat="1" applyFont="1" applyAlignment="1">
      <alignment horizontal="right" vertical="center" indent="1"/>
    </xf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7" fillId="0" borderId="6" xfId="0" applyFont="1" applyBorder="1"/>
    <xf numFmtId="0" fontId="20" fillId="0" borderId="0" xfId="0" applyFont="1"/>
    <xf numFmtId="0" fontId="21" fillId="4" borderId="11" xfId="0" applyFont="1" applyFill="1" applyBorder="1" applyAlignment="1">
      <alignment horizontal="center"/>
    </xf>
    <xf numFmtId="0" fontId="17" fillId="0" borderId="0" xfId="0" applyFont="1"/>
    <xf numFmtId="0" fontId="22" fillId="0" borderId="0" xfId="0" applyFont="1"/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10" xfId="0" applyFont="1" applyBorder="1"/>
    <xf numFmtId="166" fontId="0" fillId="0" borderId="0" xfId="0" applyNumberFormat="1" applyAlignment="1">
      <alignment horizontal="left" vertical="center"/>
    </xf>
    <xf numFmtId="0" fontId="0" fillId="8" borderId="0" xfId="0" applyFill="1"/>
    <xf numFmtId="0" fontId="0" fillId="12" borderId="0" xfId="0" applyFill="1"/>
    <xf numFmtId="0" fontId="5" fillId="12" borderId="0" xfId="0" applyFont="1" applyFill="1"/>
    <xf numFmtId="0" fontId="0" fillId="13" borderId="0" xfId="0" applyFill="1"/>
    <xf numFmtId="0" fontId="5" fillId="13" borderId="0" xfId="0" applyFont="1" applyFill="1"/>
    <xf numFmtId="0" fontId="24" fillId="13" borderId="0" xfId="0" applyFont="1" applyFill="1"/>
    <xf numFmtId="166" fontId="17" fillId="0" borderId="0" xfId="0" applyNumberFormat="1" applyFont="1"/>
    <xf numFmtId="4" fontId="17" fillId="0" borderId="0" xfId="0" applyNumberFormat="1" applyFont="1"/>
    <xf numFmtId="0" fontId="0" fillId="16" borderId="0" xfId="0" applyFill="1"/>
    <xf numFmtId="0" fontId="5" fillId="16" borderId="0" xfId="0" applyFont="1" applyFill="1"/>
    <xf numFmtId="0" fontId="26" fillId="17" borderId="15" xfId="0" applyFont="1" applyFill="1" applyBorder="1" applyAlignment="1">
      <alignment horizontal="center"/>
    </xf>
    <xf numFmtId="0" fontId="26" fillId="0" borderId="16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164" fontId="26" fillId="0" borderId="16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0" xfId="0" applyAlignment="1">
      <alignment horizontal="right"/>
    </xf>
    <xf numFmtId="0" fontId="0" fillId="0" borderId="18" xfId="0" applyBorder="1" applyAlignment="1">
      <alignment horizontal="right"/>
    </xf>
    <xf numFmtId="164" fontId="26" fillId="0" borderId="19" xfId="0" applyNumberFormat="1" applyFont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18" fillId="18" borderId="0" xfId="0" applyFont="1" applyFill="1" applyAlignment="1">
      <alignment horizontal="left" vertical="center" indent="2"/>
    </xf>
    <xf numFmtId="0" fontId="28" fillId="0" borderId="0" xfId="0" applyFont="1"/>
    <xf numFmtId="0" fontId="17" fillId="8" borderId="22" xfId="0" applyFont="1" applyFill="1" applyBorder="1"/>
    <xf numFmtId="0" fontId="17" fillId="8" borderId="0" xfId="0" applyFont="1" applyFill="1"/>
    <xf numFmtId="0" fontId="17" fillId="8" borderId="23" xfId="0" applyFont="1" applyFill="1" applyBorder="1"/>
    <xf numFmtId="0" fontId="20" fillId="8" borderId="0" xfId="0" applyFont="1" applyFill="1" applyAlignment="1">
      <alignment horizontal="left" indent="1"/>
    </xf>
    <xf numFmtId="0" fontId="21" fillId="8" borderId="0" xfId="0" applyFont="1" applyFill="1" applyAlignment="1">
      <alignment horizontal="center"/>
    </xf>
    <xf numFmtId="0" fontId="22" fillId="8" borderId="0" xfId="0" applyFont="1" applyFill="1"/>
    <xf numFmtId="0" fontId="0" fillId="8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26" xfId="0" applyFill="1" applyBorder="1"/>
    <xf numFmtId="0" fontId="17" fillId="0" borderId="22" xfId="0" applyFont="1" applyBorder="1"/>
    <xf numFmtId="0" fontId="17" fillId="0" borderId="23" xfId="0" applyFont="1" applyBorder="1"/>
    <xf numFmtId="15" fontId="0" fillId="0" borderId="0" xfId="0" applyNumberFormat="1" applyAlignment="1">
      <alignment horizontal="right" vertical="center" indent="2"/>
    </xf>
    <xf numFmtId="167" fontId="0" fillId="0" borderId="0" xfId="1" applyNumberFormat="1" applyFont="1" applyBorder="1"/>
    <xf numFmtId="166" fontId="0" fillId="0" borderId="0" xfId="0" applyNumberFormat="1"/>
    <xf numFmtId="167" fontId="9" fillId="0" borderId="11" xfId="1" applyNumberFormat="1" applyFont="1" applyBorder="1"/>
    <xf numFmtId="167" fontId="14" fillId="0" borderId="11" xfId="1" applyNumberFormat="1" applyFont="1" applyBorder="1"/>
    <xf numFmtId="167" fontId="15" fillId="0" borderId="11" xfId="1" applyNumberFormat="1" applyFont="1" applyBorder="1"/>
    <xf numFmtId="167" fontId="16" fillId="0" borderId="11" xfId="1" applyNumberFormat="1" applyFont="1" applyBorder="1"/>
    <xf numFmtId="167" fontId="8" fillId="0" borderId="11" xfId="1" applyNumberFormat="1" applyFont="1" applyBorder="1"/>
    <xf numFmtId="167" fontId="2" fillId="0" borderId="1" xfId="1" applyNumberFormat="1" applyFont="1" applyBorder="1" applyAlignment="1">
      <alignment horizontal="center" vertical="center"/>
    </xf>
    <xf numFmtId="167" fontId="2" fillId="0" borderId="1" xfId="1" applyNumberFormat="1" applyFont="1" applyBorder="1"/>
    <xf numFmtId="167" fontId="2" fillId="0" borderId="1" xfId="1" applyNumberFormat="1" applyFont="1" applyBorder="1" applyAlignment="1">
      <alignment vertical="center"/>
    </xf>
    <xf numFmtId="43" fontId="0" fillId="0" borderId="0" xfId="1" applyFont="1"/>
    <xf numFmtId="2" fontId="0" fillId="0" borderId="0" xfId="0" applyNumberFormat="1"/>
    <xf numFmtId="0" fontId="0" fillId="0" borderId="27" xfId="0" applyBorder="1"/>
    <xf numFmtId="43" fontId="0" fillId="13" borderId="0" xfId="1" applyFont="1" applyFill="1"/>
    <xf numFmtId="43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3" fontId="19" fillId="0" borderId="21" xfId="0" applyNumberFormat="1" applyFont="1" applyBorder="1" applyAlignment="1">
      <alignment horizontal="right" vertical="center" inden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7" fillId="0" borderId="34" xfId="0" applyFont="1" applyBorder="1"/>
    <xf numFmtId="0" fontId="31" fillId="0" borderId="34" xfId="0" applyFont="1" applyBorder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35" xfId="1" applyNumberFormat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/>
    </xf>
    <xf numFmtId="0" fontId="7" fillId="0" borderId="0" xfId="0" applyFont="1" applyAlignment="1">
      <alignment horizontal="left" vertical="center" indent="1"/>
    </xf>
    <xf numFmtId="167" fontId="7" fillId="0" borderId="0" xfId="1" applyNumberFormat="1" applyFont="1" applyBorder="1" applyAlignment="1">
      <alignment vertical="center"/>
    </xf>
    <xf numFmtId="0" fontId="8" fillId="0" borderId="36" xfId="0" applyFont="1" applyBorder="1" applyAlignment="1">
      <alignment horizontal="left" vertical="center" indent="1"/>
    </xf>
    <xf numFmtId="167" fontId="8" fillId="0" borderId="36" xfId="1" applyNumberFormat="1" applyFont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168" fontId="0" fillId="0" borderId="2" xfId="1" applyNumberFormat="1" applyFont="1" applyBorder="1"/>
    <xf numFmtId="168" fontId="0" fillId="0" borderId="0" xfId="1" applyNumberFormat="1" applyFont="1" applyBorder="1"/>
    <xf numFmtId="167" fontId="0" fillId="0" borderId="2" xfId="1" applyNumberFormat="1" applyFont="1" applyBorder="1"/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8" fontId="0" fillId="0" borderId="3" xfId="1" applyNumberFormat="1" applyFont="1" applyBorder="1"/>
    <xf numFmtId="167" fontId="0" fillId="0" borderId="3" xfId="1" applyNumberFormat="1" applyFont="1" applyBorder="1"/>
    <xf numFmtId="0" fontId="8" fillId="0" borderId="0" xfId="0" applyFont="1" applyBorder="1" applyAlignment="1">
      <alignment horizontal="left" vertical="center" indent="1"/>
    </xf>
    <xf numFmtId="167" fontId="8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left" vertical="center" indent="1"/>
    </xf>
    <xf numFmtId="0" fontId="26" fillId="0" borderId="0" xfId="0" applyFont="1"/>
    <xf numFmtId="0" fontId="26" fillId="0" borderId="18" xfId="0" applyFont="1" applyBorder="1"/>
    <xf numFmtId="9" fontId="0" fillId="0" borderId="0" xfId="2" applyFont="1"/>
    <xf numFmtId="167" fontId="0" fillId="0" borderId="0" xfId="0" applyNumberFormat="1"/>
    <xf numFmtId="0" fontId="5" fillId="3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9" fontId="0" fillId="0" borderId="2" xfId="0" applyNumberFormat="1" applyBorder="1" applyAlignment="1">
      <alignment horizontal="center" vertical="center"/>
    </xf>
    <xf numFmtId="169" fontId="0" fillId="0" borderId="0" xfId="0" applyNumberFormat="1" applyBorder="1" applyAlignment="1">
      <alignment horizontal="center" vertical="center"/>
    </xf>
    <xf numFmtId="169" fontId="0" fillId="0" borderId="3" xfId="0" applyNumberFormat="1" applyBorder="1" applyAlignment="1">
      <alignment horizontal="center" vertical="center"/>
    </xf>
    <xf numFmtId="0" fontId="23" fillId="11" borderId="0" xfId="0" applyFont="1" applyFill="1" applyAlignment="1">
      <alignment horizontal="left" indent="1"/>
    </xf>
    <xf numFmtId="0" fontId="32" fillId="19" borderId="0" xfId="0" applyFont="1" applyFill="1" applyAlignment="1">
      <alignment horizontal="center"/>
    </xf>
    <xf numFmtId="0" fontId="32" fillId="20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17" fillId="15" borderId="14" xfId="0" applyFont="1" applyFill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164" fontId="17" fillId="15" borderId="14" xfId="0" applyNumberFormat="1" applyFont="1" applyFill="1" applyBorder="1" applyAlignment="1">
      <alignment horizontal="center"/>
    </xf>
  </cellXfs>
  <cellStyles count="3">
    <cellStyle name="Відсотковий" xfId="2" builtinId="5"/>
    <cellStyle name="Звичайний" xfId="0" builtinId="0"/>
    <cellStyle name="Фінансовий" xfId="1" builtinId="3"/>
  </cellStyles>
  <dxfs count="71">
    <dxf>
      <fill>
        <patternFill>
          <bgColor rgb="FFA1DEBB"/>
        </patternFill>
      </fill>
    </dxf>
    <dxf>
      <fill>
        <patternFill>
          <bgColor rgb="FF79D2A0"/>
        </patternFill>
      </fill>
    </dxf>
    <dxf>
      <fill>
        <patternFill>
          <bgColor rgb="FF59C88B"/>
        </patternFill>
      </fill>
    </dxf>
    <dxf>
      <fill>
        <patternFill>
          <bgColor rgb="FF34BE76"/>
        </patternFill>
      </fill>
    </dxf>
    <dxf>
      <fill>
        <patternFill>
          <bgColor rgb="FF239B59"/>
        </patternFill>
      </fill>
    </dxf>
    <dxf>
      <fill>
        <patternFill>
          <bgColor rgb="FF05914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49998474074526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rgb="FFEEA6A6"/>
        </patternFill>
      </fill>
    </dxf>
    <dxf>
      <fill>
        <patternFill>
          <bgColor rgb="FFE27171"/>
        </patternFill>
      </fill>
    </dxf>
    <dxf>
      <fill>
        <patternFill>
          <bgColor rgb="FFDD5858"/>
        </patternFill>
      </fill>
    </dxf>
    <dxf>
      <fill>
        <patternFill>
          <bgColor rgb="FFD74040"/>
        </patternFill>
      </fill>
    </dxf>
    <dxf>
      <fill>
        <patternFill>
          <bgColor rgb="FFD12929"/>
        </patternFill>
      </fill>
    </dxf>
    <dxf>
      <fill>
        <patternFill>
          <bgColor rgb="FFCC1414"/>
        </patternFill>
      </fill>
    </dxf>
    <dxf>
      <fill>
        <patternFill>
          <bgColor rgb="FFA1DEBB"/>
        </patternFill>
      </fill>
    </dxf>
    <dxf>
      <fill>
        <patternFill>
          <bgColor rgb="FF79D2A0"/>
        </patternFill>
      </fill>
    </dxf>
    <dxf>
      <fill>
        <patternFill>
          <bgColor rgb="FF59C88B"/>
        </patternFill>
      </fill>
    </dxf>
    <dxf>
      <fill>
        <patternFill>
          <bgColor rgb="FF34BE76"/>
        </patternFill>
      </fill>
    </dxf>
    <dxf>
      <fill>
        <patternFill>
          <bgColor rgb="FF239B59"/>
        </patternFill>
      </fill>
    </dxf>
    <dxf>
      <fill>
        <patternFill>
          <bgColor rgb="FF059142"/>
        </patternFill>
      </fill>
    </dxf>
    <dxf>
      <fill>
        <patternFill>
          <bgColor rgb="FFF8A2A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ont>
        <b/>
        <i val="0"/>
        <color theme="1"/>
      </font>
      <border>
        <top style="thin">
          <color theme="1"/>
        </top>
        <vertical/>
        <horizontal/>
      </border>
    </dxf>
    <dxf>
      <font>
        <b/>
        <i val="0"/>
        <color theme="1"/>
      </font>
      <border>
        <top style="thin">
          <color theme="1"/>
        </top>
        <vertical/>
        <horizontal/>
      </border>
    </dxf>
    <dxf>
      <font>
        <b/>
        <i val="0"/>
        <color rgb="FFF8F8F8"/>
      </font>
      <fill>
        <patternFill patternType="solid">
          <bgColor rgb="FFFF2121"/>
        </patternFill>
      </fill>
    </dxf>
    <dxf>
      <font>
        <b/>
        <i val="0"/>
        <color rgb="FFF8F8F8"/>
      </font>
      <fill>
        <patternFill>
          <bgColor rgb="FF00B050"/>
        </patternFill>
      </fill>
    </dxf>
    <dxf>
      <font>
        <b/>
        <i val="0"/>
        <color rgb="FFF8F8F8"/>
      </font>
      <fill>
        <patternFill patternType="solid">
          <bgColor rgb="FF0086EA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d/mmm/yy"/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numFmt numFmtId="3" formatCode="#,##0"/>
      <alignment horizontal="right" vertical="center" textRotation="0" wrapText="0" indent="1" justifyLastLine="0" shrinkToFit="0" readingOrder="0"/>
      <border diagonalUp="0" diagonalDown="0">
        <left/>
        <right style="thin">
          <color theme="0" tint="-0.34998626667073579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4F4F5B"/>
        </patternFill>
      </fill>
      <alignment horizontal="left" vertical="center" textRotation="0" wrapText="0" relativeIndent="1" justifyLastLine="0" shrinkToFit="0" readingOrder="0"/>
    </dxf>
    <dxf>
      <font>
        <color theme="0" tint="-0.499984740745262"/>
      </font>
    </dxf>
    <dxf>
      <font>
        <b/>
        <i val="0"/>
        <color rgb="FFFF0000"/>
      </font>
      <numFmt numFmtId="170" formatCode="#,##0_ ;\-#,##0\ "/>
    </dxf>
    <dxf>
      <font>
        <b/>
        <i val="0"/>
        <color rgb="FF00B050"/>
      </font>
      <numFmt numFmtId="171" formatCode="0_ ;\-0\ "/>
    </dxf>
    <dxf>
      <font>
        <b/>
        <i val="0"/>
        <color rgb="FF0070C0"/>
      </font>
      <numFmt numFmtId="170" formatCode="#,##0_ ;\-#,##0\ "/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286BD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3444F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color rgb="FFFF0000"/>
      </font>
    </dxf>
    <dxf>
      <font>
        <color rgb="FF00B050"/>
      </font>
    </dxf>
    <dxf>
      <font>
        <color theme="0" tint="-0.499984740745262"/>
      </font>
    </dxf>
    <dxf>
      <font>
        <color rgb="FF000000"/>
      </font>
      <fill>
        <patternFill>
          <bgColor rgb="FF69CDE5"/>
        </patternFill>
      </fill>
    </dxf>
    <dxf>
      <font>
        <color rgb="FF000000"/>
      </font>
      <fill>
        <patternFill>
          <bgColor rgb="FFF7ABBD"/>
        </patternFill>
      </fill>
    </dxf>
    <dxf>
      <font>
        <color rgb="FF000000"/>
      </font>
      <fill>
        <patternFill>
          <bgColor rgb="FF9CF2C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FECD07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rgb="FF424240"/>
        </left>
        <right style="thin">
          <color rgb="FF424240"/>
        </right>
        <top style="thin">
          <color rgb="FF424240"/>
        </top>
        <bottom style="thin">
          <color rgb="FF424240"/>
        </bottom>
        <vertical/>
        <horizontal/>
      </border>
    </dxf>
    <dxf>
      <font>
        <b/>
        <i val="0"/>
        <color theme="0"/>
      </font>
      <fill>
        <patternFill>
          <bgColor rgb="FF0286BD"/>
        </patternFill>
      </fill>
    </dxf>
    <dxf>
      <border>
        <left style="thin">
          <color rgb="FF424240"/>
        </left>
        <right style="thin">
          <color rgb="FF424240"/>
        </right>
        <top style="thin">
          <color rgb="FF424240"/>
        </top>
        <bottom style="thin">
          <color rgb="FF424240"/>
        </bottom>
        <vertical style="thin">
          <color rgb="FF424240"/>
        </vertical>
        <horizontal style="thin">
          <color rgb="FF424240"/>
        </horizontal>
      </border>
    </dxf>
    <dxf>
      <font>
        <b/>
        <i val="0"/>
        <color theme="0"/>
      </font>
      <fill>
        <patternFill>
          <bgColor rgb="FF417D71"/>
        </patternFill>
      </fill>
    </dxf>
    <dxf>
      <border>
        <left style="thin">
          <color rgb="FF424240"/>
        </left>
        <right style="thin">
          <color rgb="FF424240"/>
        </right>
        <top style="thin">
          <color rgb="FF424240"/>
        </top>
        <bottom style="thin">
          <color rgb="FF424240"/>
        </bottom>
        <vertical style="thin">
          <color rgb="FF424240"/>
        </vertical>
        <horizontal style="thin">
          <color rgb="FF424240"/>
        </horizontal>
      </border>
    </dxf>
    <dxf>
      <font>
        <b/>
        <i val="0"/>
        <color theme="0"/>
      </font>
      <fill>
        <patternFill>
          <bgColor rgb="FF9D52BB"/>
        </patternFill>
      </fill>
    </dxf>
    <dxf>
      <border>
        <left style="thin">
          <color rgb="FF424240"/>
        </left>
        <right style="thin">
          <color rgb="FF424240"/>
        </right>
        <top style="thin">
          <color rgb="FF424240"/>
        </top>
        <bottom style="thin">
          <color rgb="FF424240"/>
        </bottom>
        <vertical style="thin">
          <color rgb="FF424240"/>
        </vertical>
        <horizontal style="thin">
          <color rgb="FF424240"/>
        </horizontal>
      </border>
    </dxf>
  </dxfs>
  <tableStyles count="4" defaultTableStyle="TableStyleMedium2" defaultPivotStyle="PivotStyleLight16">
    <tableStyle name="expensive table " pivot="0" count="2" xr9:uid="{1E69D95B-277E-40D4-A0F1-B14563BBD323}">
      <tableStyleElement type="wholeTable" dxfId="70"/>
      <tableStyleElement type="headerRow" dxfId="69"/>
    </tableStyle>
    <tableStyle name="income table" pivot="0" count="2" xr9:uid="{0148D478-4A69-405A-907F-4A768634C132}">
      <tableStyleElement type="wholeTable" dxfId="68"/>
      <tableStyleElement type="headerRow" dxfId="67"/>
    </tableStyle>
    <tableStyle name="saving table " pivot="0" count="2" xr9:uid="{4ACEBBBF-B4C1-45B7-9FDA-9ED1966B9817}">
      <tableStyleElement type="wholeTable" dxfId="66"/>
      <tableStyleElement type="headerRow" dxfId="65"/>
    </tableStyle>
    <tableStyle name="tracking table" pivot="0" count="3" xr9:uid="{1699D5F3-4EDE-4E6C-946E-2F467E577166}">
      <tableStyleElement type="wholeTable" dxfId="64"/>
      <tableStyleElement type="headerRow" dxfId="63"/>
      <tableStyleElement type="firstRowStripe" dxfId="62"/>
    </tableStyle>
  </tableStyles>
  <colors>
    <mruColors>
      <color rgb="FFEDA9A9"/>
      <color rgb="FFDD5858"/>
      <color rgb="FF00E668"/>
      <color rgb="FFCFCFCF"/>
      <color rgb="FFE0E0E0"/>
      <color rgb="FFEAEAEA"/>
      <color rgb="FFE2E2E2"/>
      <color rgb="FF5B9BD5"/>
      <color rgb="FF00ACCC"/>
      <color rgb="FFCC14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Калькулятор!$E$34</c:f>
              <c:strCache>
                <c:ptCount val="1"/>
                <c:pt idx="0">
                  <c:v>Сума</c:v>
                </c:pt>
              </c:strCache>
            </c:strRef>
          </c:tx>
          <c:spPr>
            <a:solidFill>
              <a:srgbClr val="059142"/>
            </a:solidFill>
          </c:spPr>
          <c:dPt>
            <c:idx val="0"/>
            <c:bubble3D val="0"/>
            <c:spPr>
              <a:solidFill>
                <a:srgbClr val="0B6A3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20-416F-A1DC-95C7AD544B81}"/>
              </c:ext>
            </c:extLst>
          </c:dPt>
          <c:dPt>
            <c:idx val="1"/>
            <c:bubble3D val="0"/>
            <c:spPr>
              <a:solidFill>
                <a:srgbClr val="239B5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20-416F-A1DC-95C7AD544B81}"/>
              </c:ext>
            </c:extLst>
          </c:dPt>
          <c:dPt>
            <c:idx val="2"/>
            <c:bubble3D val="0"/>
            <c:spPr>
              <a:solidFill>
                <a:srgbClr val="34BE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20-416F-A1DC-95C7AD544B81}"/>
              </c:ext>
            </c:extLst>
          </c:dPt>
          <c:dPt>
            <c:idx val="3"/>
            <c:bubble3D val="0"/>
            <c:spPr>
              <a:solidFill>
                <a:srgbClr val="59C88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F20-416F-A1DC-95C7AD544B81}"/>
              </c:ext>
            </c:extLst>
          </c:dPt>
          <c:dPt>
            <c:idx val="4"/>
            <c:bubble3D val="0"/>
            <c:spPr>
              <a:solidFill>
                <a:srgbClr val="79D2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20-416F-A1DC-95C7AD544B81}"/>
              </c:ext>
            </c:extLst>
          </c:dPt>
          <c:dPt>
            <c:idx val="5"/>
            <c:bubble3D val="0"/>
            <c:spPr>
              <a:solidFill>
                <a:srgbClr val="A1DEB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F20-416F-A1DC-95C7AD544B81}"/>
              </c:ext>
            </c:extLst>
          </c:dPt>
          <c:cat>
            <c:multiLvlStrRef>
              <c:f>Калькулятор!$C$35:$D$40</c:f>
              <c:multiLvlStrCache>
                <c:ptCount val="6"/>
                <c:lvl>
                  <c:pt idx="0">
                    <c:v>Виділення з бюджету</c:v>
                  </c:pt>
                  <c:pt idx="1">
                    <c:v>Інвестиції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Калькулятор!$E$35:$E$40</c:f>
              <c:numCache>
                <c:formatCode>_-* #\ ##0_-;\-* #\ ##0_-;_-* "-"??_-;_-@_-</c:formatCode>
                <c:ptCount val="6"/>
                <c:pt idx="0">
                  <c:v>3500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20-416F-A1DC-95C7AD54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Калькулятор!$J$34</c:f>
              <c:strCache>
                <c:ptCount val="1"/>
                <c:pt idx="0">
                  <c:v>Сума</c:v>
                </c:pt>
              </c:strCache>
            </c:strRef>
          </c:tx>
          <c:spPr>
            <a:solidFill>
              <a:srgbClr val="059142"/>
            </a:solidFill>
          </c:spPr>
          <c:dPt>
            <c:idx val="0"/>
            <c:bubble3D val="0"/>
            <c:spPr>
              <a:solidFill>
                <a:srgbClr val="CC141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CE-481C-9153-5D0665613047}"/>
              </c:ext>
            </c:extLst>
          </c:dPt>
          <c:dPt>
            <c:idx val="1"/>
            <c:bubble3D val="0"/>
            <c:spPr>
              <a:solidFill>
                <a:srgbClr val="D1292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CE-481C-9153-5D0665613047}"/>
              </c:ext>
            </c:extLst>
          </c:dPt>
          <c:dPt>
            <c:idx val="2"/>
            <c:bubble3D val="0"/>
            <c:spPr>
              <a:solidFill>
                <a:srgbClr val="D7404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2CE-481C-9153-5D0665613047}"/>
              </c:ext>
            </c:extLst>
          </c:dPt>
          <c:dPt>
            <c:idx val="3"/>
            <c:bubble3D val="0"/>
            <c:spPr>
              <a:solidFill>
                <a:srgbClr val="DD5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2CE-481C-9153-5D0665613047}"/>
              </c:ext>
            </c:extLst>
          </c:dPt>
          <c:dPt>
            <c:idx val="4"/>
            <c:bubble3D val="0"/>
            <c:spPr>
              <a:solidFill>
                <a:srgbClr val="E2717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2CE-481C-9153-5D0665613047}"/>
              </c:ext>
            </c:extLst>
          </c:dPt>
          <c:dPt>
            <c:idx val="5"/>
            <c:bubble3D val="0"/>
            <c:spPr>
              <a:solidFill>
                <a:srgbClr val="EEA6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2CE-481C-9153-5D0665613047}"/>
              </c:ext>
            </c:extLst>
          </c:dPt>
          <c:cat>
            <c:strRef>
              <c:f>Калькулятор!$I$35:$I$40</c:f>
              <c:strCache>
                <c:ptCount val="6"/>
                <c:pt idx="0">
                  <c:v>Асфальт</c:v>
                </c:pt>
                <c:pt idx="1">
                  <c:v>Форма</c:v>
                </c:pt>
                <c:pt idx="2">
                  <c:v>Арматура</c:v>
                </c:pt>
                <c:pt idx="3">
                  <c:v>Шини</c:v>
                </c:pt>
                <c:pt idx="4">
                  <c:v>Дорожні знаки</c:v>
                </c:pt>
                <c:pt idx="5">
                  <c:v>Інше</c:v>
                </c:pt>
              </c:strCache>
            </c:strRef>
          </c:cat>
          <c:val>
            <c:numRef>
              <c:f>Калькулятор!$J$35:$J$40</c:f>
              <c:numCache>
                <c:formatCode>_-* #\ ##0_-;\-* #\ ##0_-;_-* "-"??_-;_-@_-</c:formatCode>
                <c:ptCount val="6"/>
                <c:pt idx="0">
                  <c:v>700</c:v>
                </c:pt>
                <c:pt idx="1">
                  <c:v>600</c:v>
                </c:pt>
                <c:pt idx="2">
                  <c:v>500</c:v>
                </c:pt>
                <c:pt idx="3">
                  <c:v>300</c:v>
                </c:pt>
                <c:pt idx="4">
                  <c:v>300</c:v>
                </c:pt>
                <c:pt idx="5">
                  <c:v>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2CE-481C-9153-5D066561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Калькулятор!$N$34</c:f>
              <c:strCache>
                <c:ptCount val="1"/>
                <c:pt idx="0">
                  <c:v>Сума</c:v>
                </c:pt>
              </c:strCache>
            </c:strRef>
          </c:tx>
          <c:spPr>
            <a:solidFill>
              <a:srgbClr val="059142"/>
            </a:solidFill>
          </c:spPr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1C-44EE-9A72-DC454E0AEF2E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1C-44EE-9A72-DC454E0AEF2E}"/>
              </c:ext>
            </c:extLst>
          </c:dPt>
          <c:dPt>
            <c:idx val="2"/>
            <c:bubble3D val="0"/>
            <c:spPr>
              <a:solidFill>
                <a:srgbClr val="5B9BD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1C-44EE-9A72-DC454E0AEF2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A1C-44EE-9A72-DC454E0AEF2E}"/>
              </c:ext>
            </c:extLst>
          </c:dPt>
          <c:dPt>
            <c:idx val="4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A1C-44EE-9A72-DC454E0AEF2E}"/>
              </c:ext>
            </c:extLst>
          </c:dPt>
          <c:dPt>
            <c:idx val="5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A1C-44EE-9A72-DC454E0AEF2E}"/>
              </c:ext>
            </c:extLst>
          </c:dPt>
          <c:cat>
            <c:strRef>
              <c:f>Калькулятор!$M$35:$M$40</c:f>
              <c:strCache>
                <c:ptCount val="4"/>
                <c:pt idx="0">
                  <c:v>Навчання персоналу</c:v>
                </c:pt>
                <c:pt idx="1">
                  <c:v>Основні засоби</c:v>
                </c:pt>
                <c:pt idx="2">
                  <c:v>Трактор</c:v>
                </c:pt>
                <c:pt idx="3">
                  <c:v>Автогрейдер</c:v>
                </c:pt>
              </c:strCache>
            </c:strRef>
          </c:cat>
          <c:val>
            <c:numRef>
              <c:f>Калькулятор!$N$35:$N$40</c:f>
              <c:numCache>
                <c:formatCode>_-* #\ ##0_-;\-* #\ ##0_-;_-* "-"??_-;_-@_-</c:formatCode>
                <c:ptCount val="6"/>
                <c:pt idx="0">
                  <c:v>800</c:v>
                </c:pt>
                <c:pt idx="1">
                  <c:v>500</c:v>
                </c:pt>
                <c:pt idx="2">
                  <c:v>380</c:v>
                </c:pt>
                <c:pt idx="3">
                  <c:v>150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1C-44EE-9A72-DC454E0AE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0E668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9-4EA6-BBF4-A73AF83902C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79-4EA6-BBF4-A73AF83902C2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79-4EA6-BBF4-A73AF83902C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79-4EA6-BBF4-A73AF83902C2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79-4EA6-BBF4-A73AF83902C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E79-4EA6-BBF4-A73AF83902C2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E79-4EA6-BBF4-A73AF83902C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E79-4EA6-BBF4-A73AF83902C2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E79-4EA6-BBF4-A73AF83902C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E79-4EA6-BBF4-A73AF83902C2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E79-4EA6-BBF4-A73AF83902C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E79-4EA6-BBF4-A73AF83902C2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E79-4EA6-BBF4-A73AF83902C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E79-4EA6-BBF4-A73AF83902C2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E79-4EA6-BBF4-A73AF83902C2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DE79-4EA6-BBF4-A73AF83902C2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E79-4EA6-BBF4-A73AF83902C2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E79-4EA6-BBF4-A73AF83902C2}"/>
              </c:ext>
            </c:extLst>
          </c:dPt>
          <c:dPt>
            <c:idx val="3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E79-4EA6-BBF4-A73AF83902C2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E79-4EA6-BBF4-A73AF83902C2}"/>
              </c:ext>
            </c:extLst>
          </c:dPt>
          <c:dPt>
            <c:idx val="4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DE79-4EA6-BBF4-A73AF83902C2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E79-4EA6-BBF4-A73AF83902C2}"/>
              </c:ext>
            </c:extLst>
          </c:dPt>
          <c:dPt>
            <c:idx val="4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E79-4EA6-BBF4-A73AF83902C2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E79-4EA6-BBF4-A73AF83902C2}"/>
              </c:ext>
            </c:extLst>
          </c:dPt>
          <c:cat>
            <c:numRef>
              <c:f>Калькулятор!$C$55:$C$102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Калькулятор!$L$55:$L$102</c:f>
              <c:numCache>
                <c:formatCode>_-* #\ ##0.0_-;\-* #\ ##0.0_-;_-*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2973</c:v>
                </c:pt>
                <c:pt idx="5">
                  <c:v>1830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E79-4EA6-BBF4-A73AF83902C2}"/>
            </c:ext>
          </c:extLst>
        </c:ser>
        <c:ser>
          <c:idx val="1"/>
          <c:order val="1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E79-4EA6-BBF4-A73AF83902C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DE79-4EA6-BBF4-A73AF83902C2}"/>
              </c:ext>
            </c:extLst>
          </c:dPt>
          <c:dPt>
            <c:idx val="5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DE79-4EA6-BBF4-A73AF83902C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DE79-4EA6-BBF4-A73AF83902C2}"/>
              </c:ext>
            </c:extLst>
          </c:dPt>
          <c:dPt>
            <c:idx val="9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DE79-4EA6-BBF4-A73AF83902C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DE79-4EA6-BBF4-A73AF83902C2}"/>
              </c:ext>
            </c:extLst>
          </c:dPt>
          <c:dPt>
            <c:idx val="13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DE79-4EA6-BBF4-A73AF83902C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DE79-4EA6-BBF4-A73AF83902C2}"/>
              </c:ext>
            </c:extLst>
          </c:dPt>
          <c:dPt>
            <c:idx val="17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E79-4EA6-BBF4-A73AF83902C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E79-4EA6-BBF4-A73AF83902C2}"/>
              </c:ext>
            </c:extLst>
          </c:dPt>
          <c:dPt>
            <c:idx val="21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DE79-4EA6-BBF4-A73AF83902C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DE79-4EA6-BBF4-A73AF83902C2}"/>
              </c:ext>
            </c:extLst>
          </c:dPt>
          <c:dPt>
            <c:idx val="25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DE79-4EA6-BBF4-A73AF83902C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DE79-4EA6-BBF4-A73AF83902C2}"/>
              </c:ext>
            </c:extLst>
          </c:dPt>
          <c:dPt>
            <c:idx val="29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DE79-4EA6-BBF4-A73AF83902C2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DE79-4EA6-BBF4-A73AF83902C2}"/>
              </c:ext>
            </c:extLst>
          </c:dPt>
          <c:dPt>
            <c:idx val="33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DE79-4EA6-BBF4-A73AF83902C2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DE79-4EA6-BBF4-A73AF83902C2}"/>
              </c:ext>
            </c:extLst>
          </c:dPt>
          <c:dPt>
            <c:idx val="37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DE79-4EA6-BBF4-A73AF83902C2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DE79-4EA6-BBF4-A73AF83902C2}"/>
              </c:ext>
            </c:extLst>
          </c:dPt>
          <c:dPt>
            <c:idx val="41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DE79-4EA6-BBF4-A73AF83902C2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DE79-4EA6-BBF4-A73AF83902C2}"/>
              </c:ext>
            </c:extLst>
          </c:dPt>
          <c:dPt>
            <c:idx val="45"/>
            <c:invertIfNegative val="0"/>
            <c:bubble3D val="0"/>
            <c:spPr>
              <a:solidFill>
                <a:srgbClr val="EDA9A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DE79-4EA6-BBF4-A73AF83902C2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DE79-4EA6-BBF4-A73AF83902C2}"/>
              </c:ext>
            </c:extLst>
          </c:dPt>
          <c:cat>
            <c:numRef>
              <c:f>Калькулятор!$C$55:$C$102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Калькулятор!$M$55:$M$102</c:f>
              <c:numCache>
                <c:formatCode>_-* #\ ##0.0_-;\-* #\ ##0.0_-;_-*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1577</c:v>
                </c:pt>
                <c:pt idx="5">
                  <c:v>1070</c:v>
                </c:pt>
                <c:pt idx="6">
                  <c:v>1650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DE79-4EA6-BBF4-A73AF83902C2}"/>
            </c:ext>
          </c:extLst>
        </c:ser>
        <c:ser>
          <c:idx val="2"/>
          <c:order val="2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DE79-4EA6-BBF4-A73AF83902C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DE79-4EA6-BBF4-A73AF83902C2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DE79-4EA6-BBF4-A73AF83902C2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DE79-4EA6-BBF4-A73AF83902C2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DE79-4EA6-BBF4-A73AF83902C2}"/>
              </c:ext>
            </c:extLst>
          </c:dPt>
          <c:dPt>
            <c:idx val="1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DE79-4EA6-BBF4-A73AF83902C2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DE79-4EA6-BBF4-A73AF83902C2}"/>
              </c:ext>
            </c:extLst>
          </c:dPt>
          <c:dPt>
            <c:idx val="1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DE79-4EA6-BBF4-A73AF83902C2}"/>
              </c:ext>
            </c:extLst>
          </c:dPt>
          <c:dPt>
            <c:idx val="1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DE79-4EA6-BBF4-A73AF83902C2}"/>
              </c:ext>
            </c:extLst>
          </c:dPt>
          <c:dPt>
            <c:idx val="1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DE79-4EA6-BBF4-A73AF83902C2}"/>
              </c:ext>
            </c:extLst>
          </c:dPt>
          <c:dPt>
            <c:idx val="2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DE79-4EA6-BBF4-A73AF83902C2}"/>
              </c:ext>
            </c:extLst>
          </c:dPt>
          <c:dPt>
            <c:idx val="2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DE79-4EA6-BBF4-A73AF83902C2}"/>
              </c:ext>
            </c:extLst>
          </c:dPt>
          <c:dPt>
            <c:idx val="2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DE79-4EA6-BBF4-A73AF83902C2}"/>
              </c:ext>
            </c:extLst>
          </c:dPt>
          <c:dPt>
            <c:idx val="2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DE79-4EA6-BBF4-A73AF83902C2}"/>
              </c:ext>
            </c:extLst>
          </c:dPt>
          <c:dPt>
            <c:idx val="2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DE79-4EA6-BBF4-A73AF83902C2}"/>
              </c:ext>
            </c:extLst>
          </c:dPt>
          <c:dPt>
            <c:idx val="3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DE79-4EA6-BBF4-A73AF83902C2}"/>
              </c:ext>
            </c:extLst>
          </c:dPt>
          <c:dPt>
            <c:idx val="3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DE79-4EA6-BBF4-A73AF83902C2}"/>
              </c:ext>
            </c:extLst>
          </c:dPt>
          <c:dPt>
            <c:idx val="3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DE79-4EA6-BBF4-A73AF83902C2}"/>
              </c:ext>
            </c:extLst>
          </c:dPt>
          <c:dPt>
            <c:idx val="3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DE79-4EA6-BBF4-A73AF83902C2}"/>
              </c:ext>
            </c:extLst>
          </c:dPt>
          <c:dPt>
            <c:idx val="3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DE79-4EA6-BBF4-A73AF83902C2}"/>
              </c:ext>
            </c:extLst>
          </c:dPt>
          <c:dPt>
            <c:idx val="4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DE79-4EA6-BBF4-A73AF83902C2}"/>
              </c:ext>
            </c:extLst>
          </c:dPt>
          <c:dPt>
            <c:idx val="4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DE79-4EA6-BBF4-A73AF83902C2}"/>
              </c:ext>
            </c:extLst>
          </c:dPt>
          <c:dPt>
            <c:idx val="4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DE79-4EA6-BBF4-A73AF83902C2}"/>
              </c:ext>
            </c:extLst>
          </c:dPt>
          <c:dPt>
            <c:idx val="4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DE79-4EA6-BBF4-A73AF83902C2}"/>
              </c:ext>
            </c:extLst>
          </c:dPt>
          <c:cat>
            <c:numRef>
              <c:f>Калькулятор!$C$55:$C$102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Калькулятор!$N$55:$N$102</c:f>
              <c:numCache>
                <c:formatCode>_-* #\ ##0.0_-;\-* #\ ##0.0_-;_-*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DE79-4EA6-BBF4-A73AF83902C2}"/>
            </c:ext>
          </c:extLst>
        </c:ser>
        <c:ser>
          <c:idx val="3"/>
          <c:order val="3"/>
          <c:spPr>
            <a:solidFill>
              <a:srgbClr val="E0E0E0"/>
            </a:solidFill>
            <a:ln>
              <a:noFill/>
            </a:ln>
            <a:effectLst/>
          </c:spPr>
          <c:invertIfNegative val="0"/>
          <c:cat>
            <c:numRef>
              <c:f>Калькулятор!$C$55:$C$102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Калькулятор!$O$55:$O$102</c:f>
              <c:numCache>
                <c:formatCode>_-* #\ ##0.0_-;\-* #\ ##0.0_-;_-*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DE79-4EA6-BBF4-A73AF83902C2}"/>
            </c:ext>
          </c:extLst>
        </c:ser>
        <c:ser>
          <c:idx val="4"/>
          <c:order val="4"/>
          <c:spPr>
            <a:solidFill>
              <a:srgbClr val="EAEAEA"/>
            </a:solidFill>
            <a:ln>
              <a:noFill/>
            </a:ln>
            <a:effectLst/>
          </c:spPr>
          <c:invertIfNegative val="0"/>
          <c:cat>
            <c:numRef>
              <c:f>Калькулятор!$C$55:$C$102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Калькулятор!$P$55:$P$102</c:f>
              <c:numCache>
                <c:formatCode>_-* #\ ##0.0_-;\-* #\ ##0.0_-;_-* "-"??_-;_-@_-</c:formatCode>
                <c:ptCount val="48"/>
                <c:pt idx="0">
                  <c:v>4650</c:v>
                </c:pt>
                <c:pt idx="1">
                  <c:v>2900</c:v>
                </c:pt>
                <c:pt idx="2">
                  <c:v>1750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4600</c:v>
                </c:pt>
                <c:pt idx="9">
                  <c:v>3050</c:v>
                </c:pt>
                <c:pt idx="10">
                  <c:v>1550</c:v>
                </c:pt>
                <c:pt idx="12">
                  <c:v>5650</c:v>
                </c:pt>
                <c:pt idx="13">
                  <c:v>3800</c:v>
                </c:pt>
                <c:pt idx="14">
                  <c:v>1850</c:v>
                </c:pt>
                <c:pt idx="16">
                  <c:v>5550</c:v>
                </c:pt>
                <c:pt idx="17">
                  <c:v>2900</c:v>
                </c:pt>
                <c:pt idx="18">
                  <c:v>2650</c:v>
                </c:pt>
                <c:pt idx="20">
                  <c:v>5600</c:v>
                </c:pt>
                <c:pt idx="21">
                  <c:v>3050</c:v>
                </c:pt>
                <c:pt idx="22">
                  <c:v>2550</c:v>
                </c:pt>
                <c:pt idx="24">
                  <c:v>5650</c:v>
                </c:pt>
                <c:pt idx="25">
                  <c:v>2900</c:v>
                </c:pt>
                <c:pt idx="26">
                  <c:v>2750</c:v>
                </c:pt>
                <c:pt idx="28">
                  <c:v>5550</c:v>
                </c:pt>
                <c:pt idx="29">
                  <c:v>4100</c:v>
                </c:pt>
                <c:pt idx="30">
                  <c:v>1450</c:v>
                </c:pt>
                <c:pt idx="32">
                  <c:v>5600</c:v>
                </c:pt>
                <c:pt idx="33">
                  <c:v>3050</c:v>
                </c:pt>
                <c:pt idx="34">
                  <c:v>2550</c:v>
                </c:pt>
                <c:pt idx="36">
                  <c:v>5650</c:v>
                </c:pt>
                <c:pt idx="37">
                  <c:v>2900</c:v>
                </c:pt>
                <c:pt idx="38">
                  <c:v>2750</c:v>
                </c:pt>
                <c:pt idx="40">
                  <c:v>5550</c:v>
                </c:pt>
                <c:pt idx="41">
                  <c:v>2900</c:v>
                </c:pt>
                <c:pt idx="42">
                  <c:v>2650</c:v>
                </c:pt>
                <c:pt idx="44">
                  <c:v>5600</c:v>
                </c:pt>
                <c:pt idx="45">
                  <c:v>3350</c:v>
                </c:pt>
                <c:pt idx="46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DE79-4EA6-BBF4-A73AF83902C2}"/>
            </c:ext>
          </c:extLst>
        </c:ser>
        <c:ser>
          <c:idx val="5"/>
          <c:order val="5"/>
          <c:spPr>
            <a:solidFill>
              <a:srgbClr val="CFCFCF"/>
            </a:solidFill>
            <a:ln>
              <a:noFill/>
            </a:ln>
            <a:effectLst/>
          </c:spPr>
          <c:invertIfNegative val="0"/>
          <c:cat>
            <c:numRef>
              <c:f>Калькулятор!$C$55:$C$102</c:f>
              <c:numCache>
                <c:formatCode>mmm</c:formatCode>
                <c:ptCount val="48"/>
                <c:pt idx="0">
                  <c:v>45292</c:v>
                </c:pt>
                <c:pt idx="4">
                  <c:v>45323</c:v>
                </c:pt>
                <c:pt idx="8">
                  <c:v>45352</c:v>
                </c:pt>
                <c:pt idx="12">
                  <c:v>45383</c:v>
                </c:pt>
                <c:pt idx="16">
                  <c:v>45413</c:v>
                </c:pt>
                <c:pt idx="20">
                  <c:v>45444</c:v>
                </c:pt>
                <c:pt idx="24">
                  <c:v>45474</c:v>
                </c:pt>
                <c:pt idx="28">
                  <c:v>45505</c:v>
                </c:pt>
                <c:pt idx="32">
                  <c:v>45536</c:v>
                </c:pt>
                <c:pt idx="36">
                  <c:v>45566</c:v>
                </c:pt>
                <c:pt idx="40">
                  <c:v>45597</c:v>
                </c:pt>
                <c:pt idx="44">
                  <c:v>45627</c:v>
                </c:pt>
              </c:numCache>
            </c:numRef>
          </c:cat>
          <c:val>
            <c:numRef>
              <c:f>Калькулятор!$Q$55:$Q$102</c:f>
              <c:numCache>
                <c:formatCode>_-* #\ ##0.0_-;\-* #\ ##0.0_-;_-*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DE79-4EA6-BBF4-A73AF8390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329080447"/>
        <c:axId val="323489615"/>
      </c:barChart>
      <c:catAx>
        <c:axId val="329080447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23489615"/>
        <c:crosses val="autoZero"/>
        <c:auto val="0"/>
        <c:lblAlgn val="ctr"/>
        <c:lblOffset val="100"/>
        <c:noMultiLvlLbl val="0"/>
      </c:catAx>
      <c:valAx>
        <c:axId val="323489615"/>
        <c:scaling>
          <c:orientation val="minMax"/>
        </c:scaling>
        <c:delete val="0"/>
        <c:axPos val="l"/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2908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3D-478C-B2D3-679BC82E16FD}"/>
              </c:ext>
            </c:extLst>
          </c:dPt>
          <c:val>
            <c:numRef>
              <c:f>Калькулятор!$E$24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3D-478C-B2D3-679BC82E1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261279"/>
        <c:axId val="369420463"/>
      </c:barChart>
      <c:catAx>
        <c:axId val="212261279"/>
        <c:scaling>
          <c:orientation val="minMax"/>
        </c:scaling>
        <c:delete val="1"/>
        <c:axPos val="l"/>
        <c:majorTickMark val="none"/>
        <c:minorTickMark val="none"/>
        <c:tickLblPos val="nextTo"/>
        <c:crossAx val="369420463"/>
        <c:crosses val="autoZero"/>
        <c:auto val="1"/>
        <c:lblAlgn val="ctr"/>
        <c:lblOffset val="100"/>
        <c:noMultiLvlLbl val="0"/>
      </c:catAx>
      <c:valAx>
        <c:axId val="369420463"/>
        <c:scaling>
          <c:orientation val="minMax"/>
          <c:max val="1"/>
        </c:scaling>
        <c:delete val="1"/>
        <c:axPos val="b"/>
        <c:numFmt formatCode="0%" sourceLinked="1"/>
        <c:majorTickMark val="none"/>
        <c:minorTickMark val="none"/>
        <c:tickLblPos val="nextTo"/>
        <c:crossAx val="21226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D$49" lockText="1" noThreeD="1"/>
</file>

<file path=xl/ctrlProps/ctrlProp2.xml><?xml version="1.0" encoding="utf-8"?>
<formControlPr xmlns="http://schemas.microsoft.com/office/spreadsheetml/2009/9/main" objectType="CheckBox" checked="Checked" fmlaLink="$D$50" lockText="1" noThreeD="1"/>
</file>

<file path=xl/ctrlProps/ctrlProp3.xml><?xml version="1.0" encoding="utf-8"?>
<formControlPr xmlns="http://schemas.microsoft.com/office/spreadsheetml/2009/9/main" objectType="CheckBox" checked="Checked" fmlaLink="$D$51" lockText="1" noThreeD="1"/>
</file>

<file path=xl/ctrlProps/ctrlProp4.xml><?xml version="1.0" encoding="utf-8"?>
<formControlPr xmlns="http://schemas.microsoft.com/office/spreadsheetml/2009/9/main" objectType="CheckBox" checked="Checked" fmlaLink="$D$52" lockText="1" noThreeD="1"/>
</file>

<file path=xl/ctrlProps/ctrlProp5.xml><?xml version="1.0" encoding="utf-8"?>
<formControlPr xmlns="http://schemas.microsoft.com/office/spreadsheetml/2009/9/main" objectType="CheckBox" checked="Checked" fmlaLink="Калькулятор!$D$49" lockText="1" noThreeD="1"/>
</file>

<file path=xl/ctrlProps/ctrlProp6.xml><?xml version="1.0" encoding="utf-8"?>
<formControlPr xmlns="http://schemas.microsoft.com/office/spreadsheetml/2009/9/main" objectType="CheckBox" checked="Checked" fmlaLink="Калькулятор!$D$50" lockText="1" noThreeD="1"/>
</file>

<file path=xl/ctrlProps/ctrlProp7.xml><?xml version="1.0" encoding="utf-8"?>
<formControlPr xmlns="http://schemas.microsoft.com/office/spreadsheetml/2009/9/main" objectType="CheckBox" checked="Checked" fmlaLink="Калькулятор!$D$51" lockText="1" noThreeD="1"/>
</file>

<file path=xl/ctrlProps/ctrlProp8.xml><?xml version="1.0" encoding="utf-8"?>
<formControlPr xmlns="http://schemas.microsoft.com/office/spreadsheetml/2009/9/main" objectType="CheckBox" checked="Checked" fmlaLink="Калькулятор!$D$52" lockText="1" noThreeD="1"/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561973</xdr:colOff>
      <xdr:row>5</xdr:row>
      <xdr:rowOff>149066</xdr:rowOff>
    </xdr:from>
    <xdr:to>
      <xdr:col>2</xdr:col>
      <xdr:colOff>1223623</xdr:colOff>
      <xdr:row>11</xdr:row>
      <xdr:rowOff>97496</xdr:rowOff>
    </xdr:to>
    <xdr:sp macro="" textlink="">
      <xdr:nvSpPr>
        <xdr:cNvPr id="2" name="Прямокут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1973" y="1307306"/>
          <a:ext cx="2700000" cy="1080000"/>
        </a:xfrm>
        <a:prstGeom prst="rect">
          <a:avLst/>
        </a:prstGeom>
        <a:solidFill>
          <a:schemeClr val="bg1"/>
        </a:solidFill>
        <a:ln>
          <a:solidFill>
            <a:srgbClr val="4F4F5B"/>
          </a:solidFill>
        </a:ln>
        <a:effectLst>
          <a:outerShdw blurRad="825500" dist="127000" dir="5400000" sx="95000" sy="95000" algn="ctr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1</xdr:col>
      <xdr:colOff>242887</xdr:colOff>
      <xdr:row>6</xdr:row>
      <xdr:rowOff>47625</xdr:rowOff>
    </xdr:from>
    <xdr:to>
      <xdr:col>2</xdr:col>
      <xdr:colOff>995362</xdr:colOff>
      <xdr:row>8</xdr:row>
      <xdr:rowOff>1681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2487" y="1400175"/>
          <a:ext cx="21812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400" b="1">
              <a:solidFill>
                <a:srgbClr val="4F4F5B"/>
              </a:solidFill>
            </a:rPr>
            <a:t>Сьогоднішній</a:t>
          </a:r>
          <a:r>
            <a:rPr lang="ru-RU" sz="1400" b="1" baseline="0">
              <a:solidFill>
                <a:srgbClr val="4F4F5B"/>
              </a:solidFill>
            </a:rPr>
            <a:t> день</a:t>
          </a:r>
          <a:endParaRPr lang="uk-UA" sz="1400" b="1">
            <a:solidFill>
              <a:srgbClr val="4F4F5B"/>
            </a:solidFill>
          </a:endParaRPr>
        </a:p>
      </xdr:txBody>
    </xdr:sp>
    <xdr:clientData/>
  </xdr:twoCellAnchor>
  <xdr:twoCellAnchor editAs="absolute">
    <xdr:from>
      <xdr:col>1</xdr:col>
      <xdr:colOff>242887</xdr:colOff>
      <xdr:row>8</xdr:row>
      <xdr:rowOff>142875</xdr:rowOff>
    </xdr:from>
    <xdr:to>
      <xdr:col>2</xdr:col>
      <xdr:colOff>995362</xdr:colOff>
      <xdr:row>10</xdr:row>
      <xdr:rowOff>85725</xdr:rowOff>
    </xdr:to>
    <xdr:sp macro="" textlink="Калькулятор!E9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852487" y="1876425"/>
          <a:ext cx="21812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4EB2CFB-E5AD-4504-B436-AE06DA253A89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25 вересня 2024 р.</a:t>
          </a:fld>
          <a:endParaRPr lang="uk-UA" sz="2400" b="1">
            <a:solidFill>
              <a:srgbClr val="4F4F5B"/>
            </a:solidFill>
          </a:endParaRPr>
        </a:p>
      </xdr:txBody>
    </xdr:sp>
    <xdr:clientData/>
  </xdr:twoCellAnchor>
  <xdr:twoCellAnchor>
    <xdr:from>
      <xdr:col>5</xdr:col>
      <xdr:colOff>2228850</xdr:colOff>
      <xdr:row>33</xdr:row>
      <xdr:rowOff>20956</xdr:rowOff>
    </xdr:from>
    <xdr:to>
      <xdr:col>5</xdr:col>
      <xdr:colOff>2274569</xdr:colOff>
      <xdr:row>33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9782175" y="6564631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uk-UA" sz="1100"/>
        </a:p>
      </xdr:txBody>
    </xdr:sp>
    <xdr:clientData/>
  </xdr:twoCellAnchor>
  <xdr:twoCellAnchor editAs="absolute">
    <xdr:from>
      <xdr:col>3</xdr:col>
      <xdr:colOff>561975</xdr:colOff>
      <xdr:row>5</xdr:row>
      <xdr:rowOff>145256</xdr:rowOff>
    </xdr:from>
    <xdr:to>
      <xdr:col>4</xdr:col>
      <xdr:colOff>604500</xdr:colOff>
      <xdr:row>11</xdr:row>
      <xdr:rowOff>82256</xdr:rowOff>
    </xdr:to>
    <xdr:sp macro="" textlink="">
      <xdr:nvSpPr>
        <xdr:cNvPr id="7" name="Прямокутни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29075" y="1307306"/>
          <a:ext cx="2700000" cy="1080000"/>
        </a:xfrm>
        <a:prstGeom prst="rect">
          <a:avLst/>
        </a:prstGeom>
        <a:solidFill>
          <a:schemeClr val="bg1"/>
        </a:solidFill>
        <a:ln>
          <a:solidFill>
            <a:srgbClr val="4F4F5B"/>
          </a:solidFill>
        </a:ln>
        <a:effectLst>
          <a:outerShdw blurRad="825500" dist="127000" dir="5400000" sx="95000" sy="95000" algn="ctr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</xdr:col>
      <xdr:colOff>938212</xdr:colOff>
      <xdr:row>6</xdr:row>
      <xdr:rowOff>3585</xdr:rowOff>
    </xdr:from>
    <xdr:to>
      <xdr:col>4</xdr:col>
      <xdr:colOff>395287</xdr:colOff>
      <xdr:row>8</xdr:row>
      <xdr:rowOff>28574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405312" y="1352549"/>
          <a:ext cx="21145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400" b="1">
              <a:solidFill>
                <a:srgbClr val="4F4F5B"/>
              </a:solidFill>
            </a:rPr>
            <a:t>День</a:t>
          </a:r>
          <a:r>
            <a:rPr lang="uk-UA" sz="1400" b="1" baseline="0">
              <a:solidFill>
                <a:srgbClr val="4F4F5B"/>
              </a:solidFill>
            </a:rPr>
            <a:t> останього запису</a:t>
          </a:r>
          <a:endParaRPr lang="uk-UA" sz="1400" b="1">
            <a:solidFill>
              <a:srgbClr val="4F4F5B"/>
            </a:solidFill>
          </a:endParaRPr>
        </a:p>
      </xdr:txBody>
    </xdr:sp>
    <xdr:clientData/>
  </xdr:twoCellAnchor>
  <xdr:twoCellAnchor editAs="absolute">
    <xdr:from>
      <xdr:col>3</xdr:col>
      <xdr:colOff>938212</xdr:colOff>
      <xdr:row>8</xdr:row>
      <xdr:rowOff>104774</xdr:rowOff>
    </xdr:from>
    <xdr:to>
      <xdr:col>4</xdr:col>
      <xdr:colOff>395287</xdr:colOff>
      <xdr:row>10</xdr:row>
      <xdr:rowOff>133349</xdr:rowOff>
    </xdr:to>
    <xdr:sp macro="" textlink="Калькулятор!E10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405312" y="1838324"/>
          <a:ext cx="21145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DB5F175-5BC9-49BF-BB07-245A18B3A9E4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27 лютого 2024 р.</a:t>
          </a:fld>
          <a:endParaRPr lang="uk-UA" sz="1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1400175</xdr:colOff>
      <xdr:row>5</xdr:row>
      <xdr:rowOff>145256</xdr:rowOff>
    </xdr:from>
    <xdr:to>
      <xdr:col>5</xdr:col>
      <xdr:colOff>2671425</xdr:colOff>
      <xdr:row>11</xdr:row>
      <xdr:rowOff>82256</xdr:rowOff>
    </xdr:to>
    <xdr:sp macro="" textlink="">
      <xdr:nvSpPr>
        <xdr:cNvPr id="11" name="Прямокутни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524750" y="1307306"/>
          <a:ext cx="2700000" cy="1080000"/>
        </a:xfrm>
        <a:prstGeom prst="rect">
          <a:avLst/>
        </a:prstGeom>
        <a:solidFill>
          <a:schemeClr val="bg1"/>
        </a:solidFill>
        <a:ln>
          <a:solidFill>
            <a:srgbClr val="4F4F5B"/>
          </a:solidFill>
        </a:ln>
        <a:effectLst>
          <a:outerShdw blurRad="825500" dist="127000" dir="5400000" sx="95000" sy="95000" algn="ctr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4</xdr:col>
      <xdr:colOff>1419225</xdr:colOff>
      <xdr:row>5</xdr:row>
      <xdr:rowOff>147637</xdr:rowOff>
    </xdr:from>
    <xdr:to>
      <xdr:col>5</xdr:col>
      <xdr:colOff>2686050</xdr:colOff>
      <xdr:row>7</xdr:row>
      <xdr:rowOff>176212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543800" y="1309687"/>
          <a:ext cx="26955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400" b="1" i="0" u="none" strike="noStrike">
              <a:solidFill>
                <a:srgbClr val="4F4F5B"/>
              </a:solidFill>
              <a:effectLst/>
              <a:latin typeface="+mn-lt"/>
              <a:ea typeface="+mn-ea"/>
              <a:cs typeface="+mn-cs"/>
            </a:rPr>
            <a:t>Кіл-ть днів від минулого запису</a:t>
          </a:r>
          <a:r>
            <a:rPr lang="uk-UA" sz="1800" b="1">
              <a:solidFill>
                <a:srgbClr val="4F4F5B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280987</xdr:colOff>
      <xdr:row>8</xdr:row>
      <xdr:rowOff>90487</xdr:rowOff>
    </xdr:from>
    <xdr:to>
      <xdr:col>5</xdr:col>
      <xdr:colOff>2395537</xdr:colOff>
      <xdr:row>10</xdr:row>
      <xdr:rowOff>119062</xdr:rowOff>
    </xdr:to>
    <xdr:sp macro="" textlink="Калькулятор!E11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7834312" y="1824037"/>
          <a:ext cx="21145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FB35566-2C76-48AD-BBC1-B5F84AD85DA1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 algn="ctr"/>
            <a:t>(211 днів пройшло)</a:t>
          </a:fld>
          <a:endParaRPr lang="uk-UA" sz="2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3429000</xdr:colOff>
      <xdr:row>5</xdr:row>
      <xdr:rowOff>145256</xdr:rowOff>
    </xdr:from>
    <xdr:to>
      <xdr:col>7</xdr:col>
      <xdr:colOff>45382</xdr:colOff>
      <xdr:row>11</xdr:row>
      <xdr:rowOff>82256</xdr:rowOff>
    </xdr:to>
    <xdr:sp macro="" textlink="">
      <xdr:nvSpPr>
        <xdr:cNvPr id="14" name="Прямокутни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0982325" y="1307306"/>
          <a:ext cx="2700000" cy="1080000"/>
        </a:xfrm>
        <a:prstGeom prst="rect">
          <a:avLst/>
        </a:prstGeom>
        <a:solidFill>
          <a:schemeClr val="bg1"/>
        </a:solidFill>
        <a:ln>
          <a:solidFill>
            <a:srgbClr val="4F4F5B"/>
          </a:solidFill>
        </a:ln>
        <a:effectLst>
          <a:outerShdw blurRad="825500" dist="127000" dir="5400000" sx="95000" sy="95000" algn="ctr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5</xdr:col>
      <xdr:colOff>3429000</xdr:colOff>
      <xdr:row>5</xdr:row>
      <xdr:rowOff>176212</xdr:rowOff>
    </xdr:from>
    <xdr:to>
      <xdr:col>7</xdr:col>
      <xdr:colOff>33337</xdr:colOff>
      <xdr:row>8</xdr:row>
      <xdr:rowOff>14287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0982325" y="1338262"/>
          <a:ext cx="26955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400" b="1" i="0" u="none" strike="noStrike">
              <a:solidFill>
                <a:srgbClr val="4F4F5B"/>
              </a:solidFill>
              <a:effectLst/>
              <a:latin typeface="+mn-lt"/>
              <a:ea typeface="+mn-ea"/>
              <a:cs typeface="+mn-cs"/>
            </a:rPr>
            <a:t>Баланс</a:t>
          </a:r>
        </a:p>
      </xdr:txBody>
    </xdr:sp>
    <xdr:clientData/>
  </xdr:twoCellAnchor>
  <xdr:twoCellAnchor editAs="absolute">
    <xdr:from>
      <xdr:col>5</xdr:col>
      <xdr:colOff>3719512</xdr:colOff>
      <xdr:row>8</xdr:row>
      <xdr:rowOff>119062</xdr:rowOff>
    </xdr:from>
    <xdr:to>
      <xdr:col>6</xdr:col>
      <xdr:colOff>1052512</xdr:colOff>
      <xdr:row>10</xdr:row>
      <xdr:rowOff>147637</xdr:rowOff>
    </xdr:to>
    <xdr:sp macro="" textlink="Калькулятор!E12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1272837" y="1852612"/>
          <a:ext cx="21145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FFC5428-8DEE-4736-8188-BE78858A7E9C}" type="TxLink">
            <a:rPr lang="en-US" sz="14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-1 353,00</a:t>
          </a:fld>
          <a:endParaRPr lang="uk-UA" sz="4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47</xdr:row>
          <xdr:rowOff>0</xdr:rowOff>
        </xdr:from>
        <xdr:to>
          <xdr:col>7</xdr:col>
          <xdr:colOff>289560</xdr:colOff>
          <xdr:row>48</xdr:row>
          <xdr:rowOff>83820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Дохід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49</xdr:row>
          <xdr:rowOff>144780</xdr:rowOff>
        </xdr:from>
        <xdr:to>
          <xdr:col>7</xdr:col>
          <xdr:colOff>297180</xdr:colOff>
          <xdr:row>51</xdr:row>
          <xdr:rowOff>38100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Витрати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68580</xdr:rowOff>
        </xdr:from>
        <xdr:to>
          <xdr:col>7</xdr:col>
          <xdr:colOff>304800</xdr:colOff>
          <xdr:row>49</xdr:row>
          <xdr:rowOff>152400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Збереження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571500</xdr:colOff>
          <xdr:row>49</xdr:row>
          <xdr:rowOff>121920</xdr:rowOff>
        </xdr:from>
        <xdr:to>
          <xdr:col>7</xdr:col>
          <xdr:colOff>1661160</xdr:colOff>
          <xdr:row>51</xdr:row>
          <xdr:rowOff>22860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Бюджет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60960</xdr:colOff>
      <xdr:row>12</xdr:row>
      <xdr:rowOff>99060</xdr:rowOff>
    </xdr:from>
    <xdr:to>
      <xdr:col>34</xdr:col>
      <xdr:colOff>320039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972300" y="2651760"/>
          <a:ext cx="246126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k-UA" sz="1100" b="1"/>
            <a:t>Категорія</a:t>
          </a:r>
          <a:r>
            <a:rPr lang="uk-UA" sz="1100" b="1" baseline="0"/>
            <a:t> </a:t>
          </a:r>
          <a:r>
            <a:rPr lang="uk-UA" sz="1100" b="1" baseline="0">
              <a:solidFill>
                <a:srgbClr val="00B050"/>
              </a:solidFill>
            </a:rPr>
            <a:t>Доходу</a:t>
          </a:r>
          <a:r>
            <a:rPr lang="uk-UA" sz="1100" b="1" baseline="0"/>
            <a:t> </a:t>
          </a:r>
          <a:r>
            <a:rPr lang="uk-U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uk-UA"/>
            <a:t> </a:t>
          </a:r>
          <a:r>
            <a:rPr lang="uk-U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uk-UA"/>
            <a:t> </a:t>
          </a:r>
          <a:r>
            <a:rPr lang="uk-U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uk-UA"/>
            <a:t> </a:t>
          </a:r>
          <a:r>
            <a:rPr lang="uk-U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uk-UA"/>
            <a:t> </a:t>
          </a:r>
          <a:r>
            <a:rPr lang="uk-U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uk-UA"/>
            <a:t> </a:t>
          </a:r>
          <a:r>
            <a:rPr lang="uk-U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uk-UA"/>
            <a:t> </a:t>
          </a:r>
          <a:endParaRPr lang="uk-UA" sz="1100"/>
        </a:p>
      </xdr:txBody>
    </xdr:sp>
    <xdr:clientData/>
  </xdr:twoCellAnchor>
  <xdr:twoCellAnchor editAs="oneCell">
    <xdr:from>
      <xdr:col>31</xdr:col>
      <xdr:colOff>187810</xdr:colOff>
      <xdr:row>13</xdr:row>
      <xdr:rowOff>161365</xdr:rowOff>
    </xdr:from>
    <xdr:to>
      <xdr:col>32</xdr:col>
      <xdr:colOff>721091</xdr:colOff>
      <xdr:row>22</xdr:row>
      <xdr:rowOff>85165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31</xdr:col>
      <xdr:colOff>60960</xdr:colOff>
      <xdr:row>25</xdr:row>
      <xdr:rowOff>99060</xdr:rowOff>
    </xdr:from>
    <xdr:ext cx="2464397" cy="29762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6990678" y="2627107"/>
          <a:ext cx="2464397" cy="2976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k-UA" sz="1100" b="1"/>
            <a:t>Категорія</a:t>
          </a:r>
          <a:r>
            <a:rPr lang="uk-UA" sz="1100" b="1" baseline="0"/>
            <a:t> </a:t>
          </a:r>
          <a:r>
            <a:rPr lang="ru-RU" sz="1100" b="1" baseline="0">
              <a:solidFill>
                <a:srgbClr val="FF0000"/>
              </a:solidFill>
            </a:rPr>
            <a:t>Витрат</a:t>
          </a:r>
          <a:r>
            <a:rPr lang="uk-UA" sz="1100" b="1" baseline="0">
              <a:solidFill>
                <a:srgbClr val="FF0000"/>
              </a:solidFill>
            </a:rPr>
            <a:t> </a:t>
          </a:r>
          <a:endParaRPr lang="uk-UA" sz="1100"/>
        </a:p>
      </xdr:txBody>
    </xdr:sp>
    <xdr:clientData/>
  </xdr:oneCellAnchor>
  <xdr:oneCellAnchor>
    <xdr:from>
      <xdr:col>31</xdr:col>
      <xdr:colOff>187810</xdr:colOff>
      <xdr:row>26</xdr:row>
      <xdr:rowOff>161365</xdr:rowOff>
    </xdr:from>
    <xdr:ext cx="1573186" cy="1537447"/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38</xdr:col>
      <xdr:colOff>60960</xdr:colOff>
      <xdr:row>25</xdr:row>
      <xdr:rowOff>99060</xdr:rowOff>
    </xdr:from>
    <xdr:ext cx="3184263" cy="29762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11553713" y="4957931"/>
          <a:ext cx="3184263" cy="2976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k-UA" sz="1100" b="1"/>
            <a:t>Категорія</a:t>
          </a:r>
          <a:r>
            <a:rPr lang="uk-UA" sz="1100" b="1" baseline="0"/>
            <a:t> </a:t>
          </a:r>
          <a:r>
            <a:rPr lang="ru-RU" sz="1100" b="1" baseline="0">
              <a:solidFill>
                <a:srgbClr val="0070C0"/>
              </a:solidFill>
            </a:rPr>
            <a:t>Збереження</a:t>
          </a:r>
          <a:r>
            <a:rPr lang="uk-UA" sz="1100" b="1" baseline="0">
              <a:solidFill>
                <a:srgbClr val="FF0000"/>
              </a:solidFill>
            </a:rPr>
            <a:t> </a:t>
          </a:r>
          <a:endParaRPr lang="uk-UA" sz="1100" b="1" baseline="0">
            <a:solidFill>
              <a:schemeClr val="dk1"/>
            </a:solidFill>
          </a:endParaRPr>
        </a:p>
        <a:p>
          <a:endParaRPr lang="uk-UA" sz="1100" b="1" baseline="0"/>
        </a:p>
        <a:p>
          <a:endParaRPr lang="uk-UA" sz="1100"/>
        </a:p>
      </xdr:txBody>
    </xdr:sp>
    <xdr:clientData/>
  </xdr:oneCellAnchor>
  <xdr:oneCellAnchor>
    <xdr:from>
      <xdr:col>38</xdr:col>
      <xdr:colOff>187810</xdr:colOff>
      <xdr:row>26</xdr:row>
      <xdr:rowOff>161365</xdr:rowOff>
    </xdr:from>
    <xdr:ext cx="1573186" cy="1537447"/>
    <xdr:graphicFrame macro="">
      <xdr:nvGraphicFramePr>
        <xdr:cNvPr id="9" name="Діаграма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38</xdr:col>
      <xdr:colOff>60960</xdr:colOff>
      <xdr:row>12</xdr:row>
      <xdr:rowOff>99060</xdr:rowOff>
    </xdr:from>
    <xdr:ext cx="1453515" cy="32004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11243310" y="2708910"/>
          <a:ext cx="1453515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 baseline="0"/>
            <a:t>В розрізі бюджету</a:t>
          </a:r>
          <a:endParaRPr lang="uk-UA" sz="1100" b="1" baseline="0"/>
        </a:p>
        <a:p>
          <a:endParaRPr lang="uk-UA" sz="1100"/>
        </a:p>
      </xdr:txBody>
    </xdr:sp>
    <xdr:clientData/>
  </xdr:oneCellAnchor>
  <xdr:twoCellAnchor>
    <xdr:from>
      <xdr:col>38</xdr:col>
      <xdr:colOff>0</xdr:colOff>
      <xdr:row>15</xdr:row>
      <xdr:rowOff>152400</xdr:rowOff>
    </xdr:from>
    <xdr:to>
      <xdr:col>44</xdr:col>
      <xdr:colOff>0</xdr:colOff>
      <xdr:row>24</xdr:row>
      <xdr:rowOff>85725</xdr:rowOff>
    </xdr:to>
    <xdr:graphicFrame macro="">
      <xdr:nvGraphicFramePr>
        <xdr:cNvPr id="11" name="Діаграма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723900</xdr:colOff>
          <xdr:row>12</xdr:row>
          <xdr:rowOff>106680</xdr:rowOff>
        </xdr:from>
        <xdr:to>
          <xdr:col>43</xdr:col>
          <xdr:colOff>289560</xdr:colOff>
          <xdr:row>14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4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Дохід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723900</xdr:colOff>
          <xdr:row>13</xdr:row>
          <xdr:rowOff>106680</xdr:rowOff>
        </xdr:from>
        <xdr:to>
          <xdr:col>43</xdr:col>
          <xdr:colOff>198120</xdr:colOff>
          <xdr:row>15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4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Витрати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723900</xdr:colOff>
          <xdr:row>14</xdr:row>
          <xdr:rowOff>106680</xdr:rowOff>
        </xdr:from>
        <xdr:to>
          <xdr:col>43</xdr:col>
          <xdr:colOff>228600</xdr:colOff>
          <xdr:row>16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4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Збереження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975360</xdr:colOff>
          <xdr:row>12</xdr:row>
          <xdr:rowOff>106680</xdr:rowOff>
        </xdr:from>
        <xdr:to>
          <xdr:col>41</xdr:col>
          <xdr:colOff>441960</xdr:colOff>
          <xdr:row>14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4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Бюджет</a:t>
              </a:r>
            </a:p>
          </xdr:txBody>
        </xdr:sp>
        <xdr:clientData/>
      </xdr:twoCellAnchor>
    </mc:Choice>
    <mc:Fallback/>
  </mc:AlternateContent>
  <xdr:twoCellAnchor>
    <xdr:from>
      <xdr:col>39</xdr:col>
      <xdr:colOff>895350</xdr:colOff>
      <xdr:row>12</xdr:row>
      <xdr:rowOff>95250</xdr:rowOff>
    </xdr:from>
    <xdr:to>
      <xdr:col>43</xdr:col>
      <xdr:colOff>76200</xdr:colOff>
      <xdr:row>16</xdr:row>
      <xdr:rowOff>0</xdr:rowOff>
    </xdr:to>
    <xdr:sp macro="" textlink="">
      <xdr:nvSpPr>
        <xdr:cNvPr id="12" name="Прямокутни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3087350" y="2705100"/>
          <a:ext cx="1924050" cy="666750"/>
        </a:xfrm>
        <a:prstGeom prst="rect">
          <a:avLst/>
        </a:prstGeom>
        <a:noFill/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24</xdr:col>
      <xdr:colOff>38100</xdr:colOff>
      <xdr:row>3</xdr:row>
      <xdr:rowOff>123825</xdr:rowOff>
    </xdr:from>
    <xdr:to>
      <xdr:col>27</xdr:col>
      <xdr:colOff>819150</xdr:colOff>
      <xdr:row>9</xdr:row>
      <xdr:rowOff>34155</xdr:rowOff>
    </xdr:to>
    <xdr:grpSp>
      <xdr:nvGrpSpPr>
        <xdr:cNvPr id="23" name="Групувати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pSpPr/>
      </xdr:nvGrpSpPr>
      <xdr:grpSpPr>
        <a:xfrm>
          <a:off x="1276350" y="885825"/>
          <a:ext cx="3657600" cy="1072380"/>
          <a:chOff x="1209675" y="933450"/>
          <a:chExt cx="3581400" cy="1091430"/>
        </a:xfrm>
      </xdr:grpSpPr>
      <xdr:sp macro="" textlink="">
        <xdr:nvSpPr>
          <xdr:cNvPr id="14" name="Прямокутник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1209675" y="933450"/>
            <a:ext cx="3581400" cy="1091430"/>
          </a:xfrm>
          <a:prstGeom prst="rect">
            <a:avLst/>
          </a:prstGeom>
          <a:solidFill>
            <a:schemeClr val="bg1"/>
          </a:solidFill>
          <a:ln>
            <a:solidFill>
              <a:srgbClr val="4F4F5B"/>
            </a:solidFill>
          </a:ln>
          <a:effectLst>
            <a:outerShdw blurRad="825500" dist="127000" dir="5400000" sx="95000" sy="95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uk-UA" sz="1100" b="1"/>
          </a:p>
        </xdr:txBody>
      </xdr:sp>
      <xdr:grpSp>
        <xdr:nvGrpSpPr>
          <xdr:cNvPr id="22" name="Групувати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GrpSpPr/>
        </xdr:nvGrpSpPr>
        <xdr:grpSpPr>
          <a:xfrm>
            <a:off x="1400177" y="1041559"/>
            <a:ext cx="3162298" cy="825341"/>
            <a:chOff x="1400177" y="1041559"/>
            <a:chExt cx="3162298" cy="825341"/>
          </a:xfrm>
        </xdr:grpSpPr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/>
          </xdr:nvSpPr>
          <xdr:spPr>
            <a:xfrm>
              <a:off x="1400177" y="1041559"/>
              <a:ext cx="2181225" cy="33505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ru-RU" sz="1400" b="1">
                  <a:solidFill>
                    <a:srgbClr val="4F4F5B"/>
                  </a:solidFill>
                </a:rPr>
                <a:t>Вибраний рік</a:t>
              </a:r>
              <a:r>
                <a:rPr lang="ru-RU" sz="1400" b="1" baseline="0">
                  <a:solidFill>
                    <a:srgbClr val="4F4F5B"/>
                  </a:solidFill>
                </a:rPr>
                <a:t> та період</a:t>
              </a:r>
            </a:p>
          </xdr:txBody>
        </xdr:sp>
        <xdr:sp macro="" textlink="selected_year">
          <xdr:nvSpPr>
            <xdr:cNvPr id="19" name="Прямокутник: округлені кути 18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/>
          </xdr:nvSpPr>
          <xdr:spPr>
            <a:xfrm>
              <a:off x="1562100" y="1485900"/>
              <a:ext cx="1238250" cy="381000"/>
            </a:xfrm>
            <a:prstGeom prst="roundRect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D9071C9E-FA05-43F8-BDD4-BB2158F33C84}" type="TxLink">
                <a:rPr lang="en-US" sz="1400" b="1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2024</a:t>
              </a:fld>
              <a:endParaRPr lang="uk-UA" sz="1400" b="1"/>
            </a:p>
          </xdr:txBody>
        </xdr:sp>
        <xdr:sp macro="" textlink="selected_period_display">
          <xdr:nvSpPr>
            <xdr:cNvPr id="21" name="Прямокутник: округлені кути 20">
              <a:extLst>
                <a:ext uri="{FF2B5EF4-FFF2-40B4-BE49-F238E27FC236}">
                  <a16:creationId xmlns:a16="http://schemas.microsoft.com/office/drawing/2014/main" id="{00000000-0008-0000-0400-000015000000}"/>
                </a:ext>
              </a:extLst>
            </xdr:cNvPr>
            <xdr:cNvSpPr/>
          </xdr:nvSpPr>
          <xdr:spPr>
            <a:xfrm>
              <a:off x="3190875" y="1485900"/>
              <a:ext cx="1371600" cy="381000"/>
            </a:xfrm>
            <a:prstGeom prst="roundRect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BF21C85-1E18-4FA1-BF56-A2F1E4617377}" type="TxLink">
                <a:rPr lang="uk-UA" sz="1400" b="1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Февраль</a:t>
              </a:fld>
              <a:endParaRPr lang="uk-UA" sz="1800" b="1"/>
            </a:p>
          </xdr:txBody>
        </xdr:sp>
      </xdr:grpSp>
    </xdr:grpSp>
    <xdr:clientData/>
  </xdr:twoCellAnchor>
  <xdr:twoCellAnchor>
    <xdr:from>
      <xdr:col>28</xdr:col>
      <xdr:colOff>523875</xdr:colOff>
      <xdr:row>3</xdr:row>
      <xdr:rowOff>123825</xdr:rowOff>
    </xdr:from>
    <xdr:to>
      <xdr:col>31</xdr:col>
      <xdr:colOff>581025</xdr:colOff>
      <xdr:row>9</xdr:row>
      <xdr:rowOff>34155</xdr:rowOff>
    </xdr:to>
    <xdr:grpSp>
      <xdr:nvGrpSpPr>
        <xdr:cNvPr id="32" name="Групувати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pSpPr/>
      </xdr:nvGrpSpPr>
      <xdr:grpSpPr>
        <a:xfrm>
          <a:off x="5524500" y="885825"/>
          <a:ext cx="1971675" cy="1072380"/>
          <a:chOff x="5400675" y="904875"/>
          <a:chExt cx="1924050" cy="1091430"/>
        </a:xfrm>
      </xdr:grpSpPr>
      <xdr:grpSp>
        <xdr:nvGrpSpPr>
          <xdr:cNvPr id="24" name="Групувати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GrpSpPr/>
        </xdr:nvGrpSpPr>
        <xdr:grpSpPr>
          <a:xfrm>
            <a:off x="5400675" y="904875"/>
            <a:ext cx="1924050" cy="1091430"/>
            <a:chOff x="1209675" y="933450"/>
            <a:chExt cx="3581400" cy="1091430"/>
          </a:xfrm>
        </xdr:grpSpPr>
        <xdr:sp macro="" textlink="">
          <xdr:nvSpPr>
            <xdr:cNvPr id="25" name="Прямокутник 24">
              <a:extLst>
                <a:ext uri="{FF2B5EF4-FFF2-40B4-BE49-F238E27FC236}">
                  <a16:creationId xmlns:a16="http://schemas.microsoft.com/office/drawing/2014/main" id="{00000000-0008-0000-0400-000019000000}"/>
                </a:ext>
              </a:extLst>
            </xdr:cNvPr>
            <xdr:cNvSpPr/>
          </xdr:nvSpPr>
          <xdr:spPr>
            <a:xfrm>
              <a:off x="1209675" y="933450"/>
              <a:ext cx="3581400" cy="1091430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4F4F5B"/>
              </a:solidFill>
            </a:ln>
            <a:effectLst>
              <a:outerShdw blurRad="825500" dist="127000" dir="5400000" sx="95000" sy="95000" algn="ctr" rotWithShape="0">
                <a:prstClr val="black">
                  <a:alpha val="15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uk-UA" sz="1100"/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SpPr txBox="1"/>
          </xdr:nvSpPr>
          <xdr:spPr>
            <a:xfrm>
              <a:off x="1400177" y="1041559"/>
              <a:ext cx="3205651" cy="33505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ru-RU" sz="1400" b="1" baseline="0">
                  <a:solidFill>
                    <a:srgbClr val="4F4F5B"/>
                  </a:solidFill>
                </a:rPr>
                <a:t>Період</a:t>
              </a:r>
              <a:r>
                <a:rPr lang="en-US" sz="1400" b="1" baseline="0">
                  <a:solidFill>
                    <a:srgbClr val="4F4F5B"/>
                  </a:solidFill>
                </a:rPr>
                <a:t> </a:t>
              </a:r>
              <a:r>
                <a:rPr lang="ru-RU" sz="1400" b="1" baseline="0">
                  <a:solidFill>
                    <a:srgbClr val="4F4F5B"/>
                  </a:solidFill>
                </a:rPr>
                <a:t>завершено</a:t>
              </a:r>
            </a:p>
          </xdr:txBody>
        </xdr:sp>
      </xdr:grpSp>
      <xdr:graphicFrame macro="">
        <xdr:nvGraphicFramePr>
          <xdr:cNvPr id="30" name="Діаграма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GraphicFramePr>
            <a:graphicFrameLocks/>
          </xdr:cNvGraphicFramePr>
        </xdr:nvGraphicFramePr>
        <xdr:xfrm>
          <a:off x="5562600" y="1390650"/>
          <a:ext cx="1619250" cy="5143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Калькулятор!E24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5724525" y="1457325"/>
            <a:ext cx="131445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49293A-51E0-4A02-95CC-BE1455511FF8}" type="TxLink">
              <a:rPr lang="en-US" sz="16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100%</a:t>
            </a:fld>
            <a:endParaRPr lang="uk-UA" sz="16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4FCDC-1AE6-445D-8C06-5AE9FA50F445}" name="Дохід" displayName="Дохід" ref="C9:C12" totalsRowShown="0" headerRowDxfId="54" dataDxfId="53">
  <autoFilter ref="C9:C12" xr:uid="{56D4FCDC-1AE6-445D-8C06-5AE9FA50F445}">
    <filterColumn colId="0" hiddenButton="1"/>
  </autoFilter>
  <tableColumns count="1">
    <tableColumn id="1" xr3:uid="{0D6AB139-1FCA-4395-A731-4477F77FE18E}" name="Дохід" dataDxfId="52"/>
  </tableColumns>
  <tableStyleInfo name="income 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760FC9-4D7D-45A2-BF55-D2D091FB727C}" name="Витрати" displayName="Витрати" ref="C24:C33" totalsRowShown="0" headerRowDxfId="51" dataDxfId="50">
  <autoFilter ref="C24:C33" xr:uid="{6B760FC9-4D7D-45A2-BF55-D2D091FB727C}">
    <filterColumn colId="0" hiddenButton="1"/>
  </autoFilter>
  <tableColumns count="1">
    <tableColumn id="1" xr3:uid="{7C0105A2-658C-447B-9ED4-F1A636E81930}" name="Витрати" dataDxfId="49"/>
  </tableColumns>
  <tableStyleInfo name="expensive table 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852B08-24C0-471C-85DA-D991959BCA84}" name="Збереження" displayName="Збереження" ref="C39:C44" totalsRowShown="0" headerRowDxfId="48" dataDxfId="47">
  <autoFilter ref="C39:C44" xr:uid="{F9852B08-24C0-471C-85DA-D991959BCA84}">
    <filterColumn colId="0" hiddenButton="1"/>
  </autoFilter>
  <tableColumns count="1">
    <tableColumn id="1" xr3:uid="{A9906BCB-3BA9-4763-823F-65548B8C0799}" name="Збереження" dataDxfId="46"/>
  </tableColumns>
  <tableStyleInfo name="saving table 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F7DF32-6159-4F9F-AE01-825FF111E9AD}" name="Tracking" displayName="Tracking" ref="B15:H59" totalsRowShown="0" headerRowDxfId="40" dataDxfId="39">
  <autoFilter ref="B15:H59" xr:uid="{67F7DF32-6159-4F9F-AE01-825FF111E9AD}">
    <filterColumn colId="6">
      <filters>
        <dateGroupItem year="2023" month="2" dateTimeGrouping="month"/>
      </filters>
    </filterColumn>
  </autoFilter>
  <tableColumns count="7">
    <tableColumn id="1" xr3:uid="{4C417CEA-C0BB-4D15-BF11-9E87D75659FB}" name="Дата" dataDxfId="38"/>
    <tableColumn id="2" xr3:uid="{F67ACB47-D2CD-4531-9D58-2FE706909507}" name="Тип" dataDxfId="37"/>
    <tableColumn id="3" xr3:uid="{86615056-41A9-4DD2-87A6-612F232BEBD0}" name="Категорія" dataDxfId="36"/>
    <tableColumn id="4" xr3:uid="{F0E9D367-3BDC-431D-AC24-E34E3AA42D3D}" name="Сума" dataDxfId="35"/>
    <tableColumn id="5" xr3:uid="{3E800130-64BA-4AEA-98F3-CF3F2006B9F5}" name="Деталі" dataDxfId="34"/>
    <tableColumn id="6" xr3:uid="{CBE23403-6B6F-4FAE-9EC3-A1E8F3F1EA68}" name="Баланс" dataDxfId="33">
      <calculatedColumnFormula array="1">SUMPRODUCT(Tracking[Сума],--(Tracking[Дата]&lt;=Tracking[[#This Row],[Дата]]), (Tracking[Тип]&lt;&gt;"Дохід")*(-1) +(Tracking[Тип]="Дохід"))</calculatedColumnFormula>
    </tableColumn>
    <tableColumn id="7" xr3:uid="{C2D0BAEC-F8C7-4D31-B2F2-24BBFA9233C7}" name="Період" dataDxfId="32">
      <calculatedColumnFormula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calculatedColumnFormula>
    </tableColumn>
  </tableColumns>
  <tableStyleInfo name="tracking 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A8FD-55CD-45D2-85AD-8B9DEF7ACB31}">
  <sheetPr codeName="Аркуш1"/>
  <dimension ref="B1:J27"/>
  <sheetViews>
    <sheetView workbookViewId="0">
      <selection activeCell="E10" sqref="E10"/>
    </sheetView>
  </sheetViews>
  <sheetFormatPr defaultRowHeight="14.4" x14ac:dyDescent="0.3"/>
  <cols>
    <col min="3" max="3" width="3.6640625" customWidth="1"/>
    <col min="4" max="4" width="41.109375" bestFit="1" customWidth="1"/>
    <col min="5" max="5" width="22" customWidth="1"/>
    <col min="6" max="6" width="3.5546875" customWidth="1"/>
    <col min="7" max="7" width="44.44140625" bestFit="1" customWidth="1"/>
    <col min="8" max="8" width="3.6640625" customWidth="1"/>
  </cols>
  <sheetData>
    <row r="1" spans="2:10" s="3" customFormat="1" x14ac:dyDescent="0.3"/>
    <row r="2" spans="2:10" s="3" customFormat="1" ht="31.2" x14ac:dyDescent="0.6">
      <c r="B2" s="4"/>
      <c r="C2" s="148" t="s">
        <v>3</v>
      </c>
      <c r="D2" s="148"/>
      <c r="E2" s="148"/>
    </row>
    <row r="3" spans="2:10" s="3" customFormat="1" x14ac:dyDescent="0.3"/>
    <row r="7" spans="2:10" ht="15.6" x14ac:dyDescent="0.3">
      <c r="C7" s="149" t="s">
        <v>19</v>
      </c>
      <c r="D7" s="149"/>
      <c r="E7" s="149"/>
      <c r="F7" s="149"/>
      <c r="G7" s="149"/>
      <c r="H7" s="149"/>
    </row>
    <row r="8" spans="2:10" ht="15.6" x14ac:dyDescent="0.3">
      <c r="C8" s="40"/>
      <c r="D8" s="41"/>
      <c r="E8" s="41"/>
      <c r="F8" s="41"/>
      <c r="G8" s="41"/>
      <c r="H8" s="42"/>
    </row>
    <row r="9" spans="2:10" ht="15.6" x14ac:dyDescent="0.3">
      <c r="C9" s="43"/>
      <c r="D9" s="44" t="s">
        <v>4</v>
      </c>
      <c r="E9" s="45">
        <v>2024</v>
      </c>
      <c r="F9" s="46"/>
      <c r="G9" s="47" t="s">
        <v>5</v>
      </c>
      <c r="H9" s="48"/>
    </row>
    <row r="10" spans="2:10" ht="15.6" x14ac:dyDescent="0.3">
      <c r="C10" s="49"/>
      <c r="D10" s="50"/>
      <c r="E10" s="50"/>
      <c r="F10" s="50"/>
      <c r="G10" s="50"/>
      <c r="H10" s="51"/>
    </row>
    <row r="12" spans="2:10" ht="15.6" x14ac:dyDescent="0.3">
      <c r="C12" s="149" t="s">
        <v>19</v>
      </c>
      <c r="D12" s="149"/>
      <c r="E12" s="149"/>
      <c r="F12" s="149"/>
      <c r="G12" s="149"/>
      <c r="H12" s="149"/>
    </row>
    <row r="13" spans="2:10" ht="15.6" x14ac:dyDescent="0.3">
      <c r="C13" s="40"/>
      <c r="D13" s="41"/>
      <c r="E13" s="41"/>
      <c r="F13" s="41"/>
      <c r="G13" s="41"/>
      <c r="H13" s="42"/>
      <c r="I13" s="53"/>
      <c r="J13" s="53"/>
    </row>
    <row r="14" spans="2:10" ht="15.6" x14ac:dyDescent="0.3">
      <c r="C14" s="43"/>
      <c r="D14" s="75" t="s">
        <v>46</v>
      </c>
      <c r="E14" s="46"/>
      <c r="F14" s="46"/>
      <c r="G14" s="46"/>
      <c r="H14" s="48"/>
      <c r="I14" s="53"/>
      <c r="J14" s="53"/>
    </row>
    <row r="15" spans="2:10" ht="15.6" x14ac:dyDescent="0.3">
      <c r="C15" s="43"/>
      <c r="D15" s="46"/>
      <c r="E15" s="46"/>
      <c r="F15" s="46"/>
      <c r="G15" s="46"/>
      <c r="H15" s="48"/>
      <c r="I15" s="53"/>
      <c r="J15" s="53"/>
    </row>
    <row r="16" spans="2:10" ht="15.6" x14ac:dyDescent="0.3">
      <c r="C16" s="43"/>
      <c r="D16" s="44" t="s">
        <v>48</v>
      </c>
      <c r="E16" s="45" t="s">
        <v>47</v>
      </c>
      <c r="F16" s="46"/>
      <c r="G16" s="47" t="s">
        <v>5</v>
      </c>
      <c r="H16" s="48"/>
      <c r="I16" s="53"/>
      <c r="J16" s="53"/>
    </row>
    <row r="17" spans="3:10" ht="15.6" x14ac:dyDescent="0.3">
      <c r="C17" s="87"/>
      <c r="D17" s="46"/>
      <c r="E17" s="46"/>
      <c r="F17" s="46"/>
      <c r="G17" s="46"/>
      <c r="H17" s="88"/>
      <c r="I17" s="53"/>
      <c r="J17" s="53"/>
    </row>
    <row r="18" spans="3:10" ht="15.6" x14ac:dyDescent="0.3">
      <c r="C18" s="76"/>
      <c r="D18" s="44" t="s">
        <v>49</v>
      </c>
      <c r="E18" s="45">
        <v>20</v>
      </c>
      <c r="F18" s="77"/>
      <c r="G18" s="77"/>
      <c r="H18" s="78"/>
      <c r="I18" s="53"/>
      <c r="J18" s="53"/>
    </row>
    <row r="19" spans="3:10" ht="15.6" x14ac:dyDescent="0.3">
      <c r="C19" s="76"/>
      <c r="D19" s="79"/>
      <c r="E19" s="80"/>
      <c r="F19" s="77"/>
      <c r="G19" s="81"/>
      <c r="H19" s="78"/>
      <c r="I19" s="53"/>
      <c r="J19" s="53"/>
    </row>
    <row r="20" spans="3:10" ht="9" customHeight="1" x14ac:dyDescent="0.3">
      <c r="C20" s="76"/>
      <c r="D20" s="77"/>
      <c r="E20" s="77"/>
      <c r="F20" s="77"/>
      <c r="G20" s="77"/>
      <c r="H20" s="78"/>
      <c r="I20" s="53"/>
      <c r="J20" s="53"/>
    </row>
    <row r="21" spans="3:10" ht="15.6" x14ac:dyDescent="0.3">
      <c r="C21" s="82"/>
      <c r="D21" s="79"/>
      <c r="E21" s="80"/>
      <c r="F21" s="53"/>
      <c r="G21" s="53"/>
      <c r="H21" s="83"/>
      <c r="I21" s="53"/>
      <c r="J21" s="53"/>
    </row>
    <row r="22" spans="3:10" x14ac:dyDescent="0.3">
      <c r="C22" s="82"/>
      <c r="D22" s="53"/>
      <c r="E22" s="53"/>
      <c r="F22" s="53"/>
      <c r="G22" s="53"/>
      <c r="H22" s="83"/>
      <c r="I22" s="53"/>
      <c r="J22" s="53"/>
    </row>
    <row r="23" spans="3:10" x14ac:dyDescent="0.3">
      <c r="C23" s="82"/>
      <c r="D23" s="53"/>
      <c r="E23" s="53"/>
      <c r="F23" s="53"/>
      <c r="G23" s="53"/>
      <c r="H23" s="83"/>
      <c r="I23" s="53"/>
      <c r="J23" s="53"/>
    </row>
    <row r="24" spans="3:10" x14ac:dyDescent="0.3">
      <c r="C24" s="84"/>
      <c r="D24" s="85"/>
      <c r="E24" s="85"/>
      <c r="F24" s="85"/>
      <c r="G24" s="85"/>
      <c r="H24" s="86"/>
      <c r="I24" s="53"/>
      <c r="J24" s="53"/>
    </row>
    <row r="25" spans="3:10" x14ac:dyDescent="0.3">
      <c r="C25" s="53"/>
      <c r="D25" s="53"/>
      <c r="E25" s="53"/>
      <c r="F25" s="53"/>
      <c r="G25" s="53"/>
      <c r="H25" s="53"/>
      <c r="I25" s="53"/>
      <c r="J25" s="53"/>
    </row>
    <row r="26" spans="3:10" x14ac:dyDescent="0.3">
      <c r="C26" s="53"/>
      <c r="D26" s="53"/>
      <c r="E26" s="53"/>
      <c r="F26" s="53"/>
      <c r="G26" s="53"/>
      <c r="H26" s="53"/>
      <c r="I26" s="53"/>
      <c r="J26" s="53"/>
    </row>
    <row r="27" spans="3:10" x14ac:dyDescent="0.3">
      <c r="C27" s="53"/>
      <c r="D27" s="53"/>
      <c r="E27" s="53"/>
      <c r="F27" s="53"/>
      <c r="G27" s="53"/>
      <c r="H27" s="53"/>
      <c r="I27" s="53"/>
      <c r="J27" s="53"/>
    </row>
  </sheetData>
  <mergeCells count="3">
    <mergeCell ref="C2:E2"/>
    <mergeCell ref="C7:H7"/>
    <mergeCell ref="C12:H12"/>
  </mergeCells>
  <conditionalFormatting sqref="E18">
    <cfRule type="expression" dxfId="61" priority="1">
      <formula>shift_late_income_status="Неактивний"</formula>
    </cfRule>
  </conditionalFormatting>
  <dataValidations count="1">
    <dataValidation type="list" allowBlank="1" showInputMessage="1" showErrorMessage="1" sqref="E19 E16" xr:uid="{E2DA1291-88A1-40A4-8466-F085BA98822F}">
      <formula1>"Активний, Неактивний"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77A0-8A83-4950-AC42-94E4A2472B6F}">
  <dimension ref="B1:BG51"/>
  <sheetViews>
    <sheetView showGridLines="0" topLeftCell="A10" workbookViewId="0">
      <selection activeCell="I21" sqref="I21"/>
    </sheetView>
  </sheetViews>
  <sheetFormatPr defaultRowHeight="14.4" outlineLevelCol="1" x14ac:dyDescent="0.3"/>
  <cols>
    <col min="2" max="2" width="9.33203125" hidden="1" customWidth="1"/>
    <col min="3" max="3" width="45.33203125" customWidth="1"/>
    <col min="4" max="4" width="1.88671875" customWidth="1"/>
    <col min="5" max="6" width="10" customWidth="1" outlineLevel="1"/>
    <col min="7" max="7" width="11.88671875" customWidth="1" outlineLevel="1"/>
    <col min="8" max="8" width="10.33203125" customWidth="1" outlineLevel="1"/>
    <col min="9" max="9" width="10.5546875" customWidth="1" outlineLevel="1"/>
    <col min="10" max="10" width="11" customWidth="1" outlineLevel="1"/>
    <col min="11" max="11" width="10" customWidth="1" outlineLevel="1"/>
    <col min="12" max="12" width="11" customWidth="1" outlineLevel="1"/>
    <col min="13" max="13" width="11.88671875" customWidth="1" outlineLevel="1"/>
    <col min="14" max="14" width="11.109375" customWidth="1" outlineLevel="1"/>
    <col min="15" max="15" width="11.88671875" customWidth="1" outlineLevel="1"/>
    <col min="16" max="16" width="10.6640625" customWidth="1" outlineLevel="1"/>
    <col min="17" max="17" width="10.44140625" customWidth="1"/>
    <col min="18" max="18" width="1.5546875" customWidth="1"/>
    <col min="19" max="20" width="10" hidden="1" customWidth="1" outlineLevel="1"/>
    <col min="21" max="21" width="11.88671875" hidden="1" customWidth="1" outlineLevel="1"/>
    <col min="22" max="22" width="10.33203125" hidden="1" customWidth="1" outlineLevel="1"/>
    <col min="23" max="23" width="10.5546875" hidden="1" customWidth="1" outlineLevel="1"/>
    <col min="24" max="24" width="11" hidden="1" customWidth="1" outlineLevel="1"/>
    <col min="25" max="25" width="10" hidden="1" customWidth="1" outlineLevel="1"/>
    <col min="26" max="26" width="11" hidden="1" customWidth="1" outlineLevel="1"/>
    <col min="27" max="27" width="11.88671875" hidden="1" customWidth="1" outlineLevel="1"/>
    <col min="28" max="28" width="11.109375" hidden="1" customWidth="1" outlineLevel="1"/>
    <col min="29" max="29" width="11.88671875" hidden="1" customWidth="1" outlineLevel="1"/>
    <col min="30" max="30" width="8.109375" hidden="1" customWidth="1" outlineLevel="1"/>
    <col min="31" max="31" width="10.44140625" customWidth="1" collapsed="1"/>
    <col min="32" max="32" width="1.5546875" customWidth="1"/>
    <col min="33" max="34" width="10" hidden="1" customWidth="1" outlineLevel="1"/>
    <col min="35" max="35" width="11.88671875" hidden="1" customWidth="1" outlineLevel="1"/>
    <col min="36" max="36" width="10.33203125" hidden="1" customWidth="1" outlineLevel="1"/>
    <col min="37" max="37" width="10.5546875" hidden="1" customWidth="1" outlineLevel="1"/>
    <col min="38" max="38" width="11" hidden="1" customWidth="1" outlineLevel="1"/>
    <col min="39" max="39" width="10" hidden="1" customWidth="1" outlineLevel="1"/>
    <col min="40" max="40" width="11" hidden="1" customWidth="1" outlineLevel="1"/>
    <col min="41" max="41" width="11.88671875" hidden="1" customWidth="1" outlineLevel="1"/>
    <col min="42" max="42" width="11.109375" hidden="1" customWidth="1" outlineLevel="1"/>
    <col min="43" max="43" width="11.88671875" hidden="1" customWidth="1" outlineLevel="1"/>
    <col min="44" max="44" width="10.6640625" hidden="1" customWidth="1" outlineLevel="1"/>
    <col min="45" max="45" width="10.44140625" customWidth="1" collapsed="1"/>
    <col min="46" max="46" width="1.5546875" customWidth="1"/>
    <col min="47" max="48" width="10" hidden="1" customWidth="1" outlineLevel="1"/>
    <col min="49" max="49" width="11.88671875" hidden="1" customWidth="1" outlineLevel="1"/>
    <col min="50" max="50" width="10.33203125" hidden="1" customWidth="1" outlineLevel="1"/>
    <col min="51" max="51" width="10.5546875" hidden="1" customWidth="1" outlineLevel="1"/>
    <col min="52" max="52" width="11" hidden="1" customWidth="1" outlineLevel="1"/>
    <col min="53" max="53" width="10" hidden="1" customWidth="1" outlineLevel="1"/>
    <col min="54" max="54" width="11" hidden="1" customWidth="1" outlineLevel="1"/>
    <col min="55" max="55" width="11.88671875" hidden="1" customWidth="1" outlineLevel="1"/>
    <col min="56" max="56" width="11.109375" hidden="1" customWidth="1" outlineLevel="1"/>
    <col min="57" max="57" width="11.88671875" hidden="1" customWidth="1" outlineLevel="1"/>
    <col min="58" max="58" width="10.6640625" hidden="1" customWidth="1" outlineLevel="1"/>
    <col min="59" max="59" width="10.44140625" customWidth="1" collapsed="1"/>
    <col min="60" max="60" width="1.5546875" customWidth="1"/>
  </cols>
  <sheetData>
    <row r="1" spans="2:59" s="1" customFormat="1" x14ac:dyDescent="0.3"/>
    <row r="2" spans="2:59" s="1" customFormat="1" ht="31.2" x14ac:dyDescent="0.6">
      <c r="B2" s="2"/>
      <c r="C2" s="2" t="s">
        <v>1</v>
      </c>
    </row>
    <row r="3" spans="2:59" s="1" customFormat="1" x14ac:dyDescent="0.3"/>
    <row r="5" spans="2:59" ht="21" x14ac:dyDescent="0.4">
      <c r="C5" s="5" t="s">
        <v>2</v>
      </c>
      <c r="E5" s="150">
        <f>starting_year</f>
        <v>2024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S5" s="150">
        <f>E5+1</f>
        <v>2025</v>
      </c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G5" s="150">
        <f t="shared" ref="AG5" si="0">S5+1</f>
        <v>2026</v>
      </c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U5" s="150">
        <f t="shared" ref="AU5" si="1">AG5+1</f>
        <v>2027</v>
      </c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</row>
    <row r="6" spans="2:59" x14ac:dyDescent="0.3">
      <c r="E6" s="28" t="str">
        <f ca="1">IF(E7=0,"Січень ✓","Січень")</f>
        <v>Січень ✓</v>
      </c>
      <c r="F6" s="28" t="str">
        <f ca="1">IF(F7=0,"Лютий ✓","Лютий")</f>
        <v>Лютий ✓</v>
      </c>
      <c r="G6" s="28" t="str">
        <f ca="1">IF(G7=0,"Березень ✓","Березень")</f>
        <v>Березень ✓</v>
      </c>
      <c r="H6" s="28" t="str">
        <f ca="1">IF(H7=0,"Квітень ✓","Квітень")</f>
        <v>Квітень ✓</v>
      </c>
      <c r="I6" s="28" t="str">
        <f ca="1">IF(I7=0,"Травень ✓","Травень")</f>
        <v>Травень ✓</v>
      </c>
      <c r="J6" s="28" t="str">
        <f ca="1">IF(J7=0,"Червень ✓","Червень")</f>
        <v>Червень ✓</v>
      </c>
      <c r="K6" s="28" t="str">
        <f ca="1">IF(K7=0,"Липень ✓","Липень")</f>
        <v>Липень ✓</v>
      </c>
      <c r="L6" s="28" t="str">
        <f ca="1">IF(L7=0,"Серпень ✓","Серпень")</f>
        <v>Серпень ✓</v>
      </c>
      <c r="M6" s="28" t="str">
        <f ca="1">IF(M7=0,"Вересень ✓","Вересень")</f>
        <v>Вересень ✓</v>
      </c>
      <c r="N6" s="28" t="str">
        <f ca="1">IF(N7=0,"Жовтень ✓","Жовтень")</f>
        <v>Жовтень ✓</v>
      </c>
      <c r="O6" s="28" t="str">
        <f ca="1">IF(O7=0,"Листопад ✓","Листопад")</f>
        <v>Листопад ✓</v>
      </c>
      <c r="P6" s="28" t="str">
        <f ca="1">IF(P7=0,"Грудень ✓","Грудень")</f>
        <v>Грудень ✓</v>
      </c>
      <c r="Q6" s="28" t="str">
        <f ca="1">IF(Q7=0,"Всього ✓","Всього")</f>
        <v>Всього ✓</v>
      </c>
      <c r="S6" s="28" t="str">
        <f ca="1">IF(S7=0,"Січень ✓","Січень")</f>
        <v>Січень ✓</v>
      </c>
      <c r="T6" s="28" t="str">
        <f ca="1">IF(T7=0,"Лютий ✓","Лютий")</f>
        <v>Лютий ✓</v>
      </c>
      <c r="U6" s="28" t="str">
        <f ca="1">IF(U7=0,"Березень ✓","Березень")</f>
        <v>Березень ✓</v>
      </c>
      <c r="V6" s="28" t="str">
        <f ca="1">IF(V7=0,"Квітень ✓","Квітень")</f>
        <v>Квітень ✓</v>
      </c>
      <c r="W6" s="28" t="str">
        <f ca="1">IF(W7=0,"Травень ✓","Травень")</f>
        <v>Травень ✓</v>
      </c>
      <c r="X6" s="28" t="str">
        <f ca="1">IF(X7=0,"Червень ✓","Червень")</f>
        <v>Червень ✓</v>
      </c>
      <c r="Y6" s="28" t="str">
        <f ca="1">IF(Y7=0,"Липень ✓","Липень")</f>
        <v>Липень ✓</v>
      </c>
      <c r="Z6" s="28" t="str">
        <f ca="1">IF(Z7=0,"Серпень ✓","Серпень")</f>
        <v>Серпень ✓</v>
      </c>
      <c r="AA6" s="28" t="str">
        <f ca="1">IF(AA7=0,"Вересень ✓","Вересень")</f>
        <v>Вересень ✓</v>
      </c>
      <c r="AB6" s="28" t="str">
        <f ca="1">IF(AB7=0,"Жовтень ✓","Жовтень")</f>
        <v>Жовтень ✓</v>
      </c>
      <c r="AC6" s="28" t="str">
        <f ca="1">IF(AC7=0,"Листопад ✓","Листопад")</f>
        <v>Листопад ✓</v>
      </c>
      <c r="AD6" s="28" t="str">
        <f ca="1">IF(AD7=0,"Грудень ✓","Грудень")</f>
        <v>Грудень ✓</v>
      </c>
      <c r="AE6" s="28" t="str">
        <f ca="1">IF(AE7=0,"Всього ✓","Всього")</f>
        <v>Всього ✓</v>
      </c>
      <c r="AG6" s="28" t="str">
        <f t="shared" ref="AG6" ca="1" si="2">IF(AG7=0,"Січень ✓","Січень")</f>
        <v>Січень ✓</v>
      </c>
      <c r="AH6" s="28" t="str">
        <f t="shared" ref="AH6" ca="1" si="3">IF(AH7=0,"Лютий ✓","Лютий")</f>
        <v>Лютий ✓</v>
      </c>
      <c r="AI6" s="28" t="str">
        <f t="shared" ref="AI6" ca="1" si="4">IF(AI7=0,"Березень ✓","Березень")</f>
        <v>Березень ✓</v>
      </c>
      <c r="AJ6" s="28" t="str">
        <f t="shared" ref="AJ6" ca="1" si="5">IF(AJ7=0,"Квітень ✓","Квітень")</f>
        <v>Квітень ✓</v>
      </c>
      <c r="AK6" s="28" t="str">
        <f t="shared" ref="AK6" ca="1" si="6">IF(AK7=0,"Травень ✓","Травень")</f>
        <v>Травень ✓</v>
      </c>
      <c r="AL6" s="28" t="str">
        <f t="shared" ref="AL6" ca="1" si="7">IF(AL7=0,"Червень ✓","Червень")</f>
        <v>Червень ✓</v>
      </c>
      <c r="AM6" s="28" t="str">
        <f t="shared" ref="AM6" ca="1" si="8">IF(AM7=0,"Липень ✓","Липень")</f>
        <v>Липень ✓</v>
      </c>
      <c r="AN6" s="28" t="str">
        <f t="shared" ref="AN6" ca="1" si="9">IF(AN7=0,"Серпень ✓","Серпень")</f>
        <v>Серпень ✓</v>
      </c>
      <c r="AO6" s="28" t="str">
        <f t="shared" ref="AO6" ca="1" si="10">IF(AO7=0,"Вересень ✓","Вересень")</f>
        <v>Вересень ✓</v>
      </c>
      <c r="AP6" s="28" t="str">
        <f t="shared" ref="AP6" ca="1" si="11">IF(AP7=0,"Жовтень ✓","Жовтень")</f>
        <v>Жовтень ✓</v>
      </c>
      <c r="AQ6" s="28" t="str">
        <f t="shared" ref="AQ6" ca="1" si="12">IF(AQ7=0,"Листопад ✓","Листопад")</f>
        <v>Листопад ✓</v>
      </c>
      <c r="AR6" s="28" t="str">
        <f t="shared" ref="AR6" ca="1" si="13">IF(AR7=0,"Грудень ✓","Грудень")</f>
        <v>Грудень ✓</v>
      </c>
      <c r="AS6" s="28" t="str">
        <f t="shared" ref="AS6" ca="1" si="14">IF(AS7=0,"Всього ✓","Всього")</f>
        <v>Всього ✓</v>
      </c>
      <c r="AU6" s="28" t="str">
        <f t="shared" ref="AU6" ca="1" si="15">IF(AU7=0,"Січень ✓","Січень")</f>
        <v>Січень ✓</v>
      </c>
      <c r="AV6" s="28" t="str">
        <f t="shared" ref="AV6" ca="1" si="16">IF(AV7=0,"Лютий ✓","Лютий")</f>
        <v>Лютий ✓</v>
      </c>
      <c r="AW6" s="28" t="str">
        <f t="shared" ref="AW6" ca="1" si="17">IF(AW7=0,"Березень ✓","Березень")</f>
        <v>Березень ✓</v>
      </c>
      <c r="AX6" s="28" t="str">
        <f t="shared" ref="AX6" ca="1" si="18">IF(AX7=0,"Квітень ✓","Квітень")</f>
        <v>Квітень ✓</v>
      </c>
      <c r="AY6" s="28" t="str">
        <f t="shared" ref="AY6" ca="1" si="19">IF(AY7=0,"Травень ✓","Травень")</f>
        <v>Травень ✓</v>
      </c>
      <c r="AZ6" s="28" t="str">
        <f t="shared" ref="AZ6" ca="1" si="20">IF(AZ7=0,"Червень ✓","Червень")</f>
        <v>Червень ✓</v>
      </c>
      <c r="BA6" s="28" t="str">
        <f t="shared" ref="BA6" ca="1" si="21">IF(BA7=0,"Липень ✓","Липень")</f>
        <v>Липень ✓</v>
      </c>
      <c r="BB6" s="28" t="str">
        <f t="shared" ref="BB6" ca="1" si="22">IF(BB7=0,"Серпень ✓","Серпень")</f>
        <v>Серпень ✓</v>
      </c>
      <c r="BC6" s="28" t="str">
        <f t="shared" ref="BC6" ca="1" si="23">IF(BC7=0,"Вересень ✓","Вересень")</f>
        <v>Вересень ✓</v>
      </c>
      <c r="BD6" s="28" t="str">
        <f t="shared" ref="BD6" ca="1" si="24">IF(BD7=0,"Жовтень ✓","Жовтень")</f>
        <v>Жовтень ✓</v>
      </c>
      <c r="BE6" s="28" t="str">
        <f t="shared" ref="BE6" ca="1" si="25">IF(BE7=0,"Листопад ✓","Листопад")</f>
        <v>Листопад ✓</v>
      </c>
      <c r="BF6" s="28" t="str">
        <f t="shared" ref="BF6" ca="1" si="26">IF(BF7=0,"Грудень ✓","Грудень")</f>
        <v>Грудень ✓</v>
      </c>
      <c r="BG6" s="28" t="str">
        <f t="shared" ref="BG6" ca="1" si="27">IF(BG7=0,"Всього ✓","Всього")</f>
        <v>Всього ✓</v>
      </c>
    </row>
    <row r="7" spans="2:59" ht="15.6" x14ac:dyDescent="0.3">
      <c r="C7" s="7" t="s">
        <v>12</v>
      </c>
      <c r="E7" s="97">
        <f ca="1">E21-(E36+E51)</f>
        <v>0</v>
      </c>
      <c r="F7" s="98">
        <f t="shared" ref="F7:Q7" ca="1" si="28">F21-(F36+F51)</f>
        <v>0</v>
      </c>
      <c r="G7" s="98">
        <f t="shared" ca="1" si="28"/>
        <v>0</v>
      </c>
      <c r="H7" s="98">
        <f t="shared" ca="1" si="28"/>
        <v>0</v>
      </c>
      <c r="I7" s="98">
        <f t="shared" ca="1" si="28"/>
        <v>0</v>
      </c>
      <c r="J7" s="98">
        <f t="shared" ca="1" si="28"/>
        <v>0</v>
      </c>
      <c r="K7" s="98">
        <f t="shared" ca="1" si="28"/>
        <v>0</v>
      </c>
      <c r="L7" s="98">
        <f t="shared" ca="1" si="28"/>
        <v>0</v>
      </c>
      <c r="M7" s="98">
        <f t="shared" ca="1" si="28"/>
        <v>0</v>
      </c>
      <c r="N7" s="98">
        <f t="shared" ca="1" si="28"/>
        <v>0</v>
      </c>
      <c r="O7" s="98">
        <f t="shared" ca="1" si="28"/>
        <v>0</v>
      </c>
      <c r="P7" s="98">
        <f t="shared" ca="1" si="28"/>
        <v>0</v>
      </c>
      <c r="Q7" s="99">
        <f t="shared" ca="1" si="28"/>
        <v>0</v>
      </c>
      <c r="S7" s="29">
        <f ca="1">S21-(S36+S51)</f>
        <v>0</v>
      </c>
      <c r="T7" s="26">
        <f t="shared" ref="T7:AE7" ca="1" si="29">T21-(T36+T51)</f>
        <v>0</v>
      </c>
      <c r="U7" s="26">
        <f t="shared" ca="1" si="29"/>
        <v>0</v>
      </c>
      <c r="V7" s="26">
        <f t="shared" ca="1" si="29"/>
        <v>0</v>
      </c>
      <c r="W7" s="26">
        <f t="shared" ca="1" si="29"/>
        <v>0</v>
      </c>
      <c r="X7" s="26">
        <f t="shared" ca="1" si="29"/>
        <v>0</v>
      </c>
      <c r="Y7" s="26">
        <f t="shared" ca="1" si="29"/>
        <v>0</v>
      </c>
      <c r="Z7" s="26">
        <f t="shared" ca="1" si="29"/>
        <v>0</v>
      </c>
      <c r="AA7" s="26">
        <f t="shared" ca="1" si="29"/>
        <v>0</v>
      </c>
      <c r="AB7" s="26">
        <f t="shared" ca="1" si="29"/>
        <v>0</v>
      </c>
      <c r="AC7" s="26">
        <f t="shared" ca="1" si="29"/>
        <v>0</v>
      </c>
      <c r="AD7" s="26">
        <f t="shared" ca="1" si="29"/>
        <v>0</v>
      </c>
      <c r="AE7" s="30">
        <f t="shared" ca="1" si="29"/>
        <v>0</v>
      </c>
      <c r="AG7" s="29">
        <f t="shared" ref="AG7:AS7" ca="1" si="30">AG21-(AG36+AG51)</f>
        <v>0</v>
      </c>
      <c r="AH7" s="26">
        <f t="shared" ca="1" si="30"/>
        <v>0</v>
      </c>
      <c r="AI7" s="26">
        <f t="shared" ca="1" si="30"/>
        <v>0</v>
      </c>
      <c r="AJ7" s="26">
        <f t="shared" ca="1" si="30"/>
        <v>0</v>
      </c>
      <c r="AK7" s="26">
        <f t="shared" ca="1" si="30"/>
        <v>0</v>
      </c>
      <c r="AL7" s="26">
        <f t="shared" ca="1" si="30"/>
        <v>0</v>
      </c>
      <c r="AM7" s="26">
        <f t="shared" ca="1" si="30"/>
        <v>0</v>
      </c>
      <c r="AN7" s="26">
        <f t="shared" ca="1" si="30"/>
        <v>0</v>
      </c>
      <c r="AO7" s="26">
        <f t="shared" ca="1" si="30"/>
        <v>0</v>
      </c>
      <c r="AP7" s="26">
        <f t="shared" ca="1" si="30"/>
        <v>0</v>
      </c>
      <c r="AQ7" s="26">
        <f t="shared" ca="1" si="30"/>
        <v>0</v>
      </c>
      <c r="AR7" s="26">
        <f t="shared" ca="1" si="30"/>
        <v>0</v>
      </c>
      <c r="AS7" s="30">
        <f t="shared" ca="1" si="30"/>
        <v>0</v>
      </c>
      <c r="AU7" s="29">
        <f t="shared" ref="AU7:BG7" ca="1" si="31">AU21-(AU36+AU51)</f>
        <v>0</v>
      </c>
      <c r="AV7" s="26">
        <f t="shared" ca="1" si="31"/>
        <v>0</v>
      </c>
      <c r="AW7" s="26">
        <f t="shared" ca="1" si="31"/>
        <v>0</v>
      </c>
      <c r="AX7" s="26">
        <f t="shared" ca="1" si="31"/>
        <v>0</v>
      </c>
      <c r="AY7" s="26">
        <f t="shared" ca="1" si="31"/>
        <v>0</v>
      </c>
      <c r="AZ7" s="26">
        <f t="shared" ca="1" si="31"/>
        <v>0</v>
      </c>
      <c r="BA7" s="26">
        <f t="shared" ca="1" si="31"/>
        <v>0</v>
      </c>
      <c r="BB7" s="26">
        <f t="shared" ca="1" si="31"/>
        <v>0</v>
      </c>
      <c r="BC7" s="26">
        <f t="shared" ca="1" si="31"/>
        <v>0</v>
      </c>
      <c r="BD7" s="26">
        <f t="shared" ca="1" si="31"/>
        <v>0</v>
      </c>
      <c r="BE7" s="26">
        <f t="shared" ca="1" si="31"/>
        <v>0</v>
      </c>
      <c r="BF7" s="26">
        <f t="shared" ca="1" si="31"/>
        <v>0</v>
      </c>
      <c r="BG7" s="30">
        <f t="shared" ca="1" si="31"/>
        <v>0</v>
      </c>
    </row>
    <row r="9" spans="2:59" ht="15.6" x14ac:dyDescent="0.3">
      <c r="C9" s="8" t="s">
        <v>17</v>
      </c>
      <c r="E9" s="16">
        <f>DATE(E$5,1,1)</f>
        <v>45292</v>
      </c>
      <c r="F9" s="16">
        <f>DATE(E$5,2,1)</f>
        <v>45323</v>
      </c>
      <c r="G9" s="16">
        <f>DATE(E$5,3,1)</f>
        <v>45352</v>
      </c>
      <c r="H9" s="16">
        <f>DATE(E$5,4,1)</f>
        <v>45383</v>
      </c>
      <c r="I9" s="16">
        <f>DATE(E$5,5,1)</f>
        <v>45413</v>
      </c>
      <c r="J9" s="16">
        <f>DATE(E$5,6,1)</f>
        <v>45444</v>
      </c>
      <c r="K9" s="16">
        <f>DATE(E$5,7,1)</f>
        <v>45474</v>
      </c>
      <c r="L9" s="16">
        <f>DATE(E$5,8,1)</f>
        <v>45505</v>
      </c>
      <c r="M9" s="16">
        <f>DATE(E$5,9,1)</f>
        <v>45536</v>
      </c>
      <c r="N9" s="16">
        <f>DATE(E$5,10,1)</f>
        <v>45566</v>
      </c>
      <c r="O9" s="16">
        <f>DATE(E$5,11,1)</f>
        <v>45597</v>
      </c>
      <c r="P9" s="16">
        <f>DATE(E$5,12,1)</f>
        <v>45627</v>
      </c>
      <c r="Q9" s="17">
        <f>E5</f>
        <v>2024</v>
      </c>
      <c r="S9" s="16">
        <f>DATE(S$5,1,1)</f>
        <v>45658</v>
      </c>
      <c r="T9" s="16">
        <f>DATE(S$5,2,1)</f>
        <v>45689</v>
      </c>
      <c r="U9" s="16">
        <f>DATE(S$5,3,1)</f>
        <v>45717</v>
      </c>
      <c r="V9" s="16">
        <f>DATE(S$5,4,1)</f>
        <v>45748</v>
      </c>
      <c r="W9" s="16">
        <f>DATE(S$5,5,1)</f>
        <v>45778</v>
      </c>
      <c r="X9" s="16">
        <f>DATE(S$5,6,1)</f>
        <v>45809</v>
      </c>
      <c r="Y9" s="16">
        <f>DATE(S$5,7,1)</f>
        <v>45839</v>
      </c>
      <c r="Z9" s="16">
        <f>DATE(S$5,8,1)</f>
        <v>45870</v>
      </c>
      <c r="AA9" s="16">
        <f>DATE(S$5,9,1)</f>
        <v>45901</v>
      </c>
      <c r="AB9" s="16">
        <f>DATE(S$5,10,1)</f>
        <v>45931</v>
      </c>
      <c r="AC9" s="16">
        <f>DATE(S$5,11,1)</f>
        <v>45962</v>
      </c>
      <c r="AD9" s="16">
        <f>DATE(S$5,12,1)</f>
        <v>45992</v>
      </c>
      <c r="AE9" s="17">
        <f>S5</f>
        <v>2025</v>
      </c>
      <c r="AG9" s="16">
        <f t="shared" ref="AG9" si="32">DATE(AG$5,1,1)</f>
        <v>46023</v>
      </c>
      <c r="AH9" s="16">
        <f t="shared" ref="AH9" si="33">DATE(AG$5,2,1)</f>
        <v>46054</v>
      </c>
      <c r="AI9" s="16">
        <f t="shared" ref="AI9" si="34">DATE(AG$5,3,1)</f>
        <v>46082</v>
      </c>
      <c r="AJ9" s="16">
        <f t="shared" ref="AJ9" si="35">DATE(AG$5,4,1)</f>
        <v>46113</v>
      </c>
      <c r="AK9" s="16">
        <f t="shared" ref="AK9" si="36">DATE(AG$5,5,1)</f>
        <v>46143</v>
      </c>
      <c r="AL9" s="16">
        <f t="shared" ref="AL9" si="37">DATE(AG$5,6,1)</f>
        <v>46174</v>
      </c>
      <c r="AM9" s="16">
        <f t="shared" ref="AM9" si="38">DATE(AG$5,7,1)</f>
        <v>46204</v>
      </c>
      <c r="AN9" s="16">
        <f t="shared" ref="AN9" si="39">DATE(AG$5,8,1)</f>
        <v>46235</v>
      </c>
      <c r="AO9" s="16">
        <f t="shared" ref="AO9" si="40">DATE(AG$5,9,1)</f>
        <v>46266</v>
      </c>
      <c r="AP9" s="16">
        <f t="shared" ref="AP9" si="41">DATE(AG$5,10,1)</f>
        <v>46296</v>
      </c>
      <c r="AQ9" s="16">
        <f t="shared" ref="AQ9" si="42">DATE(AG$5,11,1)</f>
        <v>46327</v>
      </c>
      <c r="AR9" s="16">
        <f t="shared" ref="AR9" si="43">DATE(AG$5,12,1)</f>
        <v>46357</v>
      </c>
      <c r="AS9" s="17">
        <f t="shared" ref="AS9" si="44">AG5</f>
        <v>2026</v>
      </c>
      <c r="AU9" s="16">
        <f t="shared" ref="AU9" si="45">DATE(AU$5,1,1)</f>
        <v>46388</v>
      </c>
      <c r="AV9" s="16">
        <f t="shared" ref="AV9" si="46">DATE(AU$5,2,1)</f>
        <v>46419</v>
      </c>
      <c r="AW9" s="16">
        <f t="shared" ref="AW9" si="47">DATE(AU$5,3,1)</f>
        <v>46447</v>
      </c>
      <c r="AX9" s="16">
        <f t="shared" ref="AX9" si="48">DATE(AU$5,4,1)</f>
        <v>46478</v>
      </c>
      <c r="AY9" s="16">
        <f t="shared" ref="AY9" si="49">DATE(AU$5,5,1)</f>
        <v>46508</v>
      </c>
      <c r="AZ9" s="16">
        <f t="shared" ref="AZ9" si="50">DATE(AU$5,6,1)</f>
        <v>46539</v>
      </c>
      <c r="BA9" s="16">
        <f t="shared" ref="BA9" si="51">DATE(AU$5,7,1)</f>
        <v>46569</v>
      </c>
      <c r="BB9" s="16">
        <f t="shared" ref="BB9" si="52">DATE(AU$5,8,1)</f>
        <v>46600</v>
      </c>
      <c r="BC9" s="16">
        <f t="shared" ref="BC9" si="53">DATE(AU$5,9,1)</f>
        <v>46631</v>
      </c>
      <c r="BD9" s="16">
        <f t="shared" ref="BD9" si="54">DATE(AU$5,10,1)</f>
        <v>46661</v>
      </c>
      <c r="BE9" s="16">
        <f t="shared" ref="BE9" si="55">DATE(AU$5,11,1)</f>
        <v>46692</v>
      </c>
      <c r="BF9" s="16">
        <f t="shared" ref="BF9" si="56">DATE(AU$5,12,1)</f>
        <v>46722</v>
      </c>
      <c r="BG9" s="17">
        <f t="shared" ref="BG9" si="57">AU5</f>
        <v>2027</v>
      </c>
    </row>
    <row r="10" spans="2:59" ht="15.6" x14ac:dyDescent="0.3">
      <c r="C10" s="9" t="s">
        <v>65</v>
      </c>
      <c r="E10" s="92">
        <v>3500</v>
      </c>
      <c r="F10" s="92">
        <v>3500</v>
      </c>
      <c r="G10" s="92">
        <v>3500</v>
      </c>
      <c r="H10" s="92">
        <v>4500</v>
      </c>
      <c r="I10" s="92">
        <v>4500</v>
      </c>
      <c r="J10" s="92">
        <v>4500</v>
      </c>
      <c r="K10" s="92">
        <v>4500</v>
      </c>
      <c r="L10" s="92">
        <v>4500</v>
      </c>
      <c r="M10" s="92">
        <v>4500</v>
      </c>
      <c r="N10" s="92">
        <v>4500</v>
      </c>
      <c r="O10" s="92">
        <v>4500</v>
      </c>
      <c r="P10" s="92">
        <v>4500</v>
      </c>
      <c r="Q10" s="93">
        <f>SUM(E10:P10)</f>
        <v>51000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1">
        <f>SUM(S10:AD10)</f>
        <v>0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1">
        <f t="shared" ref="AS10:AS20" si="58">SUM(AG10:AR10)</f>
        <v>0</v>
      </c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1">
        <f t="shared" ref="BG10:BG20" si="59">SUM(AU10:BF10)</f>
        <v>0</v>
      </c>
    </row>
    <row r="11" spans="2:59" ht="15" customHeight="1" x14ac:dyDescent="0.3">
      <c r="C11" s="9" t="s">
        <v>66</v>
      </c>
      <c r="E11" s="92">
        <v>1000</v>
      </c>
      <c r="F11" s="92">
        <v>1000</v>
      </c>
      <c r="G11" s="92">
        <v>1000</v>
      </c>
      <c r="H11" s="92">
        <v>1000</v>
      </c>
      <c r="I11" s="92">
        <v>1000</v>
      </c>
      <c r="J11" s="92">
        <v>1000</v>
      </c>
      <c r="K11" s="92">
        <v>1000</v>
      </c>
      <c r="L11" s="92">
        <v>1000</v>
      </c>
      <c r="M11" s="92">
        <v>1000</v>
      </c>
      <c r="N11" s="92">
        <v>1000</v>
      </c>
      <c r="O11" s="92">
        <v>1000</v>
      </c>
      <c r="P11" s="92">
        <v>1000</v>
      </c>
      <c r="Q11" s="93">
        <f t="shared" ref="Q11:Q20" si="60">SUM(E11:P11)</f>
        <v>12000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1">
        <f t="shared" ref="AE11:AE20" si="61">SUM(S11:AD11)</f>
        <v>0</v>
      </c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1">
        <f t="shared" si="58"/>
        <v>0</v>
      </c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1">
        <f t="shared" si="59"/>
        <v>0</v>
      </c>
    </row>
    <row r="12" spans="2:59" ht="15.6" x14ac:dyDescent="0.3">
      <c r="C12" s="9" t="s">
        <v>67</v>
      </c>
      <c r="E12" s="92">
        <v>150</v>
      </c>
      <c r="F12" s="92">
        <v>50</v>
      </c>
      <c r="G12" s="92">
        <v>100</v>
      </c>
      <c r="H12" s="92">
        <v>150</v>
      </c>
      <c r="I12" s="92">
        <v>50</v>
      </c>
      <c r="J12" s="92">
        <v>100</v>
      </c>
      <c r="K12" s="92">
        <v>150</v>
      </c>
      <c r="L12" s="92">
        <v>50</v>
      </c>
      <c r="M12" s="92">
        <v>100</v>
      </c>
      <c r="N12" s="92">
        <v>150</v>
      </c>
      <c r="O12" s="92">
        <v>50</v>
      </c>
      <c r="P12" s="92">
        <v>100</v>
      </c>
      <c r="Q12" s="93">
        <f t="shared" si="60"/>
        <v>1200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1">
        <f t="shared" si="61"/>
        <v>0</v>
      </c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1">
        <f t="shared" si="58"/>
        <v>0</v>
      </c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1">
        <f t="shared" si="59"/>
        <v>0</v>
      </c>
    </row>
    <row r="13" spans="2:59" ht="15.6" hidden="1" x14ac:dyDescent="0.3">
      <c r="C13" s="9" t="s">
        <v>9</v>
      </c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3">
        <f t="shared" si="60"/>
        <v>0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21">
        <f t="shared" si="61"/>
        <v>0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1">
        <f t="shared" si="58"/>
        <v>0</v>
      </c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21">
        <f t="shared" si="59"/>
        <v>0</v>
      </c>
    </row>
    <row r="14" spans="2:59" ht="15.6" hidden="1" x14ac:dyDescent="0.3">
      <c r="C14" s="9" t="s">
        <v>9</v>
      </c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3">
        <f t="shared" si="60"/>
        <v>0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21">
        <f t="shared" si="61"/>
        <v>0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1">
        <f t="shared" si="58"/>
        <v>0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21">
        <f t="shared" si="59"/>
        <v>0</v>
      </c>
    </row>
    <row r="15" spans="2:59" ht="15.6" hidden="1" x14ac:dyDescent="0.3">
      <c r="C15" s="9" t="s">
        <v>9</v>
      </c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3">
        <f t="shared" si="60"/>
        <v>0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21">
        <f t="shared" si="61"/>
        <v>0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1">
        <f t="shared" si="58"/>
        <v>0</v>
      </c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21">
        <f t="shared" si="59"/>
        <v>0</v>
      </c>
    </row>
    <row r="16" spans="2:59" ht="15.6" hidden="1" x14ac:dyDescent="0.3">
      <c r="C16" s="9" t="s">
        <v>9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3">
        <f t="shared" si="60"/>
        <v>0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21">
        <f t="shared" si="61"/>
        <v>0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1">
        <f t="shared" si="58"/>
        <v>0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21">
        <f t="shared" si="59"/>
        <v>0</v>
      </c>
    </row>
    <row r="17" spans="3:59" ht="15.6" hidden="1" x14ac:dyDescent="0.3">
      <c r="C17" s="9" t="s">
        <v>9</v>
      </c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3">
        <f t="shared" si="60"/>
        <v>0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21">
        <f t="shared" si="61"/>
        <v>0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21">
        <f t="shared" si="58"/>
        <v>0</v>
      </c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21">
        <f t="shared" si="59"/>
        <v>0</v>
      </c>
    </row>
    <row r="18" spans="3:59" ht="15.6" hidden="1" x14ac:dyDescent="0.3">
      <c r="C18" s="9" t="s">
        <v>9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3">
        <f t="shared" si="60"/>
        <v>0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21">
        <f t="shared" si="61"/>
        <v>0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21">
        <f t="shared" si="58"/>
        <v>0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21">
        <f t="shared" si="59"/>
        <v>0</v>
      </c>
    </row>
    <row r="19" spans="3:59" ht="15.6" hidden="1" x14ac:dyDescent="0.3">
      <c r="C19" s="9" t="s">
        <v>9</v>
      </c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3">
        <f t="shared" si="60"/>
        <v>0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21">
        <f t="shared" si="61"/>
        <v>0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21">
        <f t="shared" si="58"/>
        <v>0</v>
      </c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21">
        <f t="shared" si="59"/>
        <v>0</v>
      </c>
    </row>
    <row r="20" spans="3:59" ht="15.6" hidden="1" x14ac:dyDescent="0.3">
      <c r="C20" s="9" t="s">
        <v>9</v>
      </c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3">
        <f t="shared" si="60"/>
        <v>0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21">
        <f t="shared" si="61"/>
        <v>0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21">
        <f t="shared" si="58"/>
        <v>0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21">
        <f t="shared" si="59"/>
        <v>0</v>
      </c>
    </row>
    <row r="21" spans="3:59" ht="15.6" x14ac:dyDescent="0.3">
      <c r="C21" s="10" t="s">
        <v>6</v>
      </c>
      <c r="E21" s="94" cm="1">
        <f t="array" aca="1" ref="E21" ca="1">SUM(INDIRECT(ADDRESS(income_min, COLUMN())&amp;":"&amp; ADDRESS(income_max,COLUMN())))</f>
        <v>4650</v>
      </c>
      <c r="F21" s="94" cm="1">
        <f t="array" aca="1" ref="F21" ca="1">SUM(INDIRECT(ADDRESS(income_min, COLUMN())&amp;":"&amp; ADDRESS(income_max,COLUMN())))</f>
        <v>4550</v>
      </c>
      <c r="G21" s="94" cm="1">
        <f t="array" aca="1" ref="G21" ca="1">SUM(INDIRECT(ADDRESS(income_min, COLUMN())&amp;":"&amp; ADDRESS(income_max,COLUMN())))</f>
        <v>4600</v>
      </c>
      <c r="H21" s="94" cm="1">
        <f t="array" aca="1" ref="H21" ca="1">SUM(INDIRECT(ADDRESS(income_min, COLUMN())&amp;":"&amp; ADDRESS(income_max,COLUMN())))</f>
        <v>5650</v>
      </c>
      <c r="I21" s="94" cm="1">
        <f t="array" aca="1" ref="I21" ca="1">SUM(INDIRECT(ADDRESS(income_min, COLUMN())&amp;":"&amp; ADDRESS(income_max,COLUMN())))</f>
        <v>5550</v>
      </c>
      <c r="J21" s="94" cm="1">
        <f t="array" aca="1" ref="J21" ca="1">SUM(INDIRECT(ADDRESS(income_min, COLUMN())&amp;":"&amp; ADDRESS(income_max,COLUMN())))</f>
        <v>5600</v>
      </c>
      <c r="K21" s="94" cm="1">
        <f t="array" aca="1" ref="K21" ca="1">SUM(INDIRECT(ADDRESS(income_min, COLUMN())&amp;":"&amp; ADDRESS(income_max,COLUMN())))</f>
        <v>5650</v>
      </c>
      <c r="L21" s="94" cm="1">
        <f t="array" aca="1" ref="L21" ca="1">SUM(INDIRECT(ADDRESS(income_min, COLUMN())&amp;":"&amp; ADDRESS(income_max,COLUMN())))</f>
        <v>5550</v>
      </c>
      <c r="M21" s="94" cm="1">
        <f t="array" aca="1" ref="M21" ca="1">SUM(INDIRECT(ADDRESS(income_min, COLUMN())&amp;":"&amp; ADDRESS(income_max,COLUMN())))</f>
        <v>5600</v>
      </c>
      <c r="N21" s="94" cm="1">
        <f t="array" aca="1" ref="N21" ca="1">SUM(INDIRECT(ADDRESS(income_min, COLUMN())&amp;":"&amp; ADDRESS(income_max,COLUMN())))</f>
        <v>5650</v>
      </c>
      <c r="O21" s="94" cm="1">
        <f t="array" aca="1" ref="O21" ca="1">SUM(INDIRECT(ADDRESS(income_min, COLUMN())&amp;":"&amp; ADDRESS(income_max,COLUMN())))</f>
        <v>5550</v>
      </c>
      <c r="P21" s="94" cm="1">
        <f t="array" aca="1" ref="P21" ca="1">SUM(INDIRECT(ADDRESS(income_min, COLUMN())&amp;":"&amp; ADDRESS(income_max,COLUMN())))</f>
        <v>5600</v>
      </c>
      <c r="Q21" s="94" cm="1">
        <f t="array" aca="1" ref="Q21" ca="1">SUM(INDIRECT(ADDRESS(income_min, COLUMN())&amp;":"&amp; ADDRESS(income_max,COLUMN())))</f>
        <v>64200</v>
      </c>
      <c r="S21" s="20" cm="1">
        <f t="array" aca="1" ref="S21" ca="1">SUM(INDIRECT(ADDRESS(income_min, COLUMN())&amp;":"&amp; ADDRESS(income_max,COLUMN())))</f>
        <v>0</v>
      </c>
      <c r="T21" s="20" cm="1">
        <f t="array" aca="1" ref="T21" ca="1">SUM(INDIRECT(ADDRESS(income_min, COLUMN())&amp;":"&amp; ADDRESS(income_max,COLUMN())))</f>
        <v>0</v>
      </c>
      <c r="U21" s="20" cm="1">
        <f t="array" aca="1" ref="U21" ca="1">SUM(INDIRECT(ADDRESS(income_min, COLUMN())&amp;":"&amp; ADDRESS(income_max,COLUMN())))</f>
        <v>0</v>
      </c>
      <c r="V21" s="20" cm="1">
        <f t="array" aca="1" ref="V21" ca="1">SUM(INDIRECT(ADDRESS(income_min, COLUMN())&amp;":"&amp; ADDRESS(income_max,COLUMN())))</f>
        <v>0</v>
      </c>
      <c r="W21" s="20" cm="1">
        <f t="array" aca="1" ref="W21" ca="1">SUM(INDIRECT(ADDRESS(income_min, COLUMN())&amp;":"&amp; ADDRESS(income_max,COLUMN())))</f>
        <v>0</v>
      </c>
      <c r="X21" s="20" cm="1">
        <f t="array" aca="1" ref="X21" ca="1">SUM(INDIRECT(ADDRESS(income_min, COLUMN())&amp;":"&amp; ADDRESS(income_max,COLUMN())))</f>
        <v>0</v>
      </c>
      <c r="Y21" s="20" cm="1">
        <f t="array" aca="1" ref="Y21" ca="1">SUM(INDIRECT(ADDRESS(income_min, COLUMN())&amp;":"&amp; ADDRESS(income_max,COLUMN())))</f>
        <v>0</v>
      </c>
      <c r="Z21" s="20" cm="1">
        <f t="array" aca="1" ref="Z21" ca="1">SUM(INDIRECT(ADDRESS(income_min, COLUMN())&amp;":"&amp; ADDRESS(income_max,COLUMN())))</f>
        <v>0</v>
      </c>
      <c r="AA21" s="20" cm="1">
        <f t="array" aca="1" ref="AA21" ca="1">SUM(INDIRECT(ADDRESS(income_min, COLUMN())&amp;":"&amp; ADDRESS(income_max,COLUMN())))</f>
        <v>0</v>
      </c>
      <c r="AB21" s="20" cm="1">
        <f t="array" aca="1" ref="AB21" ca="1">SUM(INDIRECT(ADDRESS(income_min, COLUMN())&amp;":"&amp; ADDRESS(income_max,COLUMN())))</f>
        <v>0</v>
      </c>
      <c r="AC21" s="20" cm="1">
        <f t="array" aca="1" ref="AC21" ca="1">SUM(INDIRECT(ADDRESS(income_min, COLUMN())&amp;":"&amp; ADDRESS(income_max,COLUMN())))</f>
        <v>0</v>
      </c>
      <c r="AD21" s="20" cm="1">
        <f t="array" aca="1" ref="AD21" ca="1">SUM(INDIRECT(ADDRESS(income_min, COLUMN())&amp;":"&amp; ADDRESS(income_max,COLUMN())))</f>
        <v>0</v>
      </c>
      <c r="AE21" s="20" cm="1">
        <f t="array" aca="1" ref="AE21" ca="1">SUM(INDIRECT(ADDRESS(income_min, COLUMN())&amp;":"&amp; ADDRESS(income_max,COLUMN())))</f>
        <v>0</v>
      </c>
      <c r="AG21" s="20" cm="1">
        <f t="array" aca="1" ref="AG21" ca="1">SUM(INDIRECT(ADDRESS(income_min, COLUMN())&amp;":"&amp; ADDRESS(income_max,COLUMN())))</f>
        <v>0</v>
      </c>
      <c r="AH21" s="20" cm="1">
        <f t="array" aca="1" ref="AH21" ca="1">SUM(INDIRECT(ADDRESS(income_min, COLUMN())&amp;":"&amp; ADDRESS(income_max,COLUMN())))</f>
        <v>0</v>
      </c>
      <c r="AI21" s="20" cm="1">
        <f t="array" aca="1" ref="AI21" ca="1">SUM(INDIRECT(ADDRESS(income_min, COLUMN())&amp;":"&amp; ADDRESS(income_max,COLUMN())))</f>
        <v>0</v>
      </c>
      <c r="AJ21" s="20" cm="1">
        <f t="array" aca="1" ref="AJ21" ca="1">SUM(INDIRECT(ADDRESS(income_min, COLUMN())&amp;":"&amp; ADDRESS(income_max,COLUMN())))</f>
        <v>0</v>
      </c>
      <c r="AK21" s="20" cm="1">
        <f t="array" aca="1" ref="AK21" ca="1">SUM(INDIRECT(ADDRESS(income_min, COLUMN())&amp;":"&amp; ADDRESS(income_max,COLUMN())))</f>
        <v>0</v>
      </c>
      <c r="AL21" s="20" cm="1">
        <f t="array" aca="1" ref="AL21" ca="1">SUM(INDIRECT(ADDRESS(income_min, COLUMN())&amp;":"&amp; ADDRESS(income_max,COLUMN())))</f>
        <v>0</v>
      </c>
      <c r="AM21" s="20" cm="1">
        <f t="array" aca="1" ref="AM21" ca="1">SUM(INDIRECT(ADDRESS(income_min, COLUMN())&amp;":"&amp; ADDRESS(income_max,COLUMN())))</f>
        <v>0</v>
      </c>
      <c r="AN21" s="20" cm="1">
        <f t="array" aca="1" ref="AN21" ca="1">SUM(INDIRECT(ADDRESS(income_min, COLUMN())&amp;":"&amp; ADDRESS(income_max,COLUMN())))</f>
        <v>0</v>
      </c>
      <c r="AO21" s="20" cm="1">
        <f t="array" aca="1" ref="AO21" ca="1">SUM(INDIRECT(ADDRESS(income_min, COLUMN())&amp;":"&amp; ADDRESS(income_max,COLUMN())))</f>
        <v>0</v>
      </c>
      <c r="AP21" s="20" cm="1">
        <f t="array" aca="1" ref="AP21" ca="1">SUM(INDIRECT(ADDRESS(income_min, COLUMN())&amp;":"&amp; ADDRESS(income_max,COLUMN())))</f>
        <v>0</v>
      </c>
      <c r="AQ21" s="20" cm="1">
        <f t="array" aca="1" ref="AQ21" ca="1">SUM(INDIRECT(ADDRESS(income_min, COLUMN())&amp;":"&amp; ADDRESS(income_max,COLUMN())))</f>
        <v>0</v>
      </c>
      <c r="AR21" s="20" cm="1">
        <f t="array" aca="1" ref="AR21" ca="1">SUM(INDIRECT(ADDRESS(income_min, COLUMN())&amp;":"&amp; ADDRESS(income_max,COLUMN())))</f>
        <v>0</v>
      </c>
      <c r="AS21" s="20" cm="1">
        <f t="array" aca="1" ref="AS21" ca="1">SUM(INDIRECT(ADDRESS(income_min, COLUMN())&amp;":"&amp; ADDRESS(income_max,COLUMN())))</f>
        <v>0</v>
      </c>
      <c r="AU21" s="20" cm="1">
        <f t="array" aca="1" ref="AU21" ca="1">SUM(INDIRECT(ADDRESS(income_min, COLUMN())&amp;":"&amp; ADDRESS(income_max,COLUMN())))</f>
        <v>0</v>
      </c>
      <c r="AV21" s="20" cm="1">
        <f t="array" aca="1" ref="AV21" ca="1">SUM(INDIRECT(ADDRESS(income_min, COLUMN())&amp;":"&amp; ADDRESS(income_max,COLUMN())))</f>
        <v>0</v>
      </c>
      <c r="AW21" s="20" cm="1">
        <f t="array" aca="1" ref="AW21" ca="1">SUM(INDIRECT(ADDRESS(income_min, COLUMN())&amp;":"&amp; ADDRESS(income_max,COLUMN())))</f>
        <v>0</v>
      </c>
      <c r="AX21" s="20" cm="1">
        <f t="array" aca="1" ref="AX21" ca="1">SUM(INDIRECT(ADDRESS(income_min, COLUMN())&amp;":"&amp; ADDRESS(income_max,COLUMN())))</f>
        <v>0</v>
      </c>
      <c r="AY21" s="20" cm="1">
        <f t="array" aca="1" ref="AY21" ca="1">SUM(INDIRECT(ADDRESS(income_min, COLUMN())&amp;":"&amp; ADDRESS(income_max,COLUMN())))</f>
        <v>0</v>
      </c>
      <c r="AZ21" s="20" cm="1">
        <f t="array" aca="1" ref="AZ21" ca="1">SUM(INDIRECT(ADDRESS(income_min, COLUMN())&amp;":"&amp; ADDRESS(income_max,COLUMN())))</f>
        <v>0</v>
      </c>
      <c r="BA21" s="20" cm="1">
        <f t="array" aca="1" ref="BA21" ca="1">SUM(INDIRECT(ADDRESS(income_min, COLUMN())&amp;":"&amp; ADDRESS(income_max,COLUMN())))</f>
        <v>0</v>
      </c>
      <c r="BB21" s="20" cm="1">
        <f t="array" aca="1" ref="BB21" ca="1">SUM(INDIRECT(ADDRESS(income_min, COLUMN())&amp;":"&amp; ADDRESS(income_max,COLUMN())))</f>
        <v>0</v>
      </c>
      <c r="BC21" s="20" cm="1">
        <f t="array" aca="1" ref="BC21" ca="1">SUM(INDIRECT(ADDRESS(income_min, COLUMN())&amp;":"&amp; ADDRESS(income_max,COLUMN())))</f>
        <v>0</v>
      </c>
      <c r="BD21" s="20" cm="1">
        <f t="array" aca="1" ref="BD21" ca="1">SUM(INDIRECT(ADDRESS(income_min, COLUMN())&amp;":"&amp; ADDRESS(income_max,COLUMN())))</f>
        <v>0</v>
      </c>
      <c r="BE21" s="20" cm="1">
        <f t="array" aca="1" ref="BE21" ca="1">SUM(INDIRECT(ADDRESS(income_min, COLUMN())&amp;":"&amp; ADDRESS(income_max,COLUMN())))</f>
        <v>0</v>
      </c>
      <c r="BF21" s="20" cm="1">
        <f t="array" aca="1" ref="BF21" ca="1">SUM(INDIRECT(ADDRESS(income_min, COLUMN())&amp;":"&amp; ADDRESS(income_max,COLUMN())))</f>
        <v>0</v>
      </c>
      <c r="BG21" s="20" cm="1">
        <f t="array" aca="1" ref="BG21" ca="1">SUM(INDIRECT(ADDRESS(income_min, COLUMN())&amp;":"&amp; ADDRESS(income_max,COLUMN())))</f>
        <v>0</v>
      </c>
    </row>
    <row r="23" spans="3:59" x14ac:dyDescent="0.3">
      <c r="C23" s="6"/>
    </row>
    <row r="24" spans="3:59" ht="15.6" x14ac:dyDescent="0.3">
      <c r="C24" s="12" t="s">
        <v>7</v>
      </c>
      <c r="E24" s="14">
        <f>DATE(E$5,1,1)</f>
        <v>45292</v>
      </c>
      <c r="F24" s="14">
        <f>DATE(E$5,2,1)</f>
        <v>45323</v>
      </c>
      <c r="G24" s="14">
        <f>DATE(E$5,3,1)</f>
        <v>45352</v>
      </c>
      <c r="H24" s="14">
        <f>DATE(E$5,4,1)</f>
        <v>45383</v>
      </c>
      <c r="I24" s="14">
        <f>DATE(E$5,5,1)</f>
        <v>45413</v>
      </c>
      <c r="J24" s="14">
        <f>DATE(E$5,6,1)</f>
        <v>45444</v>
      </c>
      <c r="K24" s="14">
        <f>DATE(E$5,7,1)</f>
        <v>45474</v>
      </c>
      <c r="L24" s="14">
        <f>DATE(E$5,8,1)</f>
        <v>45505</v>
      </c>
      <c r="M24" s="14">
        <f>DATE(E$5,9,1)</f>
        <v>45536</v>
      </c>
      <c r="N24" s="14">
        <f>DATE(E$5,10,1)</f>
        <v>45566</v>
      </c>
      <c r="O24" s="14">
        <f>DATE(E$5,11,1)</f>
        <v>45597</v>
      </c>
      <c r="P24" s="14">
        <f>DATE(E$5,12,1)</f>
        <v>45627</v>
      </c>
      <c r="Q24" s="15">
        <f>E5</f>
        <v>2024</v>
      </c>
      <c r="S24" s="14">
        <f>DATE(S$5,1,1)</f>
        <v>45658</v>
      </c>
      <c r="T24" s="14">
        <f>DATE(S$5,2,1)</f>
        <v>45689</v>
      </c>
      <c r="U24" s="14">
        <f>DATE(S$5,3,1)</f>
        <v>45717</v>
      </c>
      <c r="V24" s="14">
        <f>DATE(S$5,4,1)</f>
        <v>45748</v>
      </c>
      <c r="W24" s="14">
        <f>DATE(S$5,5,1)</f>
        <v>45778</v>
      </c>
      <c r="X24" s="14">
        <f>DATE(S$5,6,1)</f>
        <v>45809</v>
      </c>
      <c r="Y24" s="14">
        <f>DATE(S$5,7,1)</f>
        <v>45839</v>
      </c>
      <c r="Z24" s="14">
        <f>DATE(S$5,8,1)</f>
        <v>45870</v>
      </c>
      <c r="AA24" s="14">
        <f>DATE(S$5,9,1)</f>
        <v>45901</v>
      </c>
      <c r="AB24" s="14">
        <f>DATE(S$5,10,1)</f>
        <v>45931</v>
      </c>
      <c r="AC24" s="14">
        <f>DATE(S$5,11,1)</f>
        <v>45962</v>
      </c>
      <c r="AD24" s="14">
        <f>DATE(S$5,12,1)</f>
        <v>45992</v>
      </c>
      <c r="AE24" s="15">
        <f>S5</f>
        <v>2025</v>
      </c>
      <c r="AG24" s="14">
        <f t="shared" ref="AG24" si="62">DATE(AG$5,1,1)</f>
        <v>46023</v>
      </c>
      <c r="AH24" s="14">
        <f t="shared" ref="AH24" si="63">DATE(AG$5,2,1)</f>
        <v>46054</v>
      </c>
      <c r="AI24" s="14">
        <f t="shared" ref="AI24" si="64">DATE(AG$5,3,1)</f>
        <v>46082</v>
      </c>
      <c r="AJ24" s="14">
        <f t="shared" ref="AJ24" si="65">DATE(AG$5,4,1)</f>
        <v>46113</v>
      </c>
      <c r="AK24" s="14">
        <f t="shared" ref="AK24" si="66">DATE(AG$5,5,1)</f>
        <v>46143</v>
      </c>
      <c r="AL24" s="14">
        <f t="shared" ref="AL24" si="67">DATE(AG$5,6,1)</f>
        <v>46174</v>
      </c>
      <c r="AM24" s="14">
        <f t="shared" ref="AM24" si="68">DATE(AG$5,7,1)</f>
        <v>46204</v>
      </c>
      <c r="AN24" s="14">
        <f t="shared" ref="AN24" si="69">DATE(AG$5,8,1)</f>
        <v>46235</v>
      </c>
      <c r="AO24" s="14">
        <f t="shared" ref="AO24" si="70">DATE(AG$5,9,1)</f>
        <v>46266</v>
      </c>
      <c r="AP24" s="14">
        <f t="shared" ref="AP24" si="71">DATE(AG$5,10,1)</f>
        <v>46296</v>
      </c>
      <c r="AQ24" s="14">
        <f t="shared" ref="AQ24" si="72">DATE(AG$5,11,1)</f>
        <v>46327</v>
      </c>
      <c r="AR24" s="14">
        <f t="shared" ref="AR24" si="73">DATE(AG$5,12,1)</f>
        <v>46357</v>
      </c>
      <c r="AS24" s="15">
        <f t="shared" ref="AS24" si="74">AG5</f>
        <v>2026</v>
      </c>
      <c r="AU24" s="14">
        <f t="shared" ref="AU24" si="75">DATE(AU$5,1,1)</f>
        <v>46388</v>
      </c>
      <c r="AV24" s="14">
        <f t="shared" ref="AV24" si="76">DATE(AU$5,2,1)</f>
        <v>46419</v>
      </c>
      <c r="AW24" s="14">
        <f t="shared" ref="AW24" si="77">DATE(AU$5,3,1)</f>
        <v>46447</v>
      </c>
      <c r="AX24" s="14">
        <f t="shared" ref="AX24" si="78">DATE(AU$5,4,1)</f>
        <v>46478</v>
      </c>
      <c r="AY24" s="14">
        <f t="shared" ref="AY24" si="79">DATE(AU$5,5,1)</f>
        <v>46508</v>
      </c>
      <c r="AZ24" s="14">
        <f t="shared" ref="AZ24" si="80">DATE(AU$5,6,1)</f>
        <v>46539</v>
      </c>
      <c r="BA24" s="14">
        <f t="shared" ref="BA24" si="81">DATE(AU$5,7,1)</f>
        <v>46569</v>
      </c>
      <c r="BB24" s="14">
        <f t="shared" ref="BB24" si="82">DATE(AU$5,8,1)</f>
        <v>46600</v>
      </c>
      <c r="BC24" s="14">
        <f t="shared" ref="BC24" si="83">DATE(AU$5,9,1)</f>
        <v>46631</v>
      </c>
      <c r="BD24" s="14">
        <f t="shared" ref="BD24" si="84">DATE(AU$5,10,1)</f>
        <v>46661</v>
      </c>
      <c r="BE24" s="14">
        <f t="shared" ref="BE24" si="85">DATE(AU$5,11,1)</f>
        <v>46692</v>
      </c>
      <c r="BF24" s="14">
        <f t="shared" ref="BF24" si="86">DATE(AU$5,12,1)</f>
        <v>46722</v>
      </c>
      <c r="BG24" s="15">
        <f t="shared" ref="BG24" si="87">AU5</f>
        <v>2027</v>
      </c>
    </row>
    <row r="25" spans="3:59" ht="15.6" x14ac:dyDescent="0.3">
      <c r="C25" s="9" t="s">
        <v>51</v>
      </c>
      <c r="E25" s="92">
        <v>1200</v>
      </c>
      <c r="F25" s="92">
        <v>1200</v>
      </c>
      <c r="G25" s="92">
        <v>1200</v>
      </c>
      <c r="H25" s="92">
        <v>1200</v>
      </c>
      <c r="I25" s="92">
        <v>1200</v>
      </c>
      <c r="J25" s="92">
        <v>1200</v>
      </c>
      <c r="K25" s="92">
        <v>1200</v>
      </c>
      <c r="L25" s="92">
        <v>1200</v>
      </c>
      <c r="M25" s="92">
        <v>1200</v>
      </c>
      <c r="N25" s="92">
        <v>1200</v>
      </c>
      <c r="O25" s="92">
        <v>1200</v>
      </c>
      <c r="P25" s="92">
        <v>1200</v>
      </c>
      <c r="Q25" s="95">
        <f>SUM(E25:P25)</f>
        <v>14400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3">
        <f>SUM(S25:AD25)</f>
        <v>0</v>
      </c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3">
        <f t="shared" ref="AS25:AS35" si="88">SUM(AG25:AR25)</f>
        <v>0</v>
      </c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3">
        <f t="shared" ref="BG25:BG35" si="89">SUM(AU25:BF25)</f>
        <v>0</v>
      </c>
    </row>
    <row r="26" spans="3:59" ht="15.6" x14ac:dyDescent="0.3">
      <c r="C26" s="9" t="s">
        <v>64</v>
      </c>
      <c r="E26" s="92">
        <v>300</v>
      </c>
      <c r="F26" s="92">
        <v>300</v>
      </c>
      <c r="G26" s="92">
        <v>300</v>
      </c>
      <c r="H26" s="92">
        <v>300</v>
      </c>
      <c r="I26" s="92">
        <v>300</v>
      </c>
      <c r="J26" s="92">
        <v>300</v>
      </c>
      <c r="K26" s="92">
        <v>300</v>
      </c>
      <c r="L26" s="92">
        <v>300</v>
      </c>
      <c r="M26" s="92">
        <v>300</v>
      </c>
      <c r="N26" s="92">
        <v>300</v>
      </c>
      <c r="O26" s="92">
        <v>300</v>
      </c>
      <c r="P26" s="92">
        <v>300</v>
      </c>
      <c r="Q26" s="95">
        <f t="shared" ref="Q26:Q35" si="90">SUM(E26:P26)</f>
        <v>3600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3">
        <f t="shared" ref="AE26:AE35" si="91">SUM(S26:AD26)</f>
        <v>0</v>
      </c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3">
        <f t="shared" si="88"/>
        <v>0</v>
      </c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3">
        <f t="shared" si="89"/>
        <v>0</v>
      </c>
    </row>
    <row r="27" spans="3:59" ht="15.6" x14ac:dyDescent="0.3">
      <c r="C27" s="9" t="s">
        <v>52</v>
      </c>
      <c r="E27" s="92">
        <v>350</v>
      </c>
      <c r="F27" s="92">
        <v>350</v>
      </c>
      <c r="G27" s="92">
        <v>350</v>
      </c>
      <c r="H27" s="92">
        <v>350</v>
      </c>
      <c r="I27" s="92">
        <v>350</v>
      </c>
      <c r="J27" s="92">
        <v>350</v>
      </c>
      <c r="K27" s="92">
        <v>350</v>
      </c>
      <c r="L27" s="92">
        <v>350</v>
      </c>
      <c r="M27" s="92">
        <v>350</v>
      </c>
      <c r="N27" s="92">
        <v>350</v>
      </c>
      <c r="O27" s="92">
        <v>350</v>
      </c>
      <c r="P27" s="92">
        <v>350</v>
      </c>
      <c r="Q27" s="95">
        <f t="shared" si="90"/>
        <v>4200</v>
      </c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3">
        <f t="shared" si="91"/>
        <v>0</v>
      </c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3">
        <f t="shared" si="88"/>
        <v>0</v>
      </c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3">
        <f t="shared" si="89"/>
        <v>0</v>
      </c>
    </row>
    <row r="28" spans="3:59" ht="15.6" x14ac:dyDescent="0.3">
      <c r="C28" s="9" t="s">
        <v>53</v>
      </c>
      <c r="E28" s="92">
        <v>300</v>
      </c>
      <c r="F28" s="92">
        <v>300</v>
      </c>
      <c r="G28" s="92">
        <v>300</v>
      </c>
      <c r="H28" s="92">
        <v>300</v>
      </c>
      <c r="I28" s="92">
        <v>300</v>
      </c>
      <c r="J28" s="92">
        <v>300</v>
      </c>
      <c r="K28" s="92">
        <v>300</v>
      </c>
      <c r="L28" s="92">
        <v>300</v>
      </c>
      <c r="M28" s="92">
        <v>300</v>
      </c>
      <c r="N28" s="92">
        <v>300</v>
      </c>
      <c r="O28" s="92">
        <v>300</v>
      </c>
      <c r="P28" s="92">
        <v>300</v>
      </c>
      <c r="Q28" s="95">
        <f t="shared" si="90"/>
        <v>3600</v>
      </c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3">
        <f t="shared" si="91"/>
        <v>0</v>
      </c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3">
        <f t="shared" si="88"/>
        <v>0</v>
      </c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3">
        <f t="shared" si="89"/>
        <v>0</v>
      </c>
    </row>
    <row r="29" spans="3:59" ht="15.6" x14ac:dyDescent="0.3">
      <c r="C29" s="9" t="s">
        <v>54</v>
      </c>
      <c r="E29" s="92">
        <v>0</v>
      </c>
      <c r="F29" s="92">
        <v>0</v>
      </c>
      <c r="G29" s="92">
        <v>150</v>
      </c>
      <c r="H29" s="92">
        <v>0</v>
      </c>
      <c r="I29" s="92">
        <v>0</v>
      </c>
      <c r="J29" s="92">
        <v>150</v>
      </c>
      <c r="K29" s="92">
        <v>0</v>
      </c>
      <c r="L29" s="92">
        <v>0</v>
      </c>
      <c r="M29" s="92">
        <v>150</v>
      </c>
      <c r="N29" s="92">
        <v>0</v>
      </c>
      <c r="O29" s="92">
        <v>0</v>
      </c>
      <c r="P29" s="92">
        <v>150</v>
      </c>
      <c r="Q29" s="95">
        <f t="shared" si="90"/>
        <v>600</v>
      </c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3">
        <f t="shared" si="91"/>
        <v>0</v>
      </c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3">
        <f t="shared" si="88"/>
        <v>0</v>
      </c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3">
        <f t="shared" si="89"/>
        <v>0</v>
      </c>
    </row>
    <row r="30" spans="3:59" ht="15.6" x14ac:dyDescent="0.3">
      <c r="C30" s="9" t="s">
        <v>55</v>
      </c>
      <c r="E30" s="92">
        <v>200</v>
      </c>
      <c r="F30" s="92">
        <v>200</v>
      </c>
      <c r="G30" s="92">
        <v>200</v>
      </c>
      <c r="H30" s="92">
        <v>200</v>
      </c>
      <c r="I30" s="92">
        <v>200</v>
      </c>
      <c r="J30" s="92">
        <v>200</v>
      </c>
      <c r="K30" s="92">
        <v>200</v>
      </c>
      <c r="L30" s="92">
        <v>200</v>
      </c>
      <c r="M30" s="92">
        <v>200</v>
      </c>
      <c r="N30" s="92">
        <v>200</v>
      </c>
      <c r="O30" s="92">
        <v>200</v>
      </c>
      <c r="P30" s="92">
        <v>200</v>
      </c>
      <c r="Q30" s="95">
        <f t="shared" si="90"/>
        <v>2400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3">
        <f t="shared" si="91"/>
        <v>0</v>
      </c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3">
        <f t="shared" si="88"/>
        <v>0</v>
      </c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3">
        <f t="shared" si="89"/>
        <v>0</v>
      </c>
    </row>
    <row r="31" spans="3:59" ht="15.6" x14ac:dyDescent="0.3">
      <c r="C31" s="9" t="s">
        <v>56</v>
      </c>
      <c r="E31" s="92">
        <v>200</v>
      </c>
      <c r="F31" s="92">
        <v>200</v>
      </c>
      <c r="G31" s="92">
        <v>200</v>
      </c>
      <c r="H31" s="92">
        <v>200</v>
      </c>
      <c r="I31" s="92">
        <v>200</v>
      </c>
      <c r="J31" s="92">
        <v>200</v>
      </c>
      <c r="K31" s="92">
        <v>200</v>
      </c>
      <c r="L31" s="92">
        <v>200</v>
      </c>
      <c r="M31" s="92">
        <v>200</v>
      </c>
      <c r="N31" s="92">
        <v>200</v>
      </c>
      <c r="O31" s="92">
        <v>200</v>
      </c>
      <c r="P31" s="92">
        <v>200</v>
      </c>
      <c r="Q31" s="95">
        <f t="shared" si="90"/>
        <v>2400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3">
        <f t="shared" si="91"/>
        <v>0</v>
      </c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3">
        <f t="shared" si="88"/>
        <v>0</v>
      </c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3">
        <f t="shared" si="89"/>
        <v>0</v>
      </c>
    </row>
    <row r="32" spans="3:59" ht="15.6" x14ac:dyDescent="0.3">
      <c r="C32" s="9" t="s">
        <v>57</v>
      </c>
      <c r="E32" s="92">
        <v>50</v>
      </c>
      <c r="F32" s="92">
        <v>50</v>
      </c>
      <c r="G32" s="92">
        <v>50</v>
      </c>
      <c r="H32" s="92">
        <v>50</v>
      </c>
      <c r="I32" s="92">
        <v>50</v>
      </c>
      <c r="J32" s="92">
        <v>50</v>
      </c>
      <c r="K32" s="92">
        <v>50</v>
      </c>
      <c r="L32" s="92">
        <v>50</v>
      </c>
      <c r="M32" s="92">
        <v>50</v>
      </c>
      <c r="N32" s="92">
        <v>50</v>
      </c>
      <c r="O32" s="92">
        <v>50</v>
      </c>
      <c r="P32" s="92">
        <v>50</v>
      </c>
      <c r="Q32" s="95">
        <f t="shared" si="90"/>
        <v>600</v>
      </c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3">
        <f t="shared" si="91"/>
        <v>0</v>
      </c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3">
        <f t="shared" si="88"/>
        <v>0</v>
      </c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3">
        <f t="shared" si="89"/>
        <v>0</v>
      </c>
    </row>
    <row r="33" spans="3:59" ht="15.6" x14ac:dyDescent="0.3">
      <c r="C33" s="9" t="s">
        <v>58</v>
      </c>
      <c r="E33" s="92">
        <v>300</v>
      </c>
      <c r="F33" s="92">
        <v>300</v>
      </c>
      <c r="G33" s="92">
        <v>300</v>
      </c>
      <c r="H33" s="92">
        <v>1200</v>
      </c>
      <c r="I33" s="92">
        <v>300</v>
      </c>
      <c r="J33" s="92">
        <v>300</v>
      </c>
      <c r="K33" s="92">
        <v>300</v>
      </c>
      <c r="L33" s="92">
        <v>1500</v>
      </c>
      <c r="M33" s="92">
        <v>300</v>
      </c>
      <c r="N33" s="92">
        <v>300</v>
      </c>
      <c r="O33" s="92">
        <v>300</v>
      </c>
      <c r="P33" s="92">
        <v>600</v>
      </c>
      <c r="Q33" s="95">
        <f t="shared" si="90"/>
        <v>6000</v>
      </c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3">
        <f t="shared" si="91"/>
        <v>0</v>
      </c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3">
        <f t="shared" si="88"/>
        <v>0</v>
      </c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3">
        <f t="shared" si="89"/>
        <v>0</v>
      </c>
    </row>
    <row r="34" spans="3:59" ht="15.6" hidden="1" x14ac:dyDescent="0.3">
      <c r="C34" s="9" t="s">
        <v>8</v>
      </c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5">
        <f t="shared" si="90"/>
        <v>0</v>
      </c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3">
        <f t="shared" si="91"/>
        <v>0</v>
      </c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3">
        <f t="shared" si="88"/>
        <v>0</v>
      </c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3">
        <f t="shared" si="89"/>
        <v>0</v>
      </c>
    </row>
    <row r="35" spans="3:59" ht="15.6" hidden="1" x14ac:dyDescent="0.3">
      <c r="C35" s="9" t="s">
        <v>8</v>
      </c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5">
        <f t="shared" si="90"/>
        <v>0</v>
      </c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3">
        <f t="shared" si="91"/>
        <v>0</v>
      </c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3">
        <f t="shared" si="88"/>
        <v>0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3">
        <f t="shared" si="89"/>
        <v>0</v>
      </c>
    </row>
    <row r="36" spans="3:59" ht="15.6" x14ac:dyDescent="0.3">
      <c r="C36" s="10" t="s">
        <v>6</v>
      </c>
      <c r="E36" s="94" cm="1">
        <f t="array" aca="1" ref="E36" ca="1">SUM(INDIRECT(ADDRESS(expenses_min,COLUMN())&amp;":"&amp; ADDRESS(expenses_max,COLUMN())))</f>
        <v>2900</v>
      </c>
      <c r="F36" s="94" cm="1">
        <f t="array" aca="1" ref="F36" ca="1">SUM(INDIRECT(ADDRESS(expenses_min,COLUMN())&amp;":"&amp; ADDRESS(expenses_max,COLUMN())))</f>
        <v>2900</v>
      </c>
      <c r="G36" s="94" cm="1">
        <f t="array" aca="1" ref="G36" ca="1">SUM(INDIRECT(ADDRESS(expenses_min,COLUMN())&amp;":"&amp; ADDRESS(expenses_max,COLUMN())))</f>
        <v>3050</v>
      </c>
      <c r="H36" s="94" cm="1">
        <f t="array" aca="1" ref="H36" ca="1">SUM(INDIRECT(ADDRESS(expenses_min,COLUMN())&amp;":"&amp; ADDRESS(expenses_max,COLUMN())))</f>
        <v>3800</v>
      </c>
      <c r="I36" s="94" cm="1">
        <f t="array" aca="1" ref="I36" ca="1">SUM(INDIRECT(ADDRESS(expenses_min,COLUMN())&amp;":"&amp; ADDRESS(expenses_max,COLUMN())))</f>
        <v>2900</v>
      </c>
      <c r="J36" s="94" cm="1">
        <f t="array" aca="1" ref="J36" ca="1">SUM(INDIRECT(ADDRESS(expenses_min,COLUMN())&amp;":"&amp; ADDRESS(expenses_max,COLUMN())))</f>
        <v>3050</v>
      </c>
      <c r="K36" s="94" cm="1">
        <f t="array" aca="1" ref="K36" ca="1">SUM(INDIRECT(ADDRESS(expenses_min,COLUMN())&amp;":"&amp; ADDRESS(expenses_max,COLUMN())))</f>
        <v>2900</v>
      </c>
      <c r="L36" s="94" cm="1">
        <f t="array" aca="1" ref="L36" ca="1">SUM(INDIRECT(ADDRESS(expenses_min,COLUMN())&amp;":"&amp; ADDRESS(expenses_max,COLUMN())))</f>
        <v>4100</v>
      </c>
      <c r="M36" s="94" cm="1">
        <f t="array" aca="1" ref="M36" ca="1">SUM(INDIRECT(ADDRESS(expenses_min,COLUMN())&amp;":"&amp; ADDRESS(expenses_max,COLUMN())))</f>
        <v>3050</v>
      </c>
      <c r="N36" s="94" cm="1">
        <f t="array" aca="1" ref="N36" ca="1">SUM(INDIRECT(ADDRESS(expenses_min,COLUMN())&amp;":"&amp; ADDRESS(expenses_max,COLUMN())))</f>
        <v>2900</v>
      </c>
      <c r="O36" s="94" cm="1">
        <f t="array" aca="1" ref="O36" ca="1">SUM(INDIRECT(ADDRESS(expenses_min,COLUMN())&amp;":"&amp; ADDRESS(expenses_max,COLUMN())))</f>
        <v>2900</v>
      </c>
      <c r="P36" s="94" cm="1">
        <f t="array" aca="1" ref="P36" ca="1">SUM(INDIRECT(ADDRESS(expenses_min,COLUMN())&amp;":"&amp; ADDRESS(expenses_max,COLUMN())))</f>
        <v>3350</v>
      </c>
      <c r="Q36" s="96" cm="1">
        <f t="array" aca="1" ref="Q36" ca="1">SUM(INDIRECT(ADDRESS(expenses_min,COLUMN())&amp;":"&amp; ADDRESS(expenses_max,COLUMN())))</f>
        <v>37800</v>
      </c>
      <c r="S36" s="20" cm="1">
        <f t="array" aca="1" ref="S36" ca="1">SUM(INDIRECT(ADDRESS(expenses_min,COLUMN())&amp;":"&amp; ADDRESS(expenses_max,COLUMN())))</f>
        <v>0</v>
      </c>
      <c r="T36" s="20" cm="1">
        <f t="array" aca="1" ref="T36" ca="1">SUM(INDIRECT(ADDRESS(expenses_min,COLUMN())&amp;":"&amp; ADDRESS(expenses_max,COLUMN())))</f>
        <v>0</v>
      </c>
      <c r="U36" s="20" cm="1">
        <f t="array" aca="1" ref="U36" ca="1">SUM(INDIRECT(ADDRESS(expenses_min,COLUMN())&amp;":"&amp; ADDRESS(expenses_max,COLUMN())))</f>
        <v>0</v>
      </c>
      <c r="V36" s="20" cm="1">
        <f t="array" aca="1" ref="V36" ca="1">SUM(INDIRECT(ADDRESS(expenses_min,COLUMN())&amp;":"&amp; ADDRESS(expenses_max,COLUMN())))</f>
        <v>0</v>
      </c>
      <c r="W36" s="20" cm="1">
        <f t="array" aca="1" ref="W36" ca="1">SUM(INDIRECT(ADDRESS(expenses_min,COLUMN())&amp;":"&amp; ADDRESS(expenses_max,COLUMN())))</f>
        <v>0</v>
      </c>
      <c r="X36" s="20" cm="1">
        <f t="array" aca="1" ref="X36" ca="1">SUM(INDIRECT(ADDRESS(expenses_min,COLUMN())&amp;":"&amp; ADDRESS(expenses_max,COLUMN())))</f>
        <v>0</v>
      </c>
      <c r="Y36" s="20" cm="1">
        <f t="array" aca="1" ref="Y36" ca="1">SUM(INDIRECT(ADDRESS(expenses_min,COLUMN())&amp;":"&amp; ADDRESS(expenses_max,COLUMN())))</f>
        <v>0</v>
      </c>
      <c r="Z36" s="20" cm="1">
        <f t="array" aca="1" ref="Z36" ca="1">SUM(INDIRECT(ADDRESS(expenses_min,COLUMN())&amp;":"&amp; ADDRESS(expenses_max,COLUMN())))</f>
        <v>0</v>
      </c>
      <c r="AA36" s="20" cm="1">
        <f t="array" aca="1" ref="AA36" ca="1">SUM(INDIRECT(ADDRESS(expenses_min,COLUMN())&amp;":"&amp; ADDRESS(expenses_max,COLUMN())))</f>
        <v>0</v>
      </c>
      <c r="AB36" s="20" cm="1">
        <f t="array" aca="1" ref="AB36" ca="1">SUM(INDIRECT(ADDRESS(expenses_min,COLUMN())&amp;":"&amp; ADDRESS(expenses_max,COLUMN())))</f>
        <v>0</v>
      </c>
      <c r="AC36" s="20" cm="1">
        <f t="array" aca="1" ref="AC36" ca="1">SUM(INDIRECT(ADDRESS(expenses_min,COLUMN())&amp;":"&amp; ADDRESS(expenses_max,COLUMN())))</f>
        <v>0</v>
      </c>
      <c r="AD36" s="20" cm="1">
        <f t="array" aca="1" ref="AD36" ca="1">SUM(INDIRECT(ADDRESS(expenses_min,COLUMN())&amp;":"&amp; ADDRESS(expenses_max,COLUMN())))</f>
        <v>0</v>
      </c>
      <c r="AE36" s="22" cm="1">
        <f t="array" aca="1" ref="AE36" ca="1">SUM(INDIRECT(ADDRESS(expenses_min,COLUMN())&amp;":"&amp; ADDRESS(expenses_max,COLUMN())))</f>
        <v>0</v>
      </c>
      <c r="AG36" s="20" cm="1">
        <f t="array" aca="1" ref="AG36" ca="1">SUM(INDIRECT(ADDRESS(expenses_min,COLUMN())&amp;":"&amp; ADDRESS(expenses_max,COLUMN())))</f>
        <v>0</v>
      </c>
      <c r="AH36" s="20" cm="1">
        <f t="array" aca="1" ref="AH36" ca="1">SUM(INDIRECT(ADDRESS(expenses_min,COLUMN())&amp;":"&amp; ADDRESS(expenses_max,COLUMN())))</f>
        <v>0</v>
      </c>
      <c r="AI36" s="20" cm="1">
        <f t="array" aca="1" ref="AI36" ca="1">SUM(INDIRECT(ADDRESS(expenses_min,COLUMN())&amp;":"&amp; ADDRESS(expenses_max,COLUMN())))</f>
        <v>0</v>
      </c>
      <c r="AJ36" s="20" cm="1">
        <f t="array" aca="1" ref="AJ36" ca="1">SUM(INDIRECT(ADDRESS(expenses_min,COLUMN())&amp;":"&amp; ADDRESS(expenses_max,COLUMN())))</f>
        <v>0</v>
      </c>
      <c r="AK36" s="20" cm="1">
        <f t="array" aca="1" ref="AK36" ca="1">SUM(INDIRECT(ADDRESS(expenses_min,COLUMN())&amp;":"&amp; ADDRESS(expenses_max,COLUMN())))</f>
        <v>0</v>
      </c>
      <c r="AL36" s="20" cm="1">
        <f t="array" aca="1" ref="AL36" ca="1">SUM(INDIRECT(ADDRESS(expenses_min,COLUMN())&amp;":"&amp; ADDRESS(expenses_max,COLUMN())))</f>
        <v>0</v>
      </c>
      <c r="AM36" s="20" cm="1">
        <f t="array" aca="1" ref="AM36" ca="1">SUM(INDIRECT(ADDRESS(expenses_min,COLUMN())&amp;":"&amp; ADDRESS(expenses_max,COLUMN())))</f>
        <v>0</v>
      </c>
      <c r="AN36" s="20" cm="1">
        <f t="array" aca="1" ref="AN36" ca="1">SUM(INDIRECT(ADDRESS(expenses_min,COLUMN())&amp;":"&amp; ADDRESS(expenses_max,COLUMN())))</f>
        <v>0</v>
      </c>
      <c r="AO36" s="20" cm="1">
        <f t="array" aca="1" ref="AO36" ca="1">SUM(INDIRECT(ADDRESS(expenses_min,COLUMN())&amp;":"&amp; ADDRESS(expenses_max,COLUMN())))</f>
        <v>0</v>
      </c>
      <c r="AP36" s="20" cm="1">
        <f t="array" aca="1" ref="AP36" ca="1">SUM(INDIRECT(ADDRESS(expenses_min,COLUMN())&amp;":"&amp; ADDRESS(expenses_max,COLUMN())))</f>
        <v>0</v>
      </c>
      <c r="AQ36" s="20" cm="1">
        <f t="array" aca="1" ref="AQ36" ca="1">SUM(INDIRECT(ADDRESS(expenses_min,COLUMN())&amp;":"&amp; ADDRESS(expenses_max,COLUMN())))</f>
        <v>0</v>
      </c>
      <c r="AR36" s="20" cm="1">
        <f t="array" aca="1" ref="AR36" ca="1">SUM(INDIRECT(ADDRESS(expenses_min,COLUMN())&amp;":"&amp; ADDRESS(expenses_max,COLUMN())))</f>
        <v>0</v>
      </c>
      <c r="AS36" s="22" cm="1">
        <f t="array" aca="1" ref="AS36" ca="1">SUM(INDIRECT(ADDRESS(expenses_min,COLUMN())&amp;":"&amp; ADDRESS(expenses_max,COLUMN())))</f>
        <v>0</v>
      </c>
      <c r="AU36" s="20" cm="1">
        <f t="array" aca="1" ref="AU36" ca="1">SUM(INDIRECT(ADDRESS(expenses_min,COLUMN())&amp;":"&amp; ADDRESS(expenses_max,COLUMN())))</f>
        <v>0</v>
      </c>
      <c r="AV36" s="20" cm="1">
        <f t="array" aca="1" ref="AV36" ca="1">SUM(INDIRECT(ADDRESS(expenses_min,COLUMN())&amp;":"&amp; ADDRESS(expenses_max,COLUMN())))</f>
        <v>0</v>
      </c>
      <c r="AW36" s="20" cm="1">
        <f t="array" aca="1" ref="AW36" ca="1">SUM(INDIRECT(ADDRESS(expenses_min,COLUMN())&amp;":"&amp; ADDRESS(expenses_max,COLUMN())))</f>
        <v>0</v>
      </c>
      <c r="AX36" s="20" cm="1">
        <f t="array" aca="1" ref="AX36" ca="1">SUM(INDIRECT(ADDRESS(expenses_min,COLUMN())&amp;":"&amp; ADDRESS(expenses_max,COLUMN())))</f>
        <v>0</v>
      </c>
      <c r="AY36" s="20" cm="1">
        <f t="array" aca="1" ref="AY36" ca="1">SUM(INDIRECT(ADDRESS(expenses_min,COLUMN())&amp;":"&amp; ADDRESS(expenses_max,COLUMN())))</f>
        <v>0</v>
      </c>
      <c r="AZ36" s="20" cm="1">
        <f t="array" aca="1" ref="AZ36" ca="1">SUM(INDIRECT(ADDRESS(expenses_min,COLUMN())&amp;":"&amp; ADDRESS(expenses_max,COLUMN())))</f>
        <v>0</v>
      </c>
      <c r="BA36" s="20" cm="1">
        <f t="array" aca="1" ref="BA36" ca="1">SUM(INDIRECT(ADDRESS(expenses_min,COLUMN())&amp;":"&amp; ADDRESS(expenses_max,COLUMN())))</f>
        <v>0</v>
      </c>
      <c r="BB36" s="20" cm="1">
        <f t="array" aca="1" ref="BB36" ca="1">SUM(INDIRECT(ADDRESS(expenses_min,COLUMN())&amp;":"&amp; ADDRESS(expenses_max,COLUMN())))</f>
        <v>0</v>
      </c>
      <c r="BC36" s="20" cm="1">
        <f t="array" aca="1" ref="BC36" ca="1">SUM(INDIRECT(ADDRESS(expenses_min,COLUMN())&amp;":"&amp; ADDRESS(expenses_max,COLUMN())))</f>
        <v>0</v>
      </c>
      <c r="BD36" s="20" cm="1">
        <f t="array" aca="1" ref="BD36" ca="1">SUM(INDIRECT(ADDRESS(expenses_min,COLUMN())&amp;":"&amp; ADDRESS(expenses_max,COLUMN())))</f>
        <v>0</v>
      </c>
      <c r="BE36" s="20" cm="1">
        <f t="array" aca="1" ref="BE36" ca="1">SUM(INDIRECT(ADDRESS(expenses_min,COLUMN())&amp;":"&amp; ADDRESS(expenses_max,COLUMN())))</f>
        <v>0</v>
      </c>
      <c r="BF36" s="20" cm="1">
        <f t="array" aca="1" ref="BF36" ca="1">SUM(INDIRECT(ADDRESS(expenses_min,COLUMN())&amp;":"&amp; ADDRESS(expenses_max,COLUMN())))</f>
        <v>0</v>
      </c>
      <c r="BG36" s="22" cm="1">
        <f t="array" aca="1" ref="BG36" ca="1">SUM(INDIRECT(ADDRESS(expenses_min,COLUMN())&amp;":"&amp; ADDRESS(expenses_max,COLUMN())))</f>
        <v>0</v>
      </c>
    </row>
    <row r="39" spans="3:59" ht="15.6" x14ac:dyDescent="0.3">
      <c r="C39" s="13" t="s">
        <v>10</v>
      </c>
      <c r="E39" s="18">
        <f>DATE(E$5,1,1)</f>
        <v>45292</v>
      </c>
      <c r="F39" s="18">
        <f>DATE(E$5,2,1)</f>
        <v>45323</v>
      </c>
      <c r="G39" s="18">
        <f>DATE(E$5,3,1)</f>
        <v>45352</v>
      </c>
      <c r="H39" s="18">
        <f>DATE(E$5,4,1)</f>
        <v>45383</v>
      </c>
      <c r="I39" s="18">
        <f>DATE(E$5,5,1)</f>
        <v>45413</v>
      </c>
      <c r="J39" s="18">
        <f>DATE(E$5,6,1)</f>
        <v>45444</v>
      </c>
      <c r="K39" s="18">
        <f>DATE(E$5,7,1)</f>
        <v>45474</v>
      </c>
      <c r="L39" s="18">
        <f>DATE(E$5,8,1)</f>
        <v>45505</v>
      </c>
      <c r="M39" s="18">
        <f>DATE(E$5,9,1)</f>
        <v>45536</v>
      </c>
      <c r="N39" s="18">
        <f>DATE(E$5,10,1)</f>
        <v>45566</v>
      </c>
      <c r="O39" s="18">
        <f>DATE(E$5,11,1)</f>
        <v>45597</v>
      </c>
      <c r="P39" s="18">
        <f>DATE(E$5,12,1)</f>
        <v>45627</v>
      </c>
      <c r="Q39" s="19">
        <f>E5</f>
        <v>2024</v>
      </c>
      <c r="S39" s="18">
        <f>DATE(S$5,1,1)</f>
        <v>45658</v>
      </c>
      <c r="T39" s="18">
        <f>DATE(S$5,2,1)</f>
        <v>45689</v>
      </c>
      <c r="U39" s="18">
        <f>DATE(S$5,3,1)</f>
        <v>45717</v>
      </c>
      <c r="V39" s="18">
        <f>DATE(S$5,4,1)</f>
        <v>45748</v>
      </c>
      <c r="W39" s="18">
        <f>DATE(S$5,5,1)</f>
        <v>45778</v>
      </c>
      <c r="X39" s="18">
        <f>DATE(S$5,6,1)</f>
        <v>45809</v>
      </c>
      <c r="Y39" s="18">
        <f>DATE(S$5,7,1)</f>
        <v>45839</v>
      </c>
      <c r="Z39" s="18">
        <f>DATE(S$5,8,1)</f>
        <v>45870</v>
      </c>
      <c r="AA39" s="18">
        <f>DATE(S$5,9,1)</f>
        <v>45901</v>
      </c>
      <c r="AB39" s="18">
        <f>DATE(S$5,10,1)</f>
        <v>45931</v>
      </c>
      <c r="AC39" s="18">
        <f>DATE(S$5,11,1)</f>
        <v>45962</v>
      </c>
      <c r="AD39" s="18">
        <f>DATE(S$5,12,1)</f>
        <v>45992</v>
      </c>
      <c r="AE39" s="19">
        <f>S5</f>
        <v>2025</v>
      </c>
      <c r="AG39" s="18">
        <f t="shared" ref="AG39" si="92">DATE(AG$5,1,1)</f>
        <v>46023</v>
      </c>
      <c r="AH39" s="18">
        <f t="shared" ref="AH39" si="93">DATE(AG$5,2,1)</f>
        <v>46054</v>
      </c>
      <c r="AI39" s="18">
        <f t="shared" ref="AI39" si="94">DATE(AG$5,3,1)</f>
        <v>46082</v>
      </c>
      <c r="AJ39" s="18">
        <f t="shared" ref="AJ39" si="95">DATE(AG$5,4,1)</f>
        <v>46113</v>
      </c>
      <c r="AK39" s="18">
        <f t="shared" ref="AK39" si="96">DATE(AG$5,5,1)</f>
        <v>46143</v>
      </c>
      <c r="AL39" s="18">
        <f t="shared" ref="AL39" si="97">DATE(AG$5,6,1)</f>
        <v>46174</v>
      </c>
      <c r="AM39" s="18">
        <f t="shared" ref="AM39" si="98">DATE(AG$5,7,1)</f>
        <v>46204</v>
      </c>
      <c r="AN39" s="18">
        <f t="shared" ref="AN39" si="99">DATE(AG$5,8,1)</f>
        <v>46235</v>
      </c>
      <c r="AO39" s="18">
        <f t="shared" ref="AO39" si="100">DATE(AG$5,9,1)</f>
        <v>46266</v>
      </c>
      <c r="AP39" s="18">
        <f t="shared" ref="AP39" si="101">DATE(AG$5,10,1)</f>
        <v>46296</v>
      </c>
      <c r="AQ39" s="18">
        <f t="shared" ref="AQ39" si="102">DATE(AG$5,11,1)</f>
        <v>46327</v>
      </c>
      <c r="AR39" s="18">
        <f t="shared" ref="AR39" si="103">DATE(AG$5,12,1)</f>
        <v>46357</v>
      </c>
      <c r="AS39" s="19">
        <f t="shared" ref="AS39" si="104">AG5</f>
        <v>2026</v>
      </c>
      <c r="AU39" s="18">
        <f t="shared" ref="AU39" si="105">DATE(AU$5,1,1)</f>
        <v>46388</v>
      </c>
      <c r="AV39" s="18">
        <f t="shared" ref="AV39" si="106">DATE(AU$5,2,1)</f>
        <v>46419</v>
      </c>
      <c r="AW39" s="18">
        <f t="shared" ref="AW39" si="107">DATE(AU$5,3,1)</f>
        <v>46447</v>
      </c>
      <c r="AX39" s="18">
        <f t="shared" ref="AX39" si="108">DATE(AU$5,4,1)</f>
        <v>46478</v>
      </c>
      <c r="AY39" s="18">
        <f t="shared" ref="AY39" si="109">DATE(AU$5,5,1)</f>
        <v>46508</v>
      </c>
      <c r="AZ39" s="18">
        <f t="shared" ref="AZ39" si="110">DATE(AU$5,6,1)</f>
        <v>46539</v>
      </c>
      <c r="BA39" s="18">
        <f t="shared" ref="BA39" si="111">DATE(AU$5,7,1)</f>
        <v>46569</v>
      </c>
      <c r="BB39" s="18">
        <f t="shared" ref="BB39" si="112">DATE(AU$5,8,1)</f>
        <v>46600</v>
      </c>
      <c r="BC39" s="18">
        <f t="shared" ref="BC39" si="113">DATE(AU$5,9,1)</f>
        <v>46631</v>
      </c>
      <c r="BD39" s="18">
        <f t="shared" ref="BD39" si="114">DATE(AU$5,10,1)</f>
        <v>46661</v>
      </c>
      <c r="BE39" s="18">
        <f t="shared" ref="BE39" si="115">DATE(AU$5,11,1)</f>
        <v>46692</v>
      </c>
      <c r="BF39" s="18">
        <f t="shared" ref="BF39" si="116">DATE(AU$5,12,1)</f>
        <v>46722</v>
      </c>
      <c r="BG39" s="19">
        <f t="shared" ref="BG39" si="117">AU5</f>
        <v>2027</v>
      </c>
    </row>
    <row r="40" spans="3:59" ht="15.6" x14ac:dyDescent="0.3">
      <c r="C40" s="9" t="s">
        <v>59</v>
      </c>
      <c r="E40" s="92">
        <v>1000</v>
      </c>
      <c r="F40" s="92">
        <v>1000</v>
      </c>
      <c r="G40" s="92">
        <v>1000</v>
      </c>
      <c r="H40" s="92">
        <v>0</v>
      </c>
      <c r="I40" s="92">
        <v>0</v>
      </c>
      <c r="J40" s="92">
        <v>0</v>
      </c>
      <c r="K40" s="92">
        <v>0</v>
      </c>
      <c r="L40" s="92">
        <v>0</v>
      </c>
      <c r="M40" s="92">
        <v>0</v>
      </c>
      <c r="N40" s="92">
        <v>0</v>
      </c>
      <c r="O40" s="92">
        <v>0</v>
      </c>
      <c r="P40" s="92">
        <v>0</v>
      </c>
      <c r="Q40" s="93">
        <f>SUM(E40:P40)</f>
        <v>3000</v>
      </c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1">
        <f>SUM(S40:AD40)</f>
        <v>0</v>
      </c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1">
        <f t="shared" ref="AS40:AS50" si="118">SUM(AG40:AR40)</f>
        <v>0</v>
      </c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1">
        <f t="shared" ref="BG40:BG50" si="119">SUM(AU40:BF40)</f>
        <v>0</v>
      </c>
    </row>
    <row r="41" spans="3:59" ht="15.6" x14ac:dyDescent="0.3">
      <c r="C41" s="9" t="s">
        <v>60</v>
      </c>
      <c r="E41" s="92">
        <v>400</v>
      </c>
      <c r="F41" s="92">
        <v>400</v>
      </c>
      <c r="G41" s="92">
        <v>400</v>
      </c>
      <c r="H41" s="92">
        <v>400</v>
      </c>
      <c r="I41" s="92">
        <v>400</v>
      </c>
      <c r="J41" s="92">
        <v>400</v>
      </c>
      <c r="K41" s="92">
        <v>400</v>
      </c>
      <c r="L41" s="92">
        <v>400</v>
      </c>
      <c r="M41" s="92">
        <v>400</v>
      </c>
      <c r="N41" s="92">
        <v>400</v>
      </c>
      <c r="O41" s="92">
        <v>400</v>
      </c>
      <c r="P41" s="92">
        <v>400</v>
      </c>
      <c r="Q41" s="93">
        <f t="shared" ref="Q41:Q50" si="120">SUM(E41:P41)</f>
        <v>4800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1">
        <f t="shared" ref="AE41:AE50" si="121">SUM(S41:AD41)</f>
        <v>0</v>
      </c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1">
        <f t="shared" si="118"/>
        <v>0</v>
      </c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1">
        <f t="shared" si="119"/>
        <v>0</v>
      </c>
    </row>
    <row r="42" spans="3:59" ht="15.6" x14ac:dyDescent="0.3">
      <c r="C42" s="9" t="s">
        <v>61</v>
      </c>
      <c r="E42" s="92">
        <v>150</v>
      </c>
      <c r="F42" s="92">
        <v>150</v>
      </c>
      <c r="G42" s="92">
        <v>150</v>
      </c>
      <c r="H42" s="92">
        <v>750</v>
      </c>
      <c r="I42" s="92">
        <v>750</v>
      </c>
      <c r="J42" s="92">
        <v>750</v>
      </c>
      <c r="K42" s="92">
        <v>750</v>
      </c>
      <c r="L42" s="92">
        <v>750</v>
      </c>
      <c r="M42" s="92">
        <v>750</v>
      </c>
      <c r="N42" s="92">
        <v>750</v>
      </c>
      <c r="O42" s="92">
        <v>750</v>
      </c>
      <c r="P42" s="92">
        <v>750</v>
      </c>
      <c r="Q42" s="93">
        <f t="shared" si="120"/>
        <v>7200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1">
        <f t="shared" si="121"/>
        <v>0</v>
      </c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1">
        <f t="shared" si="118"/>
        <v>0</v>
      </c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1">
        <f t="shared" si="119"/>
        <v>0</v>
      </c>
    </row>
    <row r="43" spans="3:59" ht="15.6" x14ac:dyDescent="0.3">
      <c r="C43" s="9" t="s">
        <v>62</v>
      </c>
      <c r="E43" s="92">
        <v>0</v>
      </c>
      <c r="F43" s="92">
        <v>0</v>
      </c>
      <c r="G43" s="92">
        <v>0</v>
      </c>
      <c r="H43" s="92">
        <v>600</v>
      </c>
      <c r="I43" s="92">
        <v>1400</v>
      </c>
      <c r="J43" s="92">
        <v>1300</v>
      </c>
      <c r="K43" s="92">
        <v>1500</v>
      </c>
      <c r="L43" s="92">
        <v>200</v>
      </c>
      <c r="M43" s="92">
        <v>1300</v>
      </c>
      <c r="N43" s="92">
        <v>1500</v>
      </c>
      <c r="O43" s="92">
        <v>1400</v>
      </c>
      <c r="P43" s="92">
        <v>1000</v>
      </c>
      <c r="Q43" s="93">
        <f t="shared" si="120"/>
        <v>10200</v>
      </c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1">
        <f t="shared" si="121"/>
        <v>0</v>
      </c>
      <c r="AF43" s="100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1">
        <f t="shared" si="118"/>
        <v>0</v>
      </c>
      <c r="AT43" s="100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1">
        <f t="shared" si="119"/>
        <v>0</v>
      </c>
    </row>
    <row r="44" spans="3:59" ht="15.6" x14ac:dyDescent="0.3">
      <c r="C44" s="9" t="s">
        <v>63</v>
      </c>
      <c r="E44" s="92">
        <v>200</v>
      </c>
      <c r="F44" s="92">
        <v>100</v>
      </c>
      <c r="G44" s="92">
        <v>0</v>
      </c>
      <c r="H44" s="92">
        <v>100</v>
      </c>
      <c r="I44" s="92">
        <v>100</v>
      </c>
      <c r="J44" s="92">
        <v>100</v>
      </c>
      <c r="K44" s="92">
        <v>100</v>
      </c>
      <c r="L44" s="92">
        <v>100</v>
      </c>
      <c r="M44" s="92">
        <v>100</v>
      </c>
      <c r="N44" s="92">
        <v>100</v>
      </c>
      <c r="O44" s="92">
        <v>100</v>
      </c>
      <c r="P44" s="92">
        <v>100</v>
      </c>
      <c r="Q44" s="93">
        <f t="shared" si="120"/>
        <v>1200</v>
      </c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1">
        <f t="shared" si="121"/>
        <v>0</v>
      </c>
      <c r="AF44" s="100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1">
        <f t="shared" si="118"/>
        <v>0</v>
      </c>
      <c r="AT44" s="100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1">
        <f t="shared" si="119"/>
        <v>0</v>
      </c>
    </row>
    <row r="45" spans="3:59" ht="15.6" hidden="1" x14ac:dyDescent="0.3">
      <c r="C45" s="9" t="s">
        <v>11</v>
      </c>
      <c r="E45" s="24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3">
        <f t="shared" si="120"/>
        <v>0</v>
      </c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5">
        <f t="shared" si="121"/>
        <v>0</v>
      </c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5">
        <f t="shared" si="118"/>
        <v>0</v>
      </c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5">
        <f t="shared" si="119"/>
        <v>0</v>
      </c>
    </row>
    <row r="46" spans="3:59" ht="15.6" hidden="1" x14ac:dyDescent="0.3">
      <c r="C46" s="9" t="s">
        <v>11</v>
      </c>
      <c r="E46" s="24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3">
        <f t="shared" si="120"/>
        <v>0</v>
      </c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5">
        <f t="shared" si="121"/>
        <v>0</v>
      </c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5">
        <f t="shared" si="118"/>
        <v>0</v>
      </c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5">
        <f t="shared" si="119"/>
        <v>0</v>
      </c>
    </row>
    <row r="47" spans="3:59" ht="15.6" hidden="1" x14ac:dyDescent="0.3">
      <c r="C47" s="9" t="s">
        <v>11</v>
      </c>
      <c r="E47" s="24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3">
        <f t="shared" si="120"/>
        <v>0</v>
      </c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>
        <f t="shared" si="121"/>
        <v>0</v>
      </c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5">
        <f t="shared" si="118"/>
        <v>0</v>
      </c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5">
        <f t="shared" si="119"/>
        <v>0</v>
      </c>
    </row>
    <row r="48" spans="3:59" ht="15.6" hidden="1" x14ac:dyDescent="0.3">
      <c r="C48" s="9" t="s">
        <v>11</v>
      </c>
      <c r="E48" s="24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3">
        <f t="shared" si="120"/>
        <v>0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5">
        <f t="shared" si="121"/>
        <v>0</v>
      </c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5">
        <f t="shared" si="118"/>
        <v>0</v>
      </c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5">
        <f t="shared" si="119"/>
        <v>0</v>
      </c>
    </row>
    <row r="49" spans="3:59" ht="15.6" hidden="1" x14ac:dyDescent="0.3">
      <c r="C49" s="9" t="s">
        <v>11</v>
      </c>
      <c r="E49" s="24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3">
        <f t="shared" si="120"/>
        <v>0</v>
      </c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5">
        <f t="shared" si="121"/>
        <v>0</v>
      </c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5">
        <f t="shared" si="118"/>
        <v>0</v>
      </c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5">
        <f t="shared" si="119"/>
        <v>0</v>
      </c>
    </row>
    <row r="50" spans="3:59" ht="15.6" hidden="1" x14ac:dyDescent="0.3">
      <c r="C50" s="9" t="s">
        <v>11</v>
      </c>
      <c r="E50" s="24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3">
        <f t="shared" si="120"/>
        <v>0</v>
      </c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5">
        <f t="shared" si="121"/>
        <v>0</v>
      </c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5">
        <f t="shared" si="118"/>
        <v>0</v>
      </c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5">
        <f t="shared" si="119"/>
        <v>0</v>
      </c>
    </row>
    <row r="51" spans="3:59" ht="15.6" x14ac:dyDescent="0.3">
      <c r="C51" s="10" t="s">
        <v>6</v>
      </c>
      <c r="E51" s="20" cm="1">
        <f t="array" aca="1" ref="E51" ca="1">SUM(INDIRECT(ADDRESS(savings_min,COLUMN())&amp;":"&amp; ADDRESS(savings_max,COLUMN())))</f>
        <v>1750</v>
      </c>
      <c r="F51" s="94" cm="1">
        <f t="array" aca="1" ref="F51" ca="1">SUM(INDIRECT(ADDRESS(savings_min,COLUMN())&amp;":"&amp; ADDRESS(savings_max,COLUMN())))</f>
        <v>1650</v>
      </c>
      <c r="G51" s="94" cm="1">
        <f t="array" aca="1" ref="G51" ca="1">SUM(INDIRECT(ADDRESS(savings_min,COLUMN())&amp;":"&amp; ADDRESS(savings_max,COLUMN())))</f>
        <v>1550</v>
      </c>
      <c r="H51" s="94" cm="1">
        <f t="array" aca="1" ref="H51" ca="1">SUM(INDIRECT(ADDRESS(savings_min,COLUMN())&amp;":"&amp; ADDRESS(savings_max,COLUMN())))</f>
        <v>1850</v>
      </c>
      <c r="I51" s="94" cm="1">
        <f t="array" aca="1" ref="I51" ca="1">SUM(INDIRECT(ADDRESS(savings_min,COLUMN())&amp;":"&amp; ADDRESS(savings_max,COLUMN())))</f>
        <v>2650</v>
      </c>
      <c r="J51" s="94" cm="1">
        <f t="array" aca="1" ref="J51" ca="1">SUM(INDIRECT(ADDRESS(savings_min,COLUMN())&amp;":"&amp; ADDRESS(savings_max,COLUMN())))</f>
        <v>2550</v>
      </c>
      <c r="K51" s="94" cm="1">
        <f t="array" aca="1" ref="K51" ca="1">SUM(INDIRECT(ADDRESS(savings_min,COLUMN())&amp;":"&amp; ADDRESS(savings_max,COLUMN())))</f>
        <v>2750</v>
      </c>
      <c r="L51" s="94" cm="1">
        <f t="array" aca="1" ref="L51" ca="1">SUM(INDIRECT(ADDRESS(savings_min,COLUMN())&amp;":"&amp; ADDRESS(savings_max,COLUMN())))</f>
        <v>1450</v>
      </c>
      <c r="M51" s="94" cm="1">
        <f t="array" aca="1" ref="M51" ca="1">SUM(INDIRECT(ADDRESS(savings_min,COLUMN())&amp;":"&amp; ADDRESS(savings_max,COLUMN())))</f>
        <v>2550</v>
      </c>
      <c r="N51" s="94" cm="1">
        <f t="array" aca="1" ref="N51" ca="1">SUM(INDIRECT(ADDRESS(savings_min,COLUMN())&amp;":"&amp; ADDRESS(savings_max,COLUMN())))</f>
        <v>2750</v>
      </c>
      <c r="O51" s="94" cm="1">
        <f t="array" aca="1" ref="O51" ca="1">SUM(INDIRECT(ADDRESS(savings_min,COLUMN())&amp;":"&amp; ADDRESS(savings_max,COLUMN())))</f>
        <v>2650</v>
      </c>
      <c r="P51" s="94" cm="1">
        <f t="array" aca="1" ref="P51" ca="1">SUM(INDIRECT(ADDRESS(savings_min,COLUMN())&amp;":"&amp; ADDRESS(savings_max,COLUMN())))</f>
        <v>2250</v>
      </c>
      <c r="Q51" s="94" cm="1">
        <f t="array" aca="1" ref="Q51" ca="1">SUM(INDIRECT(ADDRESS(savings_min,COLUMN())&amp;":"&amp; ADDRESS(savings_max,COLUMN())))</f>
        <v>26400</v>
      </c>
      <c r="S51" s="20" cm="1">
        <f t="array" aca="1" ref="S51" ca="1">SUM(INDIRECT(ADDRESS(savings_min,COLUMN())&amp;":"&amp; ADDRESS(savings_max,COLUMN())))</f>
        <v>0</v>
      </c>
      <c r="T51" s="20" cm="1">
        <f t="array" aca="1" ref="T51" ca="1">SUM(INDIRECT(ADDRESS(savings_min,COLUMN())&amp;":"&amp; ADDRESS(savings_max,COLUMN())))</f>
        <v>0</v>
      </c>
      <c r="U51" s="20" cm="1">
        <f t="array" aca="1" ref="U51" ca="1">SUM(INDIRECT(ADDRESS(savings_min,COLUMN())&amp;":"&amp; ADDRESS(savings_max,COLUMN())))</f>
        <v>0</v>
      </c>
      <c r="V51" s="20" cm="1">
        <f t="array" aca="1" ref="V51" ca="1">SUM(INDIRECT(ADDRESS(savings_min,COLUMN())&amp;":"&amp; ADDRESS(savings_max,COLUMN())))</f>
        <v>0</v>
      </c>
      <c r="W51" s="20" cm="1">
        <f t="array" aca="1" ref="W51" ca="1">SUM(INDIRECT(ADDRESS(savings_min,COLUMN())&amp;":"&amp; ADDRESS(savings_max,COLUMN())))</f>
        <v>0</v>
      </c>
      <c r="X51" s="20" cm="1">
        <f t="array" aca="1" ref="X51" ca="1">SUM(INDIRECT(ADDRESS(savings_min,COLUMN())&amp;":"&amp; ADDRESS(savings_max,COLUMN())))</f>
        <v>0</v>
      </c>
      <c r="Y51" s="20" cm="1">
        <f t="array" aca="1" ref="Y51" ca="1">SUM(INDIRECT(ADDRESS(savings_min,COLUMN())&amp;":"&amp; ADDRESS(savings_max,COLUMN())))</f>
        <v>0</v>
      </c>
      <c r="Z51" s="20" cm="1">
        <f t="array" aca="1" ref="Z51" ca="1">SUM(INDIRECT(ADDRESS(savings_min,COLUMN())&amp;":"&amp; ADDRESS(savings_max,COLUMN())))</f>
        <v>0</v>
      </c>
      <c r="AA51" s="20" cm="1">
        <f t="array" aca="1" ref="AA51" ca="1">SUM(INDIRECT(ADDRESS(savings_min,COLUMN())&amp;":"&amp; ADDRESS(savings_max,COLUMN())))</f>
        <v>0</v>
      </c>
      <c r="AB51" s="20" cm="1">
        <f t="array" aca="1" ref="AB51" ca="1">SUM(INDIRECT(ADDRESS(savings_min,COLUMN())&amp;":"&amp; ADDRESS(savings_max,COLUMN())))</f>
        <v>0</v>
      </c>
      <c r="AC51" s="20" cm="1">
        <f t="array" aca="1" ref="AC51" ca="1">SUM(INDIRECT(ADDRESS(savings_min,COLUMN())&amp;":"&amp; ADDRESS(savings_max,COLUMN())))</f>
        <v>0</v>
      </c>
      <c r="AD51" s="20" cm="1">
        <f t="array" aca="1" ref="AD51" ca="1">SUM(INDIRECT(ADDRESS(savings_min,COLUMN())&amp;":"&amp; ADDRESS(savings_max,COLUMN())))</f>
        <v>0</v>
      </c>
      <c r="AE51" s="20" cm="1">
        <f t="array" aca="1" ref="AE51" ca="1">SUM(INDIRECT(ADDRESS(savings_min,COLUMN())&amp;":"&amp; ADDRESS(savings_max,COLUMN())))</f>
        <v>0</v>
      </c>
      <c r="AG51" s="20" cm="1">
        <f t="array" aca="1" ref="AG51" ca="1">SUM(INDIRECT(ADDRESS(savings_min,COLUMN())&amp;":"&amp; ADDRESS(savings_max,COLUMN())))</f>
        <v>0</v>
      </c>
      <c r="AH51" s="20" cm="1">
        <f t="array" aca="1" ref="AH51" ca="1">SUM(INDIRECT(ADDRESS(savings_min,COLUMN())&amp;":"&amp; ADDRESS(savings_max,COLUMN())))</f>
        <v>0</v>
      </c>
      <c r="AI51" s="20" cm="1">
        <f t="array" aca="1" ref="AI51" ca="1">SUM(INDIRECT(ADDRESS(savings_min,COLUMN())&amp;":"&amp; ADDRESS(savings_max,COLUMN())))</f>
        <v>0</v>
      </c>
      <c r="AJ51" s="20" cm="1">
        <f t="array" aca="1" ref="AJ51" ca="1">SUM(INDIRECT(ADDRESS(savings_min,COLUMN())&amp;":"&amp; ADDRESS(savings_max,COLUMN())))</f>
        <v>0</v>
      </c>
      <c r="AK51" s="20" cm="1">
        <f t="array" aca="1" ref="AK51" ca="1">SUM(INDIRECT(ADDRESS(savings_min,COLUMN())&amp;":"&amp; ADDRESS(savings_max,COLUMN())))</f>
        <v>0</v>
      </c>
      <c r="AL51" s="20" cm="1">
        <f t="array" aca="1" ref="AL51" ca="1">SUM(INDIRECT(ADDRESS(savings_min,COLUMN())&amp;":"&amp; ADDRESS(savings_max,COLUMN())))</f>
        <v>0</v>
      </c>
      <c r="AM51" s="20" cm="1">
        <f t="array" aca="1" ref="AM51" ca="1">SUM(INDIRECT(ADDRESS(savings_min,COLUMN())&amp;":"&amp; ADDRESS(savings_max,COLUMN())))</f>
        <v>0</v>
      </c>
      <c r="AN51" s="20" cm="1">
        <f t="array" aca="1" ref="AN51" ca="1">SUM(INDIRECT(ADDRESS(savings_min,COLUMN())&amp;":"&amp; ADDRESS(savings_max,COLUMN())))</f>
        <v>0</v>
      </c>
      <c r="AO51" s="20" cm="1">
        <f t="array" aca="1" ref="AO51" ca="1">SUM(INDIRECT(ADDRESS(savings_min,COLUMN())&amp;":"&amp; ADDRESS(savings_max,COLUMN())))</f>
        <v>0</v>
      </c>
      <c r="AP51" s="20" cm="1">
        <f t="array" aca="1" ref="AP51" ca="1">SUM(INDIRECT(ADDRESS(savings_min,COLUMN())&amp;":"&amp; ADDRESS(savings_max,COLUMN())))</f>
        <v>0</v>
      </c>
      <c r="AQ51" s="20" cm="1">
        <f t="array" aca="1" ref="AQ51" ca="1">SUM(INDIRECT(ADDRESS(savings_min,COLUMN())&amp;":"&amp; ADDRESS(savings_max,COLUMN())))</f>
        <v>0</v>
      </c>
      <c r="AR51" s="20" cm="1">
        <f t="array" aca="1" ref="AR51" ca="1">SUM(INDIRECT(ADDRESS(savings_min,COLUMN())&amp;":"&amp; ADDRESS(savings_max,COLUMN())))</f>
        <v>0</v>
      </c>
      <c r="AS51" s="20" cm="1">
        <f t="array" aca="1" ref="AS51" ca="1">SUM(INDIRECT(ADDRESS(savings_min,COLUMN())&amp;":"&amp; ADDRESS(savings_max,COLUMN())))</f>
        <v>0</v>
      </c>
      <c r="AU51" s="20" cm="1">
        <f t="array" aca="1" ref="AU51" ca="1">SUM(INDIRECT(ADDRESS(savings_min,COLUMN())&amp;":"&amp; ADDRESS(savings_max,COLUMN())))</f>
        <v>0</v>
      </c>
      <c r="AV51" s="20" cm="1">
        <f t="array" aca="1" ref="AV51" ca="1">SUM(INDIRECT(ADDRESS(savings_min,COLUMN())&amp;":"&amp; ADDRESS(savings_max,COLUMN())))</f>
        <v>0</v>
      </c>
      <c r="AW51" s="20" cm="1">
        <f t="array" aca="1" ref="AW51" ca="1">SUM(INDIRECT(ADDRESS(savings_min,COLUMN())&amp;":"&amp; ADDRESS(savings_max,COLUMN())))</f>
        <v>0</v>
      </c>
      <c r="AX51" s="20" cm="1">
        <f t="array" aca="1" ref="AX51" ca="1">SUM(INDIRECT(ADDRESS(savings_min,COLUMN())&amp;":"&amp; ADDRESS(savings_max,COLUMN())))</f>
        <v>0</v>
      </c>
      <c r="AY51" s="20" cm="1">
        <f t="array" aca="1" ref="AY51" ca="1">SUM(INDIRECT(ADDRESS(savings_min,COLUMN())&amp;":"&amp; ADDRESS(savings_max,COLUMN())))</f>
        <v>0</v>
      </c>
      <c r="AZ51" s="20" cm="1">
        <f t="array" aca="1" ref="AZ51" ca="1">SUM(INDIRECT(ADDRESS(savings_min,COLUMN())&amp;":"&amp; ADDRESS(savings_max,COLUMN())))</f>
        <v>0</v>
      </c>
      <c r="BA51" s="20" cm="1">
        <f t="array" aca="1" ref="BA51" ca="1">SUM(INDIRECT(ADDRESS(savings_min,COLUMN())&amp;":"&amp; ADDRESS(savings_max,COLUMN())))</f>
        <v>0</v>
      </c>
      <c r="BB51" s="20" cm="1">
        <f t="array" aca="1" ref="BB51" ca="1">SUM(INDIRECT(ADDRESS(savings_min,COLUMN())&amp;":"&amp; ADDRESS(savings_max,COLUMN())))</f>
        <v>0</v>
      </c>
      <c r="BC51" s="20" cm="1">
        <f t="array" aca="1" ref="BC51" ca="1">SUM(INDIRECT(ADDRESS(savings_min,COLUMN())&amp;":"&amp; ADDRESS(savings_max,COLUMN())))</f>
        <v>0</v>
      </c>
      <c r="BD51" s="20" cm="1">
        <f t="array" aca="1" ref="BD51" ca="1">SUM(INDIRECT(ADDRESS(savings_min,COLUMN())&amp;":"&amp; ADDRESS(savings_max,COLUMN())))</f>
        <v>0</v>
      </c>
      <c r="BE51" s="20" cm="1">
        <f t="array" aca="1" ref="BE51" ca="1">SUM(INDIRECT(ADDRESS(savings_min,COLUMN())&amp;":"&amp; ADDRESS(savings_max,COLUMN())))</f>
        <v>0</v>
      </c>
      <c r="BF51" s="20" cm="1">
        <f t="array" aca="1" ref="BF51" ca="1">SUM(INDIRECT(ADDRESS(savings_min,COLUMN())&amp;":"&amp; ADDRESS(savings_max,COLUMN())))</f>
        <v>0</v>
      </c>
      <c r="BG51" s="20" cm="1">
        <f t="array" aca="1" ref="BG51" ca="1">SUM(INDIRECT(ADDRESS(savings_min,COLUMN())&amp;":"&amp; ADDRESS(savings_max,COLUMN())))</f>
        <v>0</v>
      </c>
    </row>
  </sheetData>
  <mergeCells count="4">
    <mergeCell ref="E5:Q5"/>
    <mergeCell ref="S5:AE5"/>
    <mergeCell ref="AG5:AS5"/>
    <mergeCell ref="AU5:BG5"/>
  </mergeCells>
  <conditionalFormatting sqref="S10:AE20 AG10:AS20 AU10:BG20 C10:C20 E10:Q20">
    <cfRule type="expression" dxfId="60" priority="14">
      <formula>ROW(A10)&lt;=income_max</formula>
    </cfRule>
  </conditionalFormatting>
  <conditionalFormatting sqref="C25:C35 S25:AE35 AG25:AS35 AU25:BG35 E25:Q35">
    <cfRule type="expression" dxfId="59" priority="13">
      <formula>ROW(A25)&lt;=expenses_max</formula>
    </cfRule>
  </conditionalFormatting>
  <conditionalFormatting sqref="C40:C50 S40:AE50 AG40:AS50 AU40:BG50 E40:Q50">
    <cfRule type="expression" dxfId="58" priority="12">
      <formula>ROW(A40)&lt;=savings_max</formula>
    </cfRule>
  </conditionalFormatting>
  <conditionalFormatting sqref="E6:Q7 S6:AE7 AG6:AS7 AU6:BG7">
    <cfRule type="expression" dxfId="57" priority="1" stopIfTrue="1">
      <formula>AND(E$21=0,E$36=0,E$51=0)</formula>
    </cfRule>
    <cfRule type="expression" dxfId="56" priority="2" stopIfTrue="1">
      <formula>E$7=0</formula>
    </cfRule>
    <cfRule type="expression" dxfId="55" priority="3">
      <formula>E$7&lt;0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58CA-6D09-4F15-BCDD-70FFA2A4267D}">
  <dimension ref="B1:K136"/>
  <sheetViews>
    <sheetView showGridLines="0" workbookViewId="0">
      <selection activeCell="B59" sqref="B59"/>
    </sheetView>
  </sheetViews>
  <sheetFormatPr defaultRowHeight="14.4" x14ac:dyDescent="0.3"/>
  <cols>
    <col min="2" max="3" width="21.44140625" customWidth="1"/>
    <col min="4" max="4" width="39.88671875" customWidth="1"/>
    <col min="5" max="5" width="21.44140625" customWidth="1"/>
    <col min="6" max="6" width="71.88671875" customWidth="1"/>
    <col min="7" max="7" width="19.5546875" customWidth="1"/>
    <col min="8" max="8" width="27.6640625" customWidth="1"/>
    <col min="9" max="9" width="0.88671875" customWidth="1"/>
    <col min="14" max="14" width="12.44140625" bestFit="1" customWidth="1"/>
  </cols>
  <sheetData>
    <row r="1" spans="2:11" s="31" customFormat="1" x14ac:dyDescent="0.3"/>
    <row r="2" spans="2:11" s="31" customFormat="1" ht="31.2" x14ac:dyDescent="0.6">
      <c r="B2" s="32"/>
      <c r="C2" s="32" t="s">
        <v>13</v>
      </c>
    </row>
    <row r="3" spans="2:11" s="31" customFormat="1" x14ac:dyDescent="0.3"/>
    <row r="15" spans="2:11" ht="18" x14ac:dyDescent="0.3">
      <c r="B15" s="33" t="s">
        <v>0</v>
      </c>
      <c r="C15" s="33" t="s">
        <v>14</v>
      </c>
      <c r="D15" s="33" t="s">
        <v>15</v>
      </c>
      <c r="E15" s="33" t="s">
        <v>50</v>
      </c>
      <c r="F15" s="33" t="s">
        <v>16</v>
      </c>
      <c r="G15" s="38" t="s">
        <v>18</v>
      </c>
      <c r="H15" s="74" t="s">
        <v>26</v>
      </c>
    </row>
    <row r="16" spans="2:11" x14ac:dyDescent="0.3">
      <c r="B16" s="52">
        <v>45325</v>
      </c>
      <c r="C16" s="36" t="s">
        <v>17</v>
      </c>
      <c r="D16" s="36" t="s">
        <v>65</v>
      </c>
      <c r="E16" s="37">
        <v>3500</v>
      </c>
      <c r="F16" s="35"/>
      <c r="G16" s="106" cm="1">
        <f t="array" ref="G16">SUMPRODUCT(Tracking[Сума],--(Tracking[Дата]&lt;=Tracking[[#This Row],[Дата]]), (Tracking[Тип]&lt;&gt;"Дохід")*(-1) +(Tracking[Тип]="Дохід"))</f>
        <v>2450</v>
      </c>
      <c r="H16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45325</v>
      </c>
      <c r="K16" s="101"/>
    </row>
    <row r="17" spans="2:8" hidden="1" x14ac:dyDescent="0.3">
      <c r="B17" s="52">
        <v>44928</v>
      </c>
      <c r="C17" s="36" t="s">
        <v>7</v>
      </c>
      <c r="D17" s="36" t="s">
        <v>64</v>
      </c>
      <c r="E17" s="37">
        <v>300</v>
      </c>
      <c r="F17" s="35"/>
      <c r="G17" s="106" cm="1">
        <f t="array" ref="G17">SUMPRODUCT(Tracking[Сума],--(Tracking[Дата]&lt;=Tracking[[#This Row],[Дата]]), (Tracking[Тип]&lt;&gt;"Дохід")*(-1) +(Tracking[Тип]="Дохід"))</f>
        <v>-300</v>
      </c>
      <c r="H17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44928</v>
      </c>
    </row>
    <row r="18" spans="2:8" hidden="1" x14ac:dyDescent="0.3">
      <c r="B18" s="52">
        <v>44929</v>
      </c>
      <c r="C18" s="36" t="s">
        <v>7</v>
      </c>
      <c r="D18" s="36" t="s">
        <v>56</v>
      </c>
      <c r="E18" s="37">
        <v>150</v>
      </c>
      <c r="F18" s="35"/>
      <c r="G18" s="106" cm="1">
        <f t="array" ref="G18">SUMPRODUCT(Tracking[Сума],--(Tracking[Дата]&lt;=Tracking[[#This Row],[Дата]]), (Tracking[Тип]&lt;&gt;"Дохід")*(-1) +(Tracking[Тип]="Дохід"))</f>
        <v>-450</v>
      </c>
      <c r="H18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44929</v>
      </c>
    </row>
    <row r="19" spans="2:8" hidden="1" x14ac:dyDescent="0.3">
      <c r="B19" s="52">
        <v>44930</v>
      </c>
      <c r="C19" s="36" t="s">
        <v>10</v>
      </c>
      <c r="D19" s="36" t="s">
        <v>59</v>
      </c>
      <c r="E19" s="37">
        <v>1000</v>
      </c>
      <c r="F19" s="36"/>
      <c r="G19" s="106" cm="1">
        <f t="array" ref="G19">SUMPRODUCT(Tracking[Сума],--(Tracking[Дата]&lt;=Tracking[[#This Row],[Дата]]), (Tracking[Тип]&lt;&gt;"Дохід")*(-1) +(Tracking[Тип]="Дохід"))</f>
        <v>-1450</v>
      </c>
      <c r="H19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44930</v>
      </c>
    </row>
    <row r="20" spans="2:8" x14ac:dyDescent="0.3">
      <c r="B20" s="52">
        <v>45327</v>
      </c>
      <c r="C20" s="36" t="s">
        <v>17</v>
      </c>
      <c r="D20" s="36" t="s">
        <v>66</v>
      </c>
      <c r="E20" s="37">
        <v>1000</v>
      </c>
      <c r="F20" s="36"/>
      <c r="G20" s="106" cm="1">
        <f t="array" ref="G20">SUMPRODUCT(Tracking[Сума],--(Tracking[Дата]&lt;=Tracking[[#This Row],[Дата]]), (Tracking[Тип]&lt;&gt;"Дохід")*(-1) +(Tracking[Тип]="Дохід"))</f>
        <v>3450</v>
      </c>
      <c r="H20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45327</v>
      </c>
    </row>
    <row r="21" spans="2:8" x14ac:dyDescent="0.3">
      <c r="B21" s="52">
        <v>45329</v>
      </c>
      <c r="C21" s="36" t="s">
        <v>7</v>
      </c>
      <c r="D21" s="36" t="s">
        <v>55</v>
      </c>
      <c r="E21" s="37">
        <v>200</v>
      </c>
      <c r="F21" s="36"/>
      <c r="G21" s="106" cm="1">
        <f t="array" ref="G21">SUMPRODUCT(Tracking[Сума],--(Tracking[Дата]&lt;=Tracking[[#This Row],[Дата]]), (Tracking[Тип]&lt;&gt;"Дохід")*(-1) +(Tracking[Тип]="Дохід"))</f>
        <v>3250</v>
      </c>
      <c r="H21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45329</v>
      </c>
    </row>
    <row r="22" spans="2:8" x14ac:dyDescent="0.3">
      <c r="B22" s="52">
        <v>45330</v>
      </c>
      <c r="C22" s="36" t="s">
        <v>7</v>
      </c>
      <c r="D22" s="36" t="s">
        <v>53</v>
      </c>
      <c r="E22" s="37">
        <v>100</v>
      </c>
      <c r="F22" s="36"/>
      <c r="G22" s="106" cm="1">
        <f t="array" ref="G22">SUMPRODUCT(Tracking[Сума],--(Tracking[Дата]&lt;=Tracking[[#This Row],[Дата]]), (Tracking[Тип]&lt;&gt;"Дохід")*(-1) +(Tracking[Тип]="Дохід"))</f>
        <v>3150</v>
      </c>
      <c r="H22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45330</v>
      </c>
    </row>
    <row r="23" spans="2:8" x14ac:dyDescent="0.3">
      <c r="B23" s="52">
        <v>45331</v>
      </c>
      <c r="C23" s="36" t="s">
        <v>10</v>
      </c>
      <c r="D23" s="36" t="s">
        <v>63</v>
      </c>
      <c r="E23" s="37">
        <v>500</v>
      </c>
      <c r="F23" s="36"/>
      <c r="G23" s="106" cm="1">
        <f t="array" ref="G23">SUMPRODUCT(Tracking[Сума],--(Tracking[Дата]&lt;=Tracking[[#This Row],[Дата]]), (Tracking[Тип]&lt;&gt;"Дохід")*(-1) +(Tracking[Тип]="Дохід"))</f>
        <v>2650</v>
      </c>
      <c r="H23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45331</v>
      </c>
    </row>
    <row r="24" spans="2:8" hidden="1" x14ac:dyDescent="0.3">
      <c r="B24" s="52">
        <v>44931</v>
      </c>
      <c r="C24" s="36" t="s">
        <v>7</v>
      </c>
      <c r="D24" s="36" t="s">
        <v>53</v>
      </c>
      <c r="E24" s="37">
        <v>100</v>
      </c>
      <c r="F24" s="36"/>
      <c r="G24" s="106" cm="1">
        <f t="array" ref="G24">SUMPRODUCT(Tracking[Сума],--(Tracking[Дата]&lt;=Tracking[[#This Row],[Дата]]), (Tracking[Тип]&lt;&gt;"Дохід")*(-1) +(Tracking[Тип]="Дохід"))</f>
        <v>-1550</v>
      </c>
      <c r="H24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44931</v>
      </c>
    </row>
    <row r="25" spans="2:8" hidden="1" x14ac:dyDescent="0.3">
      <c r="B25" s="52">
        <v>44932</v>
      </c>
      <c r="C25" s="36" t="s">
        <v>17</v>
      </c>
      <c r="D25" s="36" t="s">
        <v>66</v>
      </c>
      <c r="E25" s="37">
        <v>300</v>
      </c>
      <c r="F25" s="36"/>
      <c r="G25" s="106" cm="1">
        <f t="array" ref="G25">SUMPRODUCT(Tracking[Сума],--(Tracking[Дата]&lt;=Tracking[[#This Row],[Дата]]), (Tracking[Тип]&lt;&gt;"Дохід")*(-1) +(Tracking[Тип]="Дохід"))</f>
        <v>-1250</v>
      </c>
      <c r="H25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44932</v>
      </c>
    </row>
    <row r="26" spans="2:8" hidden="1" x14ac:dyDescent="0.3">
      <c r="B26" s="52">
        <v>44933</v>
      </c>
      <c r="C26" s="36" t="s">
        <v>7</v>
      </c>
      <c r="D26" s="36" t="s">
        <v>57</v>
      </c>
      <c r="E26" s="37">
        <v>50</v>
      </c>
      <c r="F26" s="36"/>
      <c r="G26" s="106" cm="1">
        <f t="array" ref="G26">SUMPRODUCT(Tracking[Сума],--(Tracking[Дата]&lt;=Tracking[[#This Row],[Дата]]), (Tracking[Тип]&lt;&gt;"Дохід")*(-1) +(Tracking[Тип]="Дохід"))</f>
        <v>-1300</v>
      </c>
      <c r="H26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44933</v>
      </c>
    </row>
    <row r="27" spans="2:8" hidden="1" x14ac:dyDescent="0.3">
      <c r="B27" s="52">
        <v>44934</v>
      </c>
      <c r="C27" s="36" t="s">
        <v>7</v>
      </c>
      <c r="D27" s="36" t="s">
        <v>52</v>
      </c>
      <c r="E27" s="37">
        <v>100</v>
      </c>
      <c r="F27" s="36"/>
      <c r="G27" s="106" cm="1">
        <f t="array" ref="G27">SUMPRODUCT(Tracking[Сума],--(Tracking[Дата]&lt;=Tracking[[#This Row],[Дата]]), (Tracking[Тип]&lt;&gt;"Дохід")*(-1) +(Tracking[Тип]="Дохід"))</f>
        <v>-1400</v>
      </c>
      <c r="H27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44934</v>
      </c>
    </row>
    <row r="28" spans="2:8" hidden="1" x14ac:dyDescent="0.3">
      <c r="B28" s="52">
        <v>44935</v>
      </c>
      <c r="C28" s="36" t="s">
        <v>7</v>
      </c>
      <c r="D28" s="36" t="s">
        <v>56</v>
      </c>
      <c r="E28" s="37">
        <v>50</v>
      </c>
      <c r="F28" s="36"/>
      <c r="G28" s="106" cm="1">
        <f t="array" ref="G28">SUMPRODUCT(Tracking[Сума],--(Tracking[Дата]&lt;=Tracking[[#This Row],[Дата]]), (Tracking[Тип]&lt;&gt;"Дохід")*(-1) +(Tracking[Тип]="Дохід"))</f>
        <v>-1450</v>
      </c>
      <c r="H28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44935</v>
      </c>
    </row>
    <row r="29" spans="2:8" hidden="1" x14ac:dyDescent="0.3">
      <c r="B29" s="52">
        <v>44936</v>
      </c>
      <c r="C29" s="36" t="s">
        <v>17</v>
      </c>
      <c r="D29" s="36" t="s">
        <v>65</v>
      </c>
      <c r="E29" s="37">
        <v>3200</v>
      </c>
      <c r="F29" s="36"/>
      <c r="G29" s="106" cm="1">
        <f t="array" ref="G29">SUMPRODUCT(Tracking[Сума],--(Tracking[Дата]&lt;=Tracking[[#This Row],[Дата]]), (Tracking[Тип]&lt;&gt;"Дохід")*(-1) +(Tracking[Тип]="Дохід"))</f>
        <v>1750</v>
      </c>
      <c r="H29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44936</v>
      </c>
    </row>
    <row r="30" spans="2:8" hidden="1" x14ac:dyDescent="0.3">
      <c r="B30" s="52">
        <v>44937</v>
      </c>
      <c r="C30" s="36" t="s">
        <v>10</v>
      </c>
      <c r="D30" s="36" t="s">
        <v>61</v>
      </c>
      <c r="E30" s="37">
        <v>150</v>
      </c>
      <c r="F30" s="36"/>
      <c r="G30" s="106" cm="1">
        <f t="array" ref="G30">SUMPRODUCT(Tracking[Сума],--(Tracking[Дата]&lt;=Tracking[[#This Row],[Дата]]), (Tracking[Тип]&lt;&gt;"Дохід")*(-1) +(Tracking[Тип]="Дохід"))</f>
        <v>1600</v>
      </c>
      <c r="H30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44937</v>
      </c>
    </row>
    <row r="31" spans="2:8" hidden="1" x14ac:dyDescent="0.3">
      <c r="B31" s="52">
        <v>44938</v>
      </c>
      <c r="C31" s="36" t="s">
        <v>7</v>
      </c>
      <c r="D31" s="36" t="s">
        <v>58</v>
      </c>
      <c r="E31" s="37">
        <v>300</v>
      </c>
      <c r="F31" s="36"/>
      <c r="G31" s="106" cm="1">
        <f t="array" ref="G31">SUMPRODUCT(Tracking[Сума],--(Tracking[Дата]&lt;=Tracking[[#This Row],[Дата]]), (Tracking[Тип]&lt;&gt;"Дохід")*(-1) +(Tracking[Тип]="Дохід"))</f>
        <v>1300</v>
      </c>
      <c r="H31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44938</v>
      </c>
    </row>
    <row r="32" spans="2:8" hidden="1" x14ac:dyDescent="0.3">
      <c r="B32" s="52">
        <v>44939</v>
      </c>
      <c r="C32" s="36" t="s">
        <v>17</v>
      </c>
      <c r="D32" s="36" t="s">
        <v>67</v>
      </c>
      <c r="E32" s="37">
        <v>1150</v>
      </c>
      <c r="F32" s="36"/>
      <c r="G32" s="106" cm="1">
        <f t="array" ref="G32">SUMPRODUCT(Tracking[Сума],--(Tracking[Дата]&lt;=Tracking[[#This Row],[Дата]]), (Tracking[Тип]&lt;&gt;"Дохід")*(-1) +(Tracking[Тип]="Дохід"))</f>
        <v>2450</v>
      </c>
      <c r="H32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44939</v>
      </c>
    </row>
    <row r="33" spans="2:8" hidden="1" x14ac:dyDescent="0.3">
      <c r="B33" s="52">
        <v>44940</v>
      </c>
      <c r="C33" s="36" t="s">
        <v>10</v>
      </c>
      <c r="D33" s="36" t="s">
        <v>63</v>
      </c>
      <c r="E33" s="37">
        <v>150</v>
      </c>
      <c r="F33" s="36"/>
      <c r="G33" s="106" cm="1">
        <f t="array" ref="G33">SUMPRODUCT(Tracking[Сума],--(Tracking[Дата]&lt;=Tracking[[#This Row],[Дата]]), (Tracking[Тип]&lt;&gt;"Дохід")*(-1) +(Tracking[Тип]="Дохід"))</f>
        <v>2300</v>
      </c>
      <c r="H33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44940</v>
      </c>
    </row>
    <row r="34" spans="2:8" hidden="1" x14ac:dyDescent="0.3">
      <c r="B34" s="52">
        <v>44941</v>
      </c>
      <c r="C34" s="36" t="s">
        <v>10</v>
      </c>
      <c r="D34" s="36" t="s">
        <v>60</v>
      </c>
      <c r="E34" s="37">
        <v>320</v>
      </c>
      <c r="F34" s="36"/>
      <c r="G34" s="106" cm="1">
        <f t="array" ref="G34">SUMPRODUCT(Tracking[Сума],--(Tracking[Дата]&lt;=Tracking[[#This Row],[Дата]]), (Tracking[Тип]&lt;&gt;"Дохід")*(-1) +(Tracking[Тип]="Дохід"))</f>
        <v>1980</v>
      </c>
      <c r="H34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44941</v>
      </c>
    </row>
    <row r="35" spans="2:8" hidden="1" x14ac:dyDescent="0.3">
      <c r="B35" s="52">
        <v>44942</v>
      </c>
      <c r="C35" s="36" t="s">
        <v>7</v>
      </c>
      <c r="D35" s="36" t="s">
        <v>55</v>
      </c>
      <c r="E35" s="37">
        <v>1250</v>
      </c>
      <c r="F35" s="36"/>
      <c r="G35" s="106" cm="1">
        <f t="array" ref="G35">SUMPRODUCT(Tracking[Сума],--(Tracking[Дата]&lt;=Tracking[[#This Row],[Дата]]), (Tracking[Тип]&lt;&gt;"Дохід")*(-1) +(Tracking[Тип]="Дохід"))</f>
        <v>730</v>
      </c>
      <c r="H35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44942</v>
      </c>
    </row>
    <row r="36" spans="2:8" hidden="1" x14ac:dyDescent="0.3">
      <c r="B36" s="52">
        <v>44943</v>
      </c>
      <c r="C36" s="36" t="s">
        <v>17</v>
      </c>
      <c r="D36" s="36" t="s">
        <v>66</v>
      </c>
      <c r="E36" s="37">
        <v>700</v>
      </c>
      <c r="F36" s="36"/>
      <c r="G36" s="106" cm="1">
        <f t="array" ref="G36">SUMPRODUCT(Tracking[Сума],--(Tracking[Дата]&lt;=Tracking[[#This Row],[Дата]]), (Tracking[Тип]&lt;&gt;"Дохід")*(-1) +(Tracking[Тип]="Дохід"))</f>
        <v>1430</v>
      </c>
      <c r="H36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44943</v>
      </c>
    </row>
    <row r="37" spans="2:8" hidden="1" x14ac:dyDescent="0.3">
      <c r="B37" s="52">
        <v>44944</v>
      </c>
      <c r="C37" s="36" t="s">
        <v>7</v>
      </c>
      <c r="D37" s="36" t="s">
        <v>51</v>
      </c>
      <c r="E37" s="37">
        <v>200</v>
      </c>
      <c r="F37" s="36"/>
      <c r="G37" s="106" cm="1">
        <f t="array" ref="G37">SUMPRODUCT(Tracking[Сума],--(Tracking[Дата]&lt;=Tracking[[#This Row],[Дата]]), (Tracking[Тип]&lt;&gt;"Дохід")*(-1) +(Tracking[Тип]="Дохід"))</f>
        <v>1230</v>
      </c>
      <c r="H37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44944</v>
      </c>
    </row>
    <row r="38" spans="2:8" hidden="1" x14ac:dyDescent="0.3">
      <c r="B38" s="52">
        <v>44945</v>
      </c>
      <c r="C38" s="36" t="s">
        <v>7</v>
      </c>
      <c r="D38" s="36" t="s">
        <v>53</v>
      </c>
      <c r="E38" s="37">
        <v>1100</v>
      </c>
      <c r="F38" s="36"/>
      <c r="G38" s="106" cm="1">
        <f t="array" ref="G38">SUMPRODUCT(Tracking[Сума],--(Tracking[Дата]&lt;=Tracking[[#This Row],[Дата]]), (Tracking[Тип]&lt;&gt;"Дохід")*(-1) +(Tracking[Тип]="Дохід"))</f>
        <v>130</v>
      </c>
      <c r="H38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44945</v>
      </c>
    </row>
    <row r="39" spans="2:8" hidden="1" x14ac:dyDescent="0.3">
      <c r="B39" s="52">
        <v>44946</v>
      </c>
      <c r="C39" s="36" t="s">
        <v>10</v>
      </c>
      <c r="D39" s="36" t="s">
        <v>60</v>
      </c>
      <c r="E39" s="37">
        <v>30</v>
      </c>
      <c r="F39" s="36"/>
      <c r="G39" s="106" cm="1">
        <f t="array" ref="G39">SUMPRODUCT(Tracking[Сума],--(Tracking[Дата]&lt;=Tracking[[#This Row],[Дата]]), (Tracking[Тип]&lt;&gt;"Дохід")*(-1) +(Tracking[Тип]="Дохід"))</f>
        <v>100</v>
      </c>
      <c r="H39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44946</v>
      </c>
    </row>
    <row r="40" spans="2:8" hidden="1" x14ac:dyDescent="0.3">
      <c r="B40" s="52">
        <v>44948</v>
      </c>
      <c r="C40" s="36" t="s">
        <v>7</v>
      </c>
      <c r="D40" s="36" t="s">
        <v>52</v>
      </c>
      <c r="E40" s="37">
        <v>100</v>
      </c>
      <c r="F40" s="36"/>
      <c r="G40" s="106" cm="1">
        <f t="array" ref="G40">SUMPRODUCT(Tracking[Сума],--(Tracking[Дата]&lt;=Tracking[[#This Row],[Дата]]), (Tracking[Тип]&lt;&gt;"Дохід")*(-1) +(Tracking[Тип]="Дохід"))</f>
        <v>0</v>
      </c>
      <c r="H40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44948</v>
      </c>
    </row>
    <row r="41" spans="2:8" hidden="1" x14ac:dyDescent="0.3">
      <c r="B41" s="52">
        <v>44950</v>
      </c>
      <c r="C41" s="36" t="s">
        <v>7</v>
      </c>
      <c r="D41" s="36" t="s">
        <v>51</v>
      </c>
      <c r="E41" s="37">
        <v>500</v>
      </c>
      <c r="F41" s="36"/>
      <c r="G41" s="106" cm="1">
        <f t="array" ref="G41">SUMPRODUCT(Tracking[Сума],--(Tracking[Дата]&lt;=Tracking[[#This Row],[Дата]]), (Tracking[Тип]&lt;&gt;"Дохід")*(-1) +(Tracking[Тип]="Дохід"))</f>
        <v>-500</v>
      </c>
      <c r="H41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44950</v>
      </c>
    </row>
    <row r="42" spans="2:8" hidden="1" x14ac:dyDescent="0.3">
      <c r="B42" s="52">
        <v>44952</v>
      </c>
      <c r="C42" s="36" t="s">
        <v>10</v>
      </c>
      <c r="D42" s="36" t="s">
        <v>63</v>
      </c>
      <c r="E42" s="37">
        <v>50</v>
      </c>
      <c r="F42" s="36"/>
      <c r="G42" s="106" cm="1">
        <f t="array" ref="G42">SUMPRODUCT(Tracking[Сума],--(Tracking[Дата]&lt;=Tracking[[#This Row],[Дата]]), (Tracking[Тип]&lt;&gt;"Дохід")*(-1) +(Tracking[Тип]="Дохід"))</f>
        <v>-550</v>
      </c>
      <c r="H42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44952</v>
      </c>
    </row>
    <row r="43" spans="2:8" hidden="1" x14ac:dyDescent="0.3">
      <c r="B43" s="52">
        <v>44955</v>
      </c>
      <c r="C43" s="36" t="s">
        <v>7</v>
      </c>
      <c r="D43" s="36" t="s">
        <v>53</v>
      </c>
      <c r="E43" s="37">
        <v>50</v>
      </c>
      <c r="F43" s="36"/>
      <c r="G43" s="106" cm="1">
        <f t="array" ref="G43">SUMPRODUCT(Tracking[Сума],--(Tracking[Дата]&lt;=Tracking[[#This Row],[Дата]]), (Tracking[Тип]&lt;&gt;"Дохід")*(-1) +(Tracking[Тип]="Дохід"))</f>
        <v>-600</v>
      </c>
      <c r="H43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44955</v>
      </c>
    </row>
    <row r="44" spans="2:8" hidden="1" x14ac:dyDescent="0.3">
      <c r="B44" s="52">
        <v>44956</v>
      </c>
      <c r="C44" s="36" t="s">
        <v>7</v>
      </c>
      <c r="D44" s="36" t="s">
        <v>51</v>
      </c>
      <c r="E44" s="37">
        <v>500</v>
      </c>
      <c r="F44" s="36"/>
      <c r="G44" s="106" cm="1">
        <f t="array" ref="G44">SUMPRODUCT(Tracking[Сума],--(Tracking[Дата]&lt;=Tracking[[#This Row],[Дата]]), (Tracking[Тип]&lt;&gt;"Дохід")*(-1) +(Tracking[Тип]="Дохід"))</f>
        <v>-1100</v>
      </c>
      <c r="H44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44956</v>
      </c>
    </row>
    <row r="45" spans="2:8" x14ac:dyDescent="0.3">
      <c r="B45" s="52">
        <v>44967</v>
      </c>
      <c r="C45" s="36" t="s">
        <v>17</v>
      </c>
      <c r="D45" s="36" t="s">
        <v>67</v>
      </c>
      <c r="E45" s="37">
        <v>50</v>
      </c>
      <c r="F45" s="36"/>
      <c r="G45" s="106" cm="1">
        <f t="array" ref="G45">SUMPRODUCT(Tracking[Сума],--(Tracking[Дата]&lt;=Tracking[[#This Row],[Дата]]), (Tracking[Тип]&lt;&gt;"Дохід")*(-1) +(Tracking[Тип]="Дохід"))</f>
        <v>-1050</v>
      </c>
      <c r="H45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44967</v>
      </c>
    </row>
    <row r="46" spans="2:8" x14ac:dyDescent="0.3">
      <c r="B46" s="52">
        <v>45333</v>
      </c>
      <c r="C46" s="36" t="s">
        <v>7</v>
      </c>
      <c r="D46" s="36" t="s">
        <v>51</v>
      </c>
      <c r="E46" s="37">
        <v>300</v>
      </c>
      <c r="F46" s="36"/>
      <c r="G46" s="106" cm="1">
        <f t="array" ref="G46">SUMPRODUCT(Tracking[Сума],--(Tracking[Дата]&lt;=Tracking[[#This Row],[Дата]]), (Tracking[Тип]&lt;&gt;"Дохід")*(-1) +(Tracking[Тип]="Дохід"))</f>
        <v>2350</v>
      </c>
      <c r="H46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45333</v>
      </c>
    </row>
    <row r="47" spans="2:8" x14ac:dyDescent="0.3">
      <c r="B47" s="52">
        <v>45334</v>
      </c>
      <c r="C47" s="36" t="s">
        <v>10</v>
      </c>
      <c r="D47" s="36" t="s">
        <v>61</v>
      </c>
      <c r="E47" s="37">
        <v>150</v>
      </c>
      <c r="F47" s="36"/>
      <c r="G47" s="106" cm="1">
        <f t="array" ref="G47">SUMPRODUCT(Tracking[Сума],--(Tracking[Дата]&lt;=Tracking[[#This Row],[Дата]]), (Tracking[Тип]&lt;&gt;"Дохід")*(-1) +(Tracking[Тип]="Дохід"))</f>
        <v>2200</v>
      </c>
      <c r="H47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45334</v>
      </c>
    </row>
    <row r="48" spans="2:8" x14ac:dyDescent="0.3">
      <c r="B48" s="52">
        <v>45335</v>
      </c>
      <c r="C48" s="36" t="s">
        <v>7</v>
      </c>
      <c r="D48" s="36" t="s">
        <v>58</v>
      </c>
      <c r="E48" s="37">
        <v>300</v>
      </c>
      <c r="F48" s="36"/>
      <c r="G48" s="106" cm="1">
        <f t="array" ref="G48">SUMPRODUCT(Tracking[Сума],--(Tracking[Дата]&lt;=Tracking[[#This Row],[Дата]]), (Tracking[Тип]&lt;&gt;"Дохід")*(-1) +(Tracking[Тип]="Дохід"))</f>
        <v>1900</v>
      </c>
      <c r="H48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45335</v>
      </c>
    </row>
    <row r="49" spans="2:8" x14ac:dyDescent="0.3">
      <c r="B49" s="52">
        <v>45336</v>
      </c>
      <c r="C49" s="36" t="s">
        <v>10</v>
      </c>
      <c r="D49" s="36" t="s">
        <v>59</v>
      </c>
      <c r="E49" s="37">
        <v>600</v>
      </c>
      <c r="F49" s="36"/>
      <c r="G49" s="106" cm="1">
        <f t="array" ref="G49">SUMPRODUCT(Tracking[Сума],--(Tracking[Дата]&lt;=Tracking[[#This Row],[Дата]]), (Tracking[Тип]&lt;&gt;"Дохід")*(-1) +(Tracking[Тип]="Дохід"))</f>
        <v>1300</v>
      </c>
      <c r="H49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45336</v>
      </c>
    </row>
    <row r="50" spans="2:8" x14ac:dyDescent="0.3">
      <c r="B50" s="52">
        <v>45337</v>
      </c>
      <c r="C50" s="36" t="s">
        <v>7</v>
      </c>
      <c r="D50" s="36" t="s">
        <v>64</v>
      </c>
      <c r="E50" s="37">
        <v>150</v>
      </c>
      <c r="F50" s="36"/>
      <c r="G50" s="106" cm="1">
        <f t="array" ref="G50">SUMPRODUCT(Tracking[Сума],--(Tracking[Дата]&lt;=Tracking[[#This Row],[Дата]]), (Tracking[Тип]&lt;&gt;"Дохід")*(-1) +(Tracking[Тип]="Дохід"))</f>
        <v>1150</v>
      </c>
      <c r="H50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45337</v>
      </c>
    </row>
    <row r="51" spans="2:8" x14ac:dyDescent="0.3">
      <c r="B51" s="52">
        <v>45338</v>
      </c>
      <c r="C51" s="36" t="s">
        <v>7</v>
      </c>
      <c r="D51" s="36" t="s">
        <v>52</v>
      </c>
      <c r="E51" s="37">
        <v>150</v>
      </c>
      <c r="F51" s="36"/>
      <c r="G51" s="106" cm="1">
        <f t="array" ref="G51">SUMPRODUCT(Tracking[Сума],--(Tracking[Дата]&lt;=Tracking[[#This Row],[Дата]]), (Tracking[Тип]&lt;&gt;"Дохід")*(-1) +(Tracking[Тип]="Дохід"))</f>
        <v>1000</v>
      </c>
      <c r="H51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45338</v>
      </c>
    </row>
    <row r="52" spans="2:8" x14ac:dyDescent="0.3">
      <c r="B52" s="52">
        <v>45339</v>
      </c>
      <c r="C52" s="36" t="s">
        <v>7</v>
      </c>
      <c r="D52" s="36" t="s">
        <v>52</v>
      </c>
      <c r="E52" s="37">
        <v>150</v>
      </c>
      <c r="F52" s="36"/>
      <c r="G52" s="106" cm="1">
        <f t="array" ref="G52">SUMPRODUCT(Tracking[Сума],--(Tracking[Дата]&lt;=Tracking[[#This Row],[Дата]]), (Tracking[Тип]&lt;&gt;"Дохід")*(-1) +(Tracking[Тип]="Дохід"))</f>
        <v>850</v>
      </c>
      <c r="H52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45339</v>
      </c>
    </row>
    <row r="53" spans="2:8" x14ac:dyDescent="0.3">
      <c r="B53" s="52">
        <v>45340</v>
      </c>
      <c r="C53" s="36" t="s">
        <v>7</v>
      </c>
      <c r="D53" s="36" t="s">
        <v>57</v>
      </c>
      <c r="E53" s="37">
        <v>500</v>
      </c>
      <c r="F53" s="36"/>
      <c r="G53" s="106" cm="1">
        <f t="array" ref="G53">SUMPRODUCT(Tracking[Сума],--(Tracking[Дата]&lt;=Tracking[[#This Row],[Дата]]), (Tracking[Тип]&lt;&gt;"Дохід")*(-1) +(Tracking[Тип]="Дохід"))</f>
        <v>350</v>
      </c>
      <c r="H53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45340</v>
      </c>
    </row>
    <row r="54" spans="2:8" x14ac:dyDescent="0.3">
      <c r="B54" s="52">
        <v>45341</v>
      </c>
      <c r="C54" s="36" t="s">
        <v>10</v>
      </c>
      <c r="D54" s="36" t="s">
        <v>60</v>
      </c>
      <c r="E54" s="37">
        <v>380</v>
      </c>
      <c r="F54" s="36"/>
      <c r="G54" s="106" cm="1">
        <f t="array" ref="G54">SUMPRODUCT(Tracking[Сума],--(Tracking[Дата]&lt;=Tracking[[#This Row],[Дата]]), (Tracking[Тип]&lt;&gt;"Дохід")*(-1) +(Tracking[Тип]="Дохід"))</f>
        <v>-30</v>
      </c>
      <c r="H54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45341</v>
      </c>
    </row>
    <row r="55" spans="2:8" x14ac:dyDescent="0.3">
      <c r="B55" s="52">
        <v>45342</v>
      </c>
      <c r="C55" s="36" t="s">
        <v>7</v>
      </c>
      <c r="D55" s="36" t="s">
        <v>53</v>
      </c>
      <c r="E55" s="37">
        <v>50</v>
      </c>
      <c r="F55" s="36"/>
      <c r="G55" s="106" cm="1">
        <f t="array" ref="G55">SUMPRODUCT(Tracking[Сума],--(Tracking[Дата]&lt;=Tracking[[#This Row],[Дата]]), (Tracking[Тип]&lt;&gt;"Дохід")*(-1) +(Tracking[Тип]="Дохід"))</f>
        <v>-80</v>
      </c>
      <c r="H55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45342</v>
      </c>
    </row>
    <row r="56" spans="2:8" x14ac:dyDescent="0.3">
      <c r="B56" s="52">
        <v>45343</v>
      </c>
      <c r="C56" s="36" t="s">
        <v>7</v>
      </c>
      <c r="D56" s="36" t="s">
        <v>56</v>
      </c>
      <c r="E56" s="37">
        <v>600</v>
      </c>
      <c r="F56" s="36"/>
      <c r="G56" s="106" cm="1">
        <f t="array" ref="G56">SUMPRODUCT(Tracking[Сума],--(Tracking[Дата]&lt;=Tracking[[#This Row],[Дата]]), (Tracking[Тип]&lt;&gt;"Дохід")*(-1) +(Tracking[Тип]="Дохід"))</f>
        <v>-680</v>
      </c>
      <c r="H56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45343</v>
      </c>
    </row>
    <row r="57" spans="2:8" x14ac:dyDescent="0.3">
      <c r="B57" s="52">
        <v>45345</v>
      </c>
      <c r="C57" s="36" t="s">
        <v>7</v>
      </c>
      <c r="D57" s="36" t="s">
        <v>64</v>
      </c>
      <c r="E57" s="37">
        <v>73</v>
      </c>
      <c r="F57" s="36"/>
      <c r="G57" s="106" cm="1">
        <f t="array" ref="G57">SUMPRODUCT(Tracking[Сума],--(Tracking[Дата]&lt;=Tracking[[#This Row],[Дата]]), (Tracking[Тип]&lt;&gt;"Дохід")*(-1) +(Tracking[Тип]="Дохід"))</f>
        <v>-753</v>
      </c>
      <c r="H57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45345</v>
      </c>
    </row>
    <row r="58" spans="2:8" x14ac:dyDescent="0.3">
      <c r="B58" s="52">
        <v>45347</v>
      </c>
      <c r="C58" s="36" t="s">
        <v>10</v>
      </c>
      <c r="D58" s="36" t="s">
        <v>59</v>
      </c>
      <c r="E58" s="37">
        <v>200</v>
      </c>
      <c r="F58" s="36"/>
      <c r="G58" s="106" cm="1">
        <f t="array" ref="G58">SUMPRODUCT(Tracking[Сума],--(Tracking[Дата]&lt;=Tracking[[#This Row],[Дата]]), (Tracking[Тип]&lt;&gt;"Дохід")*(-1) +(Tracking[Тип]="Дохід"))</f>
        <v>-953</v>
      </c>
      <c r="H58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45347</v>
      </c>
    </row>
    <row r="59" spans="2:8" x14ac:dyDescent="0.3">
      <c r="B59" s="52">
        <v>45349</v>
      </c>
      <c r="C59" s="36" t="s">
        <v>7</v>
      </c>
      <c r="D59" s="36" t="s">
        <v>51</v>
      </c>
      <c r="E59" s="37">
        <v>400</v>
      </c>
      <c r="F59" s="36"/>
      <c r="G59" s="106" cm="1">
        <f t="array" ref="G59">SUMPRODUCT(Tracking[Сума],--(Tracking[Дата]&lt;=Tracking[[#This Row],[Дата]]), (Tracking[Тип]&lt;&gt;"Дохід")*(-1) +(Tracking[Тип]="Дохід"))</f>
        <v>-1353</v>
      </c>
      <c r="H59" s="89">
        <f>IF(AND(Tracking[[#This Row],[Тип]]="Дохід",shift_late_income_status="Активний",DAY(Tracking[[#This Row],[Дата]])&gt;=shift_late_income_starting_day),DATE(YEAR(Tracking[[#This Row],[Дата]]),MONTH(Tracking[[#This Row],[Дата]])+1,1),Tracking[[#This Row],[Дата]])</f>
        <v>45349</v>
      </c>
    </row>
    <row r="60" spans="2:8" x14ac:dyDescent="0.3">
      <c r="B60" s="34"/>
      <c r="C60" s="36"/>
      <c r="D60" s="36"/>
      <c r="E60" s="37"/>
      <c r="F60" s="36"/>
      <c r="G60" s="39"/>
    </row>
    <row r="61" spans="2:8" x14ac:dyDescent="0.3">
      <c r="B61" s="34"/>
      <c r="C61" s="36"/>
      <c r="D61" s="36"/>
      <c r="E61" s="37"/>
      <c r="F61" s="36"/>
      <c r="G61" s="39"/>
    </row>
    <row r="62" spans="2:8" x14ac:dyDescent="0.3">
      <c r="B62" s="34"/>
      <c r="C62" s="36"/>
      <c r="D62" s="36"/>
      <c r="E62" s="37"/>
      <c r="F62" s="36"/>
      <c r="G62" s="39"/>
    </row>
    <row r="63" spans="2:8" x14ac:dyDescent="0.3">
      <c r="B63" s="34"/>
      <c r="C63" s="36"/>
      <c r="D63" s="36"/>
      <c r="E63" s="37"/>
      <c r="F63" s="36"/>
      <c r="G63" s="39"/>
    </row>
    <row r="64" spans="2:8" x14ac:dyDescent="0.3">
      <c r="B64" s="34"/>
      <c r="C64" s="36"/>
      <c r="D64" s="36"/>
      <c r="E64" s="37"/>
      <c r="F64" s="36"/>
      <c r="G64" s="39"/>
    </row>
    <row r="65" spans="2:7" x14ac:dyDescent="0.3">
      <c r="B65" s="34"/>
      <c r="C65" s="36"/>
      <c r="D65" s="36"/>
      <c r="E65" s="37"/>
      <c r="F65" s="36"/>
      <c r="G65" s="39"/>
    </row>
    <row r="66" spans="2:7" x14ac:dyDescent="0.3">
      <c r="B66" s="34"/>
      <c r="C66" s="36"/>
      <c r="D66" s="36"/>
      <c r="E66" s="37"/>
      <c r="F66" s="36"/>
      <c r="G66" s="39"/>
    </row>
    <row r="67" spans="2:7" x14ac:dyDescent="0.3">
      <c r="B67" s="34"/>
      <c r="C67" s="36"/>
      <c r="D67" s="36"/>
      <c r="E67" s="37"/>
      <c r="F67" s="36"/>
      <c r="G67" s="39"/>
    </row>
    <row r="68" spans="2:7" x14ac:dyDescent="0.3">
      <c r="B68" s="34"/>
      <c r="C68" s="36"/>
      <c r="D68" s="36"/>
      <c r="E68" s="37"/>
      <c r="F68" s="36"/>
      <c r="G68" s="39"/>
    </row>
    <row r="69" spans="2:7" x14ac:dyDescent="0.3">
      <c r="B69" s="34"/>
      <c r="C69" s="36"/>
      <c r="D69" s="36"/>
      <c r="E69" s="37"/>
      <c r="F69" s="36"/>
      <c r="G69" s="39"/>
    </row>
    <row r="70" spans="2:7" x14ac:dyDescent="0.3">
      <c r="B70" s="34"/>
      <c r="C70" s="36"/>
      <c r="D70" s="36"/>
      <c r="E70" s="37"/>
      <c r="F70" s="36"/>
      <c r="G70" s="39"/>
    </row>
    <row r="71" spans="2:7" x14ac:dyDescent="0.3">
      <c r="B71" s="34"/>
      <c r="C71" s="36"/>
      <c r="D71" s="36"/>
      <c r="E71" s="37"/>
      <c r="F71" s="36"/>
      <c r="G71" s="39"/>
    </row>
    <row r="72" spans="2:7" x14ac:dyDescent="0.3">
      <c r="B72" s="34"/>
      <c r="C72" s="36"/>
      <c r="D72" s="36"/>
      <c r="E72" s="37"/>
      <c r="F72" s="36"/>
      <c r="G72" s="39"/>
    </row>
    <row r="73" spans="2:7" x14ac:dyDescent="0.3">
      <c r="B73" s="34"/>
      <c r="C73" s="36"/>
      <c r="D73" s="36"/>
      <c r="E73" s="37"/>
      <c r="F73" s="36"/>
      <c r="G73" s="39"/>
    </row>
    <row r="74" spans="2:7" x14ac:dyDescent="0.3">
      <c r="B74" s="34"/>
      <c r="C74" s="36"/>
      <c r="D74" s="36"/>
      <c r="E74" s="37"/>
      <c r="F74" s="36"/>
      <c r="G74" s="39"/>
    </row>
    <row r="75" spans="2:7" x14ac:dyDescent="0.3">
      <c r="B75" s="34"/>
      <c r="C75" s="36"/>
      <c r="D75" s="36"/>
      <c r="E75" s="37"/>
      <c r="F75" s="36"/>
      <c r="G75" s="39"/>
    </row>
    <row r="76" spans="2:7" x14ac:dyDescent="0.3">
      <c r="B76" s="34"/>
      <c r="C76" s="36"/>
      <c r="D76" s="36"/>
      <c r="E76" s="37"/>
      <c r="F76" s="36"/>
      <c r="G76" s="39"/>
    </row>
    <row r="77" spans="2:7" x14ac:dyDescent="0.3">
      <c r="B77" s="34"/>
      <c r="C77" s="36"/>
      <c r="D77" s="36"/>
      <c r="E77" s="37"/>
      <c r="F77" s="36"/>
      <c r="G77" s="39"/>
    </row>
    <row r="78" spans="2:7" x14ac:dyDescent="0.3">
      <c r="B78" s="34"/>
      <c r="C78" s="36"/>
      <c r="D78" s="36"/>
      <c r="E78" s="37"/>
      <c r="F78" s="36"/>
      <c r="G78" s="39"/>
    </row>
    <row r="79" spans="2:7" x14ac:dyDescent="0.3">
      <c r="B79" s="34"/>
      <c r="C79" s="36"/>
      <c r="D79" s="36"/>
      <c r="E79" s="37"/>
      <c r="F79" s="36"/>
      <c r="G79" s="39"/>
    </row>
    <row r="80" spans="2:7" x14ac:dyDescent="0.3">
      <c r="B80" s="34"/>
      <c r="C80" s="36"/>
      <c r="D80" s="36"/>
      <c r="E80" s="37"/>
      <c r="F80" s="36"/>
      <c r="G80" s="39"/>
    </row>
    <row r="81" spans="2:7" x14ac:dyDescent="0.3">
      <c r="B81" s="34"/>
      <c r="C81" s="36"/>
      <c r="D81" s="36"/>
      <c r="E81" s="37"/>
      <c r="F81" s="36"/>
      <c r="G81" s="39"/>
    </row>
    <row r="82" spans="2:7" x14ac:dyDescent="0.3">
      <c r="B82" s="34"/>
      <c r="C82" s="36"/>
      <c r="D82" s="36"/>
      <c r="E82" s="37"/>
      <c r="F82" s="36"/>
      <c r="G82" s="39"/>
    </row>
    <row r="83" spans="2:7" x14ac:dyDescent="0.3">
      <c r="B83" s="34"/>
      <c r="C83" s="36"/>
      <c r="D83" s="36"/>
      <c r="E83" s="37"/>
      <c r="F83" s="36"/>
      <c r="G83" s="39"/>
    </row>
    <row r="84" spans="2:7" x14ac:dyDescent="0.3">
      <c r="B84" s="34"/>
      <c r="C84" s="36"/>
      <c r="D84" s="36"/>
      <c r="E84" s="37"/>
      <c r="F84" s="36"/>
      <c r="G84" s="39"/>
    </row>
    <row r="85" spans="2:7" x14ac:dyDescent="0.3">
      <c r="B85" s="34"/>
      <c r="C85" s="36"/>
      <c r="D85" s="36"/>
      <c r="E85" s="37"/>
      <c r="F85" s="36"/>
      <c r="G85" s="39"/>
    </row>
    <row r="86" spans="2:7" x14ac:dyDescent="0.3">
      <c r="B86" s="34"/>
      <c r="C86" s="36"/>
      <c r="D86" s="36"/>
      <c r="E86" s="37"/>
      <c r="F86" s="36"/>
      <c r="G86" s="39"/>
    </row>
    <row r="87" spans="2:7" x14ac:dyDescent="0.3">
      <c r="B87" s="34"/>
      <c r="C87" s="36"/>
      <c r="D87" s="36"/>
      <c r="E87" s="37"/>
      <c r="F87" s="36"/>
      <c r="G87" s="39"/>
    </row>
    <row r="88" spans="2:7" x14ac:dyDescent="0.3">
      <c r="B88" s="34"/>
      <c r="C88" s="36"/>
      <c r="D88" s="36"/>
      <c r="E88" s="37"/>
      <c r="F88" s="36"/>
      <c r="G88" s="39"/>
    </row>
    <row r="89" spans="2:7" x14ac:dyDescent="0.3">
      <c r="B89" s="34"/>
      <c r="C89" s="36"/>
      <c r="D89" s="36"/>
      <c r="E89" s="37"/>
      <c r="F89" s="36"/>
      <c r="G89" s="39"/>
    </row>
    <row r="90" spans="2:7" x14ac:dyDescent="0.3">
      <c r="B90" s="34"/>
      <c r="C90" s="36"/>
      <c r="D90" s="36"/>
      <c r="E90" s="37"/>
      <c r="F90" s="36"/>
      <c r="G90" s="39"/>
    </row>
    <row r="91" spans="2:7" x14ac:dyDescent="0.3">
      <c r="B91" s="34"/>
      <c r="C91" s="36"/>
      <c r="D91" s="36"/>
      <c r="E91" s="37"/>
      <c r="F91" s="36"/>
      <c r="G91" s="39"/>
    </row>
    <row r="92" spans="2:7" x14ac:dyDescent="0.3">
      <c r="B92" s="34"/>
      <c r="C92" s="36"/>
      <c r="D92" s="36"/>
      <c r="E92" s="37"/>
      <c r="F92" s="36"/>
      <c r="G92" s="39"/>
    </row>
    <row r="93" spans="2:7" x14ac:dyDescent="0.3">
      <c r="B93" s="34"/>
      <c r="C93" s="36"/>
      <c r="D93" s="36"/>
      <c r="E93" s="37"/>
      <c r="F93" s="36"/>
      <c r="G93" s="39"/>
    </row>
    <row r="94" spans="2:7" x14ac:dyDescent="0.3">
      <c r="B94" s="34"/>
      <c r="C94" s="36"/>
      <c r="D94" s="36"/>
      <c r="E94" s="37"/>
      <c r="F94" s="36"/>
      <c r="G94" s="39"/>
    </row>
    <row r="95" spans="2:7" x14ac:dyDescent="0.3">
      <c r="B95" s="34"/>
      <c r="C95" s="36"/>
      <c r="D95" s="36"/>
      <c r="E95" s="37"/>
      <c r="F95" s="36"/>
      <c r="G95" s="39"/>
    </row>
    <row r="96" spans="2:7" x14ac:dyDescent="0.3">
      <c r="B96" s="34"/>
      <c r="C96" s="36"/>
      <c r="D96" s="36"/>
      <c r="E96" s="37"/>
      <c r="F96" s="36"/>
      <c r="G96" s="39"/>
    </row>
    <row r="97" spans="2:7" x14ac:dyDescent="0.3">
      <c r="B97" s="34"/>
      <c r="C97" s="36"/>
      <c r="D97" s="36"/>
      <c r="E97" s="37"/>
      <c r="F97" s="36"/>
      <c r="G97" s="39"/>
    </row>
    <row r="98" spans="2:7" x14ac:dyDescent="0.3">
      <c r="B98" s="34"/>
      <c r="C98" s="36"/>
      <c r="D98" s="36"/>
      <c r="E98" s="37"/>
      <c r="F98" s="36"/>
      <c r="G98" s="39"/>
    </row>
    <row r="99" spans="2:7" x14ac:dyDescent="0.3">
      <c r="B99" s="34"/>
      <c r="C99" s="36"/>
      <c r="D99" s="36"/>
      <c r="E99" s="37"/>
      <c r="F99" s="36"/>
      <c r="G99" s="39"/>
    </row>
    <row r="100" spans="2:7" x14ac:dyDescent="0.3">
      <c r="B100" s="34"/>
      <c r="C100" s="36"/>
      <c r="D100" s="36"/>
      <c r="E100" s="37"/>
      <c r="F100" s="36"/>
      <c r="G100" s="39"/>
    </row>
    <row r="101" spans="2:7" x14ac:dyDescent="0.3">
      <c r="B101" s="34"/>
      <c r="C101" s="36"/>
      <c r="D101" s="36"/>
      <c r="E101" s="37"/>
      <c r="F101" s="36"/>
      <c r="G101" s="39"/>
    </row>
    <row r="102" spans="2:7" x14ac:dyDescent="0.3">
      <c r="B102" s="34"/>
      <c r="C102" s="36"/>
      <c r="D102" s="36"/>
      <c r="E102" s="37"/>
      <c r="F102" s="36"/>
      <c r="G102" s="39"/>
    </row>
    <row r="103" spans="2:7" x14ac:dyDescent="0.3">
      <c r="B103" s="34"/>
      <c r="C103" s="36"/>
      <c r="D103" s="36"/>
      <c r="E103" s="37"/>
      <c r="F103" s="36"/>
      <c r="G103" s="39"/>
    </row>
    <row r="104" spans="2:7" x14ac:dyDescent="0.3">
      <c r="B104" s="34"/>
      <c r="C104" s="36"/>
      <c r="D104" s="36"/>
      <c r="E104" s="37"/>
      <c r="F104" s="36"/>
      <c r="G104" s="39"/>
    </row>
    <row r="105" spans="2:7" x14ac:dyDescent="0.3">
      <c r="B105" s="34"/>
      <c r="C105" s="36"/>
      <c r="D105" s="36"/>
      <c r="E105" s="37"/>
      <c r="F105" s="36"/>
      <c r="G105" s="39"/>
    </row>
    <row r="106" spans="2:7" x14ac:dyDescent="0.3">
      <c r="B106" s="34"/>
      <c r="C106" s="36"/>
      <c r="D106" s="36"/>
      <c r="E106" s="37"/>
      <c r="F106" s="36"/>
      <c r="G106" s="39"/>
    </row>
    <row r="107" spans="2:7" x14ac:dyDescent="0.3">
      <c r="B107" s="34"/>
      <c r="C107" s="36"/>
      <c r="D107" s="36"/>
      <c r="E107" s="37"/>
      <c r="F107" s="36"/>
      <c r="G107" s="39"/>
    </row>
    <row r="108" spans="2:7" x14ac:dyDescent="0.3">
      <c r="B108" s="34"/>
      <c r="C108" s="36"/>
      <c r="D108" s="36"/>
      <c r="E108" s="37"/>
      <c r="F108" s="36"/>
      <c r="G108" s="39"/>
    </row>
    <row r="109" spans="2:7" x14ac:dyDescent="0.3">
      <c r="B109" s="34"/>
      <c r="C109" s="36"/>
      <c r="D109" s="36"/>
      <c r="E109" s="37"/>
      <c r="F109" s="36"/>
      <c r="G109" s="39"/>
    </row>
    <row r="110" spans="2:7" x14ac:dyDescent="0.3">
      <c r="B110" s="34"/>
      <c r="C110" s="36"/>
      <c r="D110" s="36"/>
      <c r="E110" s="37"/>
      <c r="F110" s="36"/>
      <c r="G110" s="39"/>
    </row>
    <row r="111" spans="2:7" x14ac:dyDescent="0.3">
      <c r="B111" s="34"/>
      <c r="C111" s="36"/>
      <c r="D111" s="36"/>
      <c r="E111" s="37"/>
      <c r="F111" s="36"/>
      <c r="G111" s="39"/>
    </row>
    <row r="112" spans="2:7" x14ac:dyDescent="0.3">
      <c r="B112" s="34"/>
      <c r="C112" s="36"/>
      <c r="D112" s="36"/>
      <c r="E112" s="37"/>
      <c r="F112" s="36"/>
      <c r="G112" s="39"/>
    </row>
    <row r="113" spans="2:7" x14ac:dyDescent="0.3">
      <c r="B113" s="34"/>
      <c r="C113" s="36"/>
      <c r="D113" s="36"/>
      <c r="E113" s="37"/>
      <c r="F113" s="36"/>
      <c r="G113" s="39"/>
    </row>
    <row r="114" spans="2:7" x14ac:dyDescent="0.3">
      <c r="B114" s="34"/>
      <c r="C114" s="36"/>
      <c r="D114" s="36"/>
      <c r="E114" s="37"/>
      <c r="F114" s="36"/>
      <c r="G114" s="39"/>
    </row>
    <row r="115" spans="2:7" x14ac:dyDescent="0.3">
      <c r="B115" s="34"/>
      <c r="C115" s="36"/>
      <c r="D115" s="36"/>
      <c r="E115" s="37"/>
      <c r="F115" s="36"/>
      <c r="G115" s="39"/>
    </row>
    <row r="116" spans="2:7" x14ac:dyDescent="0.3">
      <c r="B116" s="34"/>
      <c r="C116" s="36"/>
      <c r="D116" s="36"/>
      <c r="E116" s="37"/>
      <c r="F116" s="36"/>
      <c r="G116" s="39"/>
    </row>
    <row r="117" spans="2:7" x14ac:dyDescent="0.3">
      <c r="B117" s="34"/>
      <c r="C117" s="36"/>
      <c r="D117" s="36"/>
      <c r="E117" s="37"/>
      <c r="F117" s="36"/>
      <c r="G117" s="39"/>
    </row>
    <row r="118" spans="2:7" x14ac:dyDescent="0.3">
      <c r="B118" s="34"/>
      <c r="C118" s="36"/>
      <c r="D118" s="36"/>
      <c r="E118" s="37"/>
      <c r="F118" s="36"/>
      <c r="G118" s="39"/>
    </row>
    <row r="119" spans="2:7" x14ac:dyDescent="0.3">
      <c r="B119" s="34"/>
      <c r="C119" s="36"/>
      <c r="D119" s="36"/>
      <c r="E119" s="37"/>
      <c r="F119" s="36"/>
      <c r="G119" s="39"/>
    </row>
    <row r="120" spans="2:7" x14ac:dyDescent="0.3">
      <c r="B120" s="34"/>
      <c r="C120" s="36"/>
      <c r="D120" s="36"/>
      <c r="E120" s="37"/>
      <c r="F120" s="36"/>
      <c r="G120" s="39"/>
    </row>
    <row r="121" spans="2:7" x14ac:dyDescent="0.3">
      <c r="B121" s="34"/>
      <c r="C121" s="36"/>
      <c r="D121" s="36"/>
      <c r="E121" s="37"/>
      <c r="F121" s="36"/>
      <c r="G121" s="39"/>
    </row>
    <row r="122" spans="2:7" x14ac:dyDescent="0.3">
      <c r="B122" s="34"/>
      <c r="C122" s="36"/>
      <c r="D122" s="36"/>
      <c r="E122" s="37"/>
      <c r="F122" s="36"/>
      <c r="G122" s="39"/>
    </row>
    <row r="123" spans="2:7" x14ac:dyDescent="0.3">
      <c r="B123" s="34"/>
      <c r="C123" s="36"/>
      <c r="D123" s="36"/>
      <c r="E123" s="37"/>
      <c r="F123" s="36"/>
      <c r="G123" s="39"/>
    </row>
    <row r="124" spans="2:7" x14ac:dyDescent="0.3">
      <c r="B124" s="34"/>
      <c r="C124" s="36"/>
      <c r="D124" s="36"/>
      <c r="E124" s="37"/>
      <c r="F124" s="36"/>
      <c r="G124" s="39"/>
    </row>
    <row r="125" spans="2:7" x14ac:dyDescent="0.3">
      <c r="B125" s="34"/>
      <c r="C125" s="36"/>
      <c r="D125" s="36"/>
      <c r="E125" s="37"/>
      <c r="F125" s="36"/>
      <c r="G125" s="39"/>
    </row>
    <row r="126" spans="2:7" x14ac:dyDescent="0.3">
      <c r="B126" s="34"/>
      <c r="C126" s="36"/>
      <c r="D126" s="36"/>
      <c r="E126" s="37"/>
      <c r="F126" s="36"/>
      <c r="G126" s="39"/>
    </row>
    <row r="127" spans="2:7" x14ac:dyDescent="0.3">
      <c r="B127" s="34"/>
      <c r="C127" s="36"/>
      <c r="D127" s="36"/>
      <c r="E127" s="37"/>
      <c r="F127" s="36"/>
      <c r="G127" s="39"/>
    </row>
    <row r="128" spans="2:7" x14ac:dyDescent="0.3">
      <c r="B128" s="34"/>
      <c r="C128" s="36"/>
      <c r="D128" s="36"/>
      <c r="E128" s="37"/>
      <c r="F128" s="36"/>
      <c r="G128" s="39"/>
    </row>
    <row r="129" spans="2:7" x14ac:dyDescent="0.3">
      <c r="B129" s="34"/>
      <c r="C129" s="36"/>
      <c r="D129" s="36"/>
      <c r="E129" s="37"/>
      <c r="F129" s="36"/>
      <c r="G129" s="39"/>
    </row>
    <row r="130" spans="2:7" x14ac:dyDescent="0.3">
      <c r="B130" s="34"/>
      <c r="C130" s="36"/>
      <c r="D130" s="36"/>
      <c r="E130" s="37"/>
      <c r="F130" s="36"/>
      <c r="G130" s="39"/>
    </row>
    <row r="131" spans="2:7" x14ac:dyDescent="0.3">
      <c r="B131" s="34"/>
      <c r="C131" s="36"/>
      <c r="D131" s="36"/>
      <c r="E131" s="37"/>
      <c r="F131" s="36"/>
      <c r="G131" s="39"/>
    </row>
    <row r="132" spans="2:7" x14ac:dyDescent="0.3">
      <c r="B132" s="34"/>
      <c r="C132" s="36"/>
      <c r="D132" s="36"/>
      <c r="E132" s="37"/>
      <c r="F132" s="36"/>
      <c r="G132" s="39"/>
    </row>
    <row r="133" spans="2:7" x14ac:dyDescent="0.3">
      <c r="B133" s="34"/>
      <c r="C133" s="36"/>
      <c r="D133" s="36"/>
      <c r="E133" s="37"/>
      <c r="F133" s="36"/>
      <c r="G133" s="39"/>
    </row>
    <row r="134" spans="2:7" x14ac:dyDescent="0.3">
      <c r="B134" s="34"/>
      <c r="C134" s="36"/>
      <c r="D134" s="36"/>
      <c r="E134" s="37"/>
      <c r="F134" s="36"/>
      <c r="G134" s="39"/>
    </row>
    <row r="135" spans="2:7" x14ac:dyDescent="0.3">
      <c r="B135" s="34"/>
      <c r="C135" s="36"/>
      <c r="D135" s="36"/>
      <c r="E135" s="37"/>
      <c r="F135" s="36"/>
      <c r="G135" s="39"/>
    </row>
    <row r="136" spans="2:7" x14ac:dyDescent="0.3">
      <c r="B136" s="34"/>
      <c r="C136" s="36"/>
      <c r="D136" s="36"/>
      <c r="E136" s="37"/>
      <c r="F136" s="36"/>
      <c r="G136" s="39"/>
    </row>
  </sheetData>
  <conditionalFormatting sqref="D16:D59">
    <cfRule type="expression" dxfId="45" priority="5">
      <formula>ISNA(MATCH(D16, INDIRECT(C16), 0))</formula>
    </cfRule>
  </conditionalFormatting>
  <conditionalFormatting sqref="E16:E59">
    <cfRule type="expression" dxfId="44" priority="2">
      <formula>C16="Збереження"</formula>
    </cfRule>
    <cfRule type="expression" dxfId="43" priority="3">
      <formula>C16="Дохід"</formula>
    </cfRule>
    <cfRule type="expression" dxfId="42" priority="4">
      <formula>C16="Витрати"</formula>
    </cfRule>
  </conditionalFormatting>
  <conditionalFormatting sqref="H16:H59">
    <cfRule type="expression" dxfId="41" priority="1">
      <formula>AND(C16="Дохід",shift_late_income_status="Активний", DAY(B16)&gt;=shift_late_income_starting_day)</formula>
    </cfRule>
  </conditionalFormatting>
  <dataValidations count="4">
    <dataValidation type="date" operator="greaterThan" allowBlank="1" showInputMessage="1" showErrorMessage="1" error="Будь ласка введіть вірну дату" sqref="B16:B59" xr:uid="{9B76C014-B5A5-435E-B5AB-1626C67F08D7}">
      <formula1>32874</formula1>
    </dataValidation>
    <dataValidation type="list" allowBlank="1" showInputMessage="1" showErrorMessage="1" errorTitle="Невірна категорія" error="Будь ласка виберіть вірну категорію зі списку" sqref="D16:D59" xr:uid="{FB03F159-C44A-41F4-94F1-466CAB52CC5C}">
      <formula1>INDIRECT(C16)</formula1>
    </dataValidation>
    <dataValidation type="custom" allowBlank="1" showInputMessage="1" showErrorMessage="1" errorTitle="Невірна кільксть" error="Будь ласка введіть вірне число" sqref="E16:E59" xr:uid="{AD003E5C-D8CA-41FD-9BFA-1711D956378A}">
      <formula1>ISNUMBER(E16)</formula1>
    </dataValidation>
    <dataValidation type="list" allowBlank="1" showInputMessage="1" showErrorMessage="1" sqref="C16:C59" xr:uid="{A8B36FBB-2126-4BB8-9F4A-085E55ED092D}">
      <formula1>"Дохід, Витрати, Збереження"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F5B6-234F-444E-AC12-2694B1FBF963}">
  <dimension ref="B1:Q102"/>
  <sheetViews>
    <sheetView showGridLines="0" topLeftCell="A7" zoomScaleNormal="100" workbookViewId="0">
      <selection activeCell="E22" sqref="E22"/>
    </sheetView>
  </sheetViews>
  <sheetFormatPr defaultRowHeight="14.4" x14ac:dyDescent="0.3"/>
  <cols>
    <col min="2" max="2" width="3.6640625" customWidth="1"/>
    <col min="3" max="4" width="30.6640625" customWidth="1"/>
    <col min="5" max="5" width="39.109375" customWidth="1"/>
    <col min="6" max="6" width="14.109375" customWidth="1"/>
    <col min="7" max="7" width="12.88671875" customWidth="1"/>
    <col min="8" max="9" width="30.6640625" customWidth="1"/>
    <col min="10" max="10" width="39.109375" customWidth="1"/>
    <col min="11" max="11" width="23.109375" customWidth="1"/>
    <col min="12" max="13" width="30.6640625" customWidth="1"/>
    <col min="14" max="14" width="39.109375" customWidth="1"/>
    <col min="15" max="16" width="30.6640625" customWidth="1"/>
    <col min="17" max="17" width="39.109375" customWidth="1"/>
  </cols>
  <sheetData>
    <row r="1" spans="2:6" s="54" customFormat="1" x14ac:dyDescent="0.3"/>
    <row r="2" spans="2:6" s="54" customFormat="1" ht="31.2" x14ac:dyDescent="0.6">
      <c r="B2" s="55"/>
      <c r="C2" s="55" t="s">
        <v>23</v>
      </c>
    </row>
    <row r="3" spans="2:6" s="54" customFormat="1" x14ac:dyDescent="0.3"/>
    <row r="6" spans="2:6" ht="18" x14ac:dyDescent="0.35">
      <c r="B6" s="154" t="s">
        <v>13</v>
      </c>
      <c r="C6" s="154"/>
      <c r="D6" s="154"/>
      <c r="E6" s="154"/>
      <c r="F6" s="154"/>
    </row>
    <row r="9" spans="2:6" ht="15.6" x14ac:dyDescent="0.3">
      <c r="C9" s="144" t="s">
        <v>20</v>
      </c>
      <c r="D9" s="46"/>
      <c r="E9" s="59" cm="1">
        <f t="array" aca="1" ref="E9" ca="1">current_date</f>
        <v>45560</v>
      </c>
    </row>
    <row r="10" spans="2:6" ht="15.6" x14ac:dyDescent="0.3">
      <c r="C10" s="144" t="s">
        <v>21</v>
      </c>
      <c r="D10" s="46"/>
      <c r="E10" s="91">
        <f>MAX('Відслідковування бюджету'!B16:B59)</f>
        <v>45349</v>
      </c>
    </row>
    <row r="11" spans="2:6" ht="15.6" x14ac:dyDescent="0.3">
      <c r="C11" s="144" t="s">
        <v>100</v>
      </c>
      <c r="D11" s="46"/>
      <c r="E11" s="46" t="str">
        <f ca="1">IF(E10=0,"","("&amp;_xlfn.DAYS(E9,E10)&amp;" днів пройшло)")</f>
        <v>(211 днів пройшло)</v>
      </c>
    </row>
    <row r="12" spans="2:6" ht="15.6" x14ac:dyDescent="0.3">
      <c r="C12" s="144" t="s">
        <v>22</v>
      </c>
      <c r="D12" s="46"/>
      <c r="E12" s="60">
        <f>_xlfn.IFNA(INDEX(Tracking[Баланс],MATCH(Калькулятор!E10,Tracking[Дата],0)),"-")</f>
        <v>-1353</v>
      </c>
    </row>
    <row r="16" spans="2:6" ht="18" x14ac:dyDescent="0.35">
      <c r="B16" s="154" t="s">
        <v>24</v>
      </c>
      <c r="C16" s="154"/>
      <c r="D16" s="154"/>
      <c r="E16" s="154"/>
      <c r="F16" s="154"/>
    </row>
    <row r="19" spans="2:14" ht="15.6" x14ac:dyDescent="0.3">
      <c r="C19" s="144" t="s">
        <v>35</v>
      </c>
      <c r="E19" cm="1">
        <f t="array" aca="1" ref="E19" ca="1">IF(Dashboard!$AQ$6="Поточний рік",YEAR(current_date),Dashboard!$AQ$6)</f>
        <v>2024</v>
      </c>
    </row>
    <row r="20" spans="2:14" ht="16.2" thickBot="1" x14ac:dyDescent="0.35">
      <c r="B20" s="67"/>
      <c r="C20" s="145" t="s">
        <v>34</v>
      </c>
      <c r="D20" s="67"/>
      <c r="E20" s="69" cm="1">
        <f t="array" ref="E20">IF(Dashboard!$AQ$8="Всього за рік","Всього за рік",IF(Dashboard!$AQ$8="Поточний місяць",MONTH(current_date),MONTH(Dashboard!AQ8)))</f>
        <v>2</v>
      </c>
      <c r="F20" s="67"/>
    </row>
    <row r="21" spans="2:14" ht="15.6" x14ac:dyDescent="0.3">
      <c r="C21" s="144" t="s">
        <v>33</v>
      </c>
      <c r="E21" s="68" t="str">
        <f ca="1">IF(selected_period="Всього за рік","Всього за рік",TEXT(DATE(selected_year,selected_period,1),"ММММ"))</f>
        <v>Февраль</v>
      </c>
    </row>
    <row r="22" spans="2:14" ht="15.6" x14ac:dyDescent="0.3">
      <c r="C22" s="144" t="s">
        <v>101</v>
      </c>
      <c r="E22">
        <f ca="1">IF(selected_period="Всього за рік",DATE(selected_year,12,31)-DATE(selected_year-1,12,31),DAY(EOMONTH(DATE(selected_year,selected_period,1),0)))</f>
        <v>29</v>
      </c>
    </row>
    <row r="23" spans="2:14" ht="15.6" x14ac:dyDescent="0.3">
      <c r="C23" s="144" t="s">
        <v>102</v>
      </c>
      <c r="E23" cm="1">
        <f t="array" aca="1" ref="E23" ca="1">IF(selected_year=YEAR(current_date),
    IF(selected_period="Всього за рік",current_date - DATE(selected_year-1,12,31),
       IF(selected_period=MONTH(current_date), DAY(current_date),
         IF(selected_period&lt;MONTH(current_date), E22, 0))),
IF(selected_year&lt;YEAR(current_date), E22,0))</f>
        <v>29</v>
      </c>
    </row>
    <row r="24" spans="2:14" ht="15.6" x14ac:dyDescent="0.3">
      <c r="C24" s="144" t="s">
        <v>103</v>
      </c>
      <c r="E24" s="146">
        <f ca="1">E23/E22</f>
        <v>1</v>
      </c>
    </row>
    <row r="25" spans="2:14" ht="15.6" x14ac:dyDescent="0.3">
      <c r="C25" s="144" t="s">
        <v>104</v>
      </c>
      <c r="E25" s="147">
        <f ca="1">E41-(J41+N41)</f>
        <v>-303</v>
      </c>
    </row>
    <row r="32" spans="2:14" ht="15.6" x14ac:dyDescent="0.3">
      <c r="C32" s="114" t="s">
        <v>80</v>
      </c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</row>
    <row r="34" spans="3:14" x14ac:dyDescent="0.3">
      <c r="C34" s="115" t="s">
        <v>17</v>
      </c>
      <c r="D34" s="115" t="s">
        <v>15</v>
      </c>
      <c r="E34" s="115" t="s">
        <v>50</v>
      </c>
      <c r="H34" s="122" t="s">
        <v>7</v>
      </c>
      <c r="I34" s="122" t="s">
        <v>15</v>
      </c>
      <c r="J34" s="122" t="s">
        <v>50</v>
      </c>
      <c r="L34" s="115" t="s">
        <v>10</v>
      </c>
      <c r="M34" s="115" t="s">
        <v>15</v>
      </c>
      <c r="N34" s="115" t="s">
        <v>50</v>
      </c>
    </row>
    <row r="35" spans="3:14" x14ac:dyDescent="0.3">
      <c r="C35" s="116">
        <v>1</v>
      </c>
      <c r="D35" s="116" t="str" cm="1">
        <f t="array" aca="1" ref="D35" ca="1">IF(E35="","",INDEX(Dashboard!$J:$J, MATCH(income_header_row +Калькулятор!C35,Dashboard!$X:$X,0)))</f>
        <v>Виділення з бюджету</v>
      </c>
      <c r="E35" s="119" cm="1">
        <f t="array" aca="1" ref="E35" ca="1">IF(C35&gt;COUNTA(Дохід[]),"",
   IF(INDEX(Dashboard!$K:$K, MATCH(income_header_row +Калькулятор!C35,Dashboard!$X:$X,0))=0,"",
     INDEX(Dashboard!$K:$K, MATCH(income_header_row +Калькулятор!C35,Dashboard!$X:$X,0))))</f>
        <v>3500</v>
      </c>
      <c r="H35" s="123">
        <v>1</v>
      </c>
      <c r="I35" s="116" t="str" cm="1">
        <f t="array" aca="1" ref="I35" ca="1">IF(J35="","",INDEX(Dashboard!$J:$J, MATCH(expenses_header +Калькулятор!H35,Dashboard!$X:$X,0)))</f>
        <v>Асфальт</v>
      </c>
      <c r="J35" s="119" cm="1">
        <f t="array" aca="1" ref="J35" ca="1">IF(H35&gt;COUNTA(Витрати[]),"",
   IF(INDEX(Dashboard!$K:$K, MATCH(expenses_header +Калькулятор!H35,Dashboard!$X:$X,0))=0,"",
     INDEX(Dashboard!$K:$K, MATCH(expenses_header +Калькулятор!H35,Dashboard!$X:$X,0))))</f>
        <v>700</v>
      </c>
      <c r="L35" s="116">
        <v>1</v>
      </c>
      <c r="M35" s="116" t="str" cm="1">
        <f t="array" aca="1" ref="M35" ca="1">IF(N35="","",INDEX(Dashboard!$J:$J, MATCH(savings_header +Калькулятор!L35,Dashboard!$X:$X,0)))</f>
        <v>Навчання персоналу</v>
      </c>
      <c r="N35" s="119" cm="1">
        <f t="array" aca="1" ref="N35" ca="1">IF(L35&gt;COUNTA(Збереження[]),"",
   IF(INDEX(Dashboard!$K:$K, MATCH(savings_header +Калькулятор!L35,Dashboard!$X:$X,0))=0,"",
     INDEX(Dashboard!$K:$K, MATCH(savings_header +Калькулятор!L35,Dashboard!$X:$X,0))))</f>
        <v>800</v>
      </c>
    </row>
    <row r="36" spans="3:14" x14ac:dyDescent="0.3">
      <c r="C36" s="116">
        <v>2</v>
      </c>
      <c r="D36" s="116" t="str" cm="1">
        <f t="array" aca="1" ref="D36" ca="1">IF(E36="","",INDEX(Dashboard!$J:$J, MATCH(income_header_row +Калькулятор!C36,Dashboard!$X:$X,0)))</f>
        <v>Інвестиції</v>
      </c>
      <c r="E36" s="119" cm="1">
        <f t="array" aca="1" ref="E36" ca="1">IF(C36&gt;COUNTA(Дохід[]),"",
   IF(INDEX(Dashboard!$K:$K, MATCH(income_header_row +Калькулятор!C36,Dashboard!$X:$X,0))=0,"",
     INDEX(Dashboard!$K:$K, MATCH(income_header_row +Калькулятор!C36,Dashboard!$X:$X,0))))</f>
        <v>1000</v>
      </c>
      <c r="H36" s="123">
        <v>2</v>
      </c>
      <c r="I36" s="116" t="str" cm="1">
        <f t="array" aca="1" ref="I36" ca="1">IF(J36="","",INDEX(Dashboard!$J:$J, MATCH(expenses_header +Калькулятор!H36,Dashboard!$X:$X,0)))</f>
        <v>Форма</v>
      </c>
      <c r="J36" s="119" cm="1">
        <f t="array" aca="1" ref="J36" ca="1">IF(H36&gt;COUNTA(Витрати[]),"",
   IF(INDEX(Dashboard!$K:$K, MATCH(expenses_header +Калькулятор!H36,Dashboard!$X:$X,0))=0,"",
     INDEX(Dashboard!$K:$K, MATCH(expenses_header +Калькулятор!H36,Dashboard!$X:$X,0))))</f>
        <v>600</v>
      </c>
      <c r="L36" s="116">
        <v>2</v>
      </c>
      <c r="M36" s="116" t="str" cm="1">
        <f t="array" aca="1" ref="M36" ca="1">IF(N36="","",INDEX(Dashboard!$J:$J, MATCH(savings_header +Калькулятор!L36,Dashboard!$X:$X,0)))</f>
        <v>Основні засоби</v>
      </c>
      <c r="N36" s="119" cm="1">
        <f t="array" aca="1" ref="N36" ca="1">IF(L36&gt;COUNTA(Збереження[]),"",
   IF(INDEX(Dashboard!$K:$K, MATCH(savings_header +Калькулятор!L36,Dashboard!$X:$X,0))=0,"",
     INDEX(Dashboard!$K:$K, MATCH(savings_header +Калькулятор!L36,Dashboard!$X:$X,0))))</f>
        <v>500</v>
      </c>
    </row>
    <row r="37" spans="3:14" x14ac:dyDescent="0.3">
      <c r="C37" s="116">
        <v>3</v>
      </c>
      <c r="D37" s="116" t="str" cm="1">
        <f t="array" aca="1" ref="D37" ca="1">IF(E37="","",INDEX(Dashboard!$J:$J, MATCH(income_header_row +Калькулятор!C37,Dashboard!$X:$X,0)))</f>
        <v/>
      </c>
      <c r="E37" s="119" t="str" cm="1">
        <f t="array" aca="1" ref="E37" ca="1">IF(C37&gt;COUNTA(Дохід[]),"",
   IF(INDEX(Dashboard!$K:$K, MATCH(income_header_row +Калькулятор!C37,Dashboard!$X:$X,0))=0,"",
     INDEX(Dashboard!$K:$K, MATCH(income_header_row +Калькулятор!C37,Dashboard!$X:$X,0))))</f>
        <v/>
      </c>
      <c r="H37" s="123">
        <v>3</v>
      </c>
      <c r="I37" s="116" t="str" cm="1">
        <f t="array" aca="1" ref="I37" ca="1">IF(J37="","",INDEX(Dashboard!$J:$J, MATCH(expenses_header +Калькулятор!H37,Dashboard!$X:$X,0)))</f>
        <v>Арматура</v>
      </c>
      <c r="J37" s="119" cm="1">
        <f t="array" aca="1" ref="J37" ca="1">IF(H37&gt;COUNTA(Витрати[]),"",
   IF(INDEX(Dashboard!$K:$K, MATCH(expenses_header +Калькулятор!H37,Dashboard!$X:$X,0))=0,"",
     INDEX(Dashboard!$K:$K, MATCH(expenses_header +Калькулятор!H37,Dashboard!$X:$X,0))))</f>
        <v>500</v>
      </c>
      <c r="L37" s="116">
        <v>3</v>
      </c>
      <c r="M37" s="116" t="str" cm="1">
        <f t="array" aca="1" ref="M37" ca="1">IF(N37="","",INDEX(Dashboard!$J:$J, MATCH(savings_header +Калькулятор!L37,Dashboard!$X:$X,0)))</f>
        <v>Трактор</v>
      </c>
      <c r="N37" s="119" cm="1">
        <f t="array" aca="1" ref="N37" ca="1">IF(L37&gt;COUNTA(Збереження[]),"",
   IF(INDEX(Dashboard!$K:$K, MATCH(savings_header +Калькулятор!L37,Dashboard!$X:$X,0))=0,"",
     INDEX(Dashboard!$K:$K, MATCH(savings_header +Калькулятор!L37,Dashboard!$X:$X,0))))</f>
        <v>380</v>
      </c>
    </row>
    <row r="38" spans="3:14" x14ac:dyDescent="0.3">
      <c r="C38" s="116">
        <v>4</v>
      </c>
      <c r="D38" s="116" t="str" cm="1">
        <f t="array" ref="D38">IF(E38="","",INDEX(Dashboard!$J:$J, MATCH(income_header_row +Калькулятор!C38,Dashboard!$X:$X,0)))</f>
        <v/>
      </c>
      <c r="E38" s="119" t="str" cm="1">
        <f t="array" ref="E38">IF(C38&gt;COUNTA(Дохід[]),"",
   IF(INDEX(Dashboard!$K:$K, MATCH(income_header_row +Калькулятор!C38,Dashboard!$X:$X,0))=0,"",
     INDEX(Dashboard!$K:$K, MATCH(income_header_row +Калькулятор!C38,Dashboard!$X:$X,0))))</f>
        <v/>
      </c>
      <c r="H38" s="123">
        <v>4</v>
      </c>
      <c r="I38" s="116" t="str" cm="1">
        <f t="array" aca="1" ref="I38" ca="1">IF(J38="","",INDEX(Dashboard!$J:$J, MATCH(expenses_header +Калькулятор!H38,Dashboard!$X:$X,0)))</f>
        <v>Шини</v>
      </c>
      <c r="J38" s="119" cm="1">
        <f t="array" aca="1" ref="J38" ca="1">IF(H38&gt;COUNTA(Витрати[]),"",
   IF(INDEX(Dashboard!$K:$K, MATCH(expenses_header +Калькулятор!H38,Dashboard!$X:$X,0))=0,"",
     INDEX(Dashboard!$K:$K, MATCH(expenses_header +Калькулятор!H38,Dashboard!$X:$X,0))))</f>
        <v>300</v>
      </c>
      <c r="L38" s="116">
        <v>4</v>
      </c>
      <c r="M38" s="116" t="str" cm="1">
        <f t="array" aca="1" ref="M38" ca="1">IF(N38="","",INDEX(Dashboard!$J:$J, MATCH(savings_header +Калькулятор!L38,Dashboard!$X:$X,0)))</f>
        <v>Автогрейдер</v>
      </c>
      <c r="N38" s="119" cm="1">
        <f t="array" aca="1" ref="N38" ca="1">IF(L38&gt;COUNTA(Збереження[]),"",
   IF(INDEX(Dashboard!$K:$K, MATCH(savings_header +Калькулятор!L38,Dashboard!$X:$X,0))=0,"",
     INDEX(Dashboard!$K:$K, MATCH(savings_header +Калькулятор!L38,Dashboard!$X:$X,0))))</f>
        <v>150</v>
      </c>
    </row>
    <row r="39" spans="3:14" ht="15" thickBot="1" x14ac:dyDescent="0.35">
      <c r="C39" s="116">
        <v>5</v>
      </c>
      <c r="D39" s="116" t="str" cm="1">
        <f t="array" ref="D39">IF(E39="","",INDEX(Dashboard!$J:$J, MATCH(income_header_row +Калькулятор!C39,Dashboard!$X:$X,0)))</f>
        <v/>
      </c>
      <c r="E39" s="119" t="str" cm="1">
        <f t="array" ref="E39">IF(C39&gt;COUNTA(Дохід[]),"",
   IF(INDEX(Dashboard!$K:$K, MATCH(income_header_row +Калькулятор!C39,Dashboard!$X:$X,0))=0,"",
     INDEX(Dashboard!$K:$K, MATCH(income_header_row +Калькулятор!C39,Dashboard!$X:$X,0))))</f>
        <v/>
      </c>
      <c r="H39" s="123">
        <v>5</v>
      </c>
      <c r="I39" s="116" t="str" cm="1">
        <f t="array" aca="1" ref="I39" ca="1">IF(J39="","",INDEX(Dashboard!$J:$J, MATCH(expenses_header +Калькулятор!H39,Dashboard!$X:$X,0)))</f>
        <v>Дорожні знаки</v>
      </c>
      <c r="J39" s="119" cm="1">
        <f t="array" aca="1" ref="J39" ca="1">IF(H39&gt;COUNTA(Витрати[]),"",
   IF(INDEX(Dashboard!$K:$K, MATCH(expenses_header +Калькулятор!H39,Dashboard!$X:$X,0))=0,"",
     INDEX(Dashboard!$K:$K, MATCH(expenses_header +Калькулятор!H39,Dashboard!$X:$X,0))))</f>
        <v>300</v>
      </c>
      <c r="L39" s="116">
        <v>5</v>
      </c>
      <c r="M39" s="116" t="str" cm="1">
        <f t="array" aca="1" ref="M39" ca="1">IF(N39="","",INDEX(Dashboard!$J:$J, MATCH(savings_header +Калькулятор!L39,Dashboard!$X:$X,0)))</f>
        <v/>
      </c>
      <c r="N39" s="119" t="str" cm="1">
        <f t="array" aca="1" ref="N39" ca="1">IF(L39&gt;COUNTA(Збереження[]),"",
   IF(INDEX(Dashboard!$K:$K, MATCH(savings_header +Калькулятор!L39,Dashboard!$X:$X,0))=0,"",
     INDEX(Dashboard!$K:$K, MATCH(savings_header +Калькулятор!L39,Dashboard!$X:$X,0))))</f>
        <v/>
      </c>
    </row>
    <row r="40" spans="3:14" ht="15" thickBot="1" x14ac:dyDescent="0.35">
      <c r="C40" s="117">
        <v>6</v>
      </c>
      <c r="D40" s="117" t="str">
        <f ca="1">IF(E40="","","Інше")</f>
        <v/>
      </c>
      <c r="E40" s="120" t="str">
        <f ca="1">IF(E41-SUM(E35:E39)=0,"",E41-SUM(E35:E39))</f>
        <v/>
      </c>
      <c r="H40" s="124">
        <v>6</v>
      </c>
      <c r="I40" s="117" t="str">
        <f ca="1">IF(J40="","","Інше")</f>
        <v>Інше</v>
      </c>
      <c r="J40" s="120">
        <f ca="1">IF(J41-SUM(J35:J39)=0,"",J41-SUM(J35:J39))</f>
        <v>573</v>
      </c>
      <c r="L40" s="117">
        <v>6</v>
      </c>
      <c r="M40" s="117" t="str">
        <f ca="1">IF(N40="","","Інше")</f>
        <v/>
      </c>
      <c r="N40" s="120" t="str">
        <f ca="1">IF(N41-SUM(N35:N39)=0,"",N41-SUM(N35:N39))</f>
        <v/>
      </c>
    </row>
    <row r="41" spans="3:14" ht="15" thickTop="1" x14ac:dyDescent="0.3">
      <c r="C41" s="116"/>
      <c r="D41" s="118" t="s">
        <v>6</v>
      </c>
      <c r="E41" s="121" cm="1">
        <f t="array" aca="1" ref="E41" ca="1">INDEX(Dashboard!$K:$K, MATCH(income_total,Dashboard!$X:$X,0))</f>
        <v>4500</v>
      </c>
      <c r="H41" s="123"/>
      <c r="I41" s="118" t="s">
        <v>6</v>
      </c>
      <c r="J41" s="121" cm="1">
        <f t="array" aca="1" ref="J41" ca="1">INDEX(Dashboard!$K:$K, MATCH(expenses_total,Dashboard!$X:$X,0))</f>
        <v>2973</v>
      </c>
      <c r="L41" s="116"/>
      <c r="M41" s="118" t="s">
        <v>6</v>
      </c>
      <c r="N41" s="121" cm="1">
        <f t="array" aca="1" ref="N41" ca="1">INDEX(Dashboard!$K:$K, MATCH(savings_total,Dashboard!$X:$X,0))</f>
        <v>1830</v>
      </c>
    </row>
    <row r="47" spans="3:14" ht="15.6" x14ac:dyDescent="0.3">
      <c r="C47" s="114" t="s">
        <v>82</v>
      </c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</row>
    <row r="49" spans="3:17" x14ac:dyDescent="0.3">
      <c r="C49" t="s">
        <v>95</v>
      </c>
      <c r="D49" t="b">
        <v>1</v>
      </c>
    </row>
    <row r="50" spans="3:17" x14ac:dyDescent="0.3">
      <c r="C50" t="s">
        <v>96</v>
      </c>
      <c r="D50" t="b">
        <v>1</v>
      </c>
    </row>
    <row r="51" spans="3:17" x14ac:dyDescent="0.3">
      <c r="C51" t="s">
        <v>97</v>
      </c>
      <c r="D51" t="b">
        <v>1</v>
      </c>
    </row>
    <row r="52" spans="3:17" x14ac:dyDescent="0.3">
      <c r="C52" t="s">
        <v>98</v>
      </c>
      <c r="D52" t="b">
        <v>1</v>
      </c>
    </row>
    <row r="53" spans="3:17" x14ac:dyDescent="0.3">
      <c r="L53" s="155" t="s">
        <v>91</v>
      </c>
      <c r="M53" s="155"/>
      <c r="N53" s="155"/>
      <c r="O53" s="156" t="s">
        <v>99</v>
      </c>
      <c r="P53" s="156"/>
      <c r="Q53" s="156"/>
    </row>
    <row r="54" spans="3:17" x14ac:dyDescent="0.3">
      <c r="C54" s="115" t="s">
        <v>83</v>
      </c>
      <c r="D54" s="115" t="s">
        <v>14</v>
      </c>
      <c r="E54" s="135" t="s">
        <v>90</v>
      </c>
      <c r="F54" s="135" t="s">
        <v>84</v>
      </c>
      <c r="G54" s="135" t="s">
        <v>85</v>
      </c>
      <c r="H54" s="135" t="s">
        <v>86</v>
      </c>
      <c r="I54" s="135" t="s">
        <v>87</v>
      </c>
      <c r="J54" s="135" t="s">
        <v>88</v>
      </c>
      <c r="K54" s="135" t="s">
        <v>89</v>
      </c>
      <c r="L54" s="135" t="s">
        <v>92</v>
      </c>
      <c r="M54" s="135" t="s">
        <v>93</v>
      </c>
      <c r="N54" s="135" t="s">
        <v>94</v>
      </c>
      <c r="O54" s="135" t="s">
        <v>92</v>
      </c>
      <c r="P54" s="135" t="s">
        <v>93</v>
      </c>
      <c r="Q54" s="135" t="s">
        <v>94</v>
      </c>
    </row>
    <row r="55" spans="3:17" x14ac:dyDescent="0.3">
      <c r="C55" s="151">
        <f ca="1">DATE(selected_year,1,1)</f>
        <v>45292</v>
      </c>
      <c r="D55" s="129" t="s">
        <v>17</v>
      </c>
      <c r="E55" s="136">
        <f ca="1">MONTH(C55)</f>
        <v>1</v>
      </c>
      <c r="F55" s="136">
        <f ca="1">IF(selected_period="Всього за рік", 1, IF(selected_period=cc_month, 1, 0))</f>
        <v>0</v>
      </c>
      <c r="G55" s="136">
        <f>1*$D$49</f>
        <v>1</v>
      </c>
      <c r="H55" s="136">
        <f>1*$D$52</f>
        <v>1</v>
      </c>
      <c r="I55" s="134" cm="1">
        <f t="array" aca="1" ref="I55" ca="1">SUM(Tracking[Сума] * (Tracking[Тип]=cc_type) * (YEAR(Tracking[Період])=selected_year) * (MONTH(Tracking[Період])=cc_month) )</f>
        <v>0</v>
      </c>
      <c r="J55" s="134" cm="1">
        <f t="array" aca="1" ref="J55" ca="1">INDEX('Планування бюджету'!$E:$BG,income_total,
MATCH(DATE(selected_year,cc_month,1),'Планування бюджету'!$E$9:$BG$9,0))</f>
        <v>4650</v>
      </c>
      <c r="K55" s="134">
        <f ca="1">cc_budget - cc_tracked</f>
        <v>4650</v>
      </c>
      <c r="L55" s="132">
        <f ca="1">cc_in_focus * cc_show_type * MIN(cc_tracked,cc_budget)</f>
        <v>0</v>
      </c>
      <c r="M55" s="132">
        <f ca="1">cc_in_focus * cc_show_type * cc_show_remaning_budget * IF(cc_delta&gt;0, cc_delta,0)</f>
        <v>0</v>
      </c>
      <c r="N55" s="132">
        <f ca="1">cc_in_focus * cc_show_type * IF(cc_delta&lt;0, ABS(cc_delta),0)</f>
        <v>0</v>
      </c>
      <c r="O55" s="132">
        <f ca="1">NOT(cc_in_focus) * cc_show_type * MIN(cc_tracked,cc_budget)</f>
        <v>0</v>
      </c>
      <c r="P55" s="132">
        <f ca="1">NOT(cc_in_focus) * cc_show_type * cc_show_remaning_budget * IF(cc_delta&gt;0, cc_delta,0)</f>
        <v>4650</v>
      </c>
      <c r="Q55" s="132">
        <f ca="1">NOT(cc_in_focus) * cc_show_type * IF(cc_delta&lt;0, ABS(cc_delta),0)</f>
        <v>0</v>
      </c>
    </row>
    <row r="56" spans="3:17" x14ac:dyDescent="0.3">
      <c r="C56" s="152"/>
      <c r="D56" s="130" t="s">
        <v>7</v>
      </c>
      <c r="E56" s="137">
        <f ca="1">MONTH(C55)</f>
        <v>1</v>
      </c>
      <c r="F56" s="137">
        <f ca="1">IF(selected_period="Всього за рік", 1, IF(selected_period=cc_month, 1, 0))</f>
        <v>0</v>
      </c>
      <c r="G56" s="137">
        <f>1*$D$50</f>
        <v>1</v>
      </c>
      <c r="H56" s="137">
        <f t="shared" ref="H56:H57" si="0">1*$D$52</f>
        <v>1</v>
      </c>
      <c r="I56" s="90" cm="1">
        <f t="array" aca="1" ref="I56" ca="1">SUM(Tracking[Сума] * (Tracking[Тип]=cc_type) * (YEAR(Tracking[Період])=selected_year) * (MONTH(Tracking[Період])=cc_month) )</f>
        <v>0</v>
      </c>
      <c r="J56" s="90" cm="1">
        <f t="array" aca="1" ref="J56" ca="1">INDEX('Планування бюджету'!$E:$BG,expenses_total,
MATCH(DATE(selected_year,cc_month,1),'Планування бюджету'!$E$9:$BG$9,0))</f>
        <v>2900</v>
      </c>
      <c r="K56" s="90">
        <f ca="1">cc_budget - cc_tracked</f>
        <v>2900</v>
      </c>
      <c r="L56" s="133">
        <f ca="1">cc_in_focus * cc_show_type * MIN(cc_tracked,cc_budget)</f>
        <v>0</v>
      </c>
      <c r="M56" s="133">
        <f ca="1">cc_in_focus * cc_show_type * cc_show_remaning_budget * IF(cc_delta&gt;0, cc_delta,0)</f>
        <v>0</v>
      </c>
      <c r="N56" s="133">
        <f ca="1">cc_in_focus * cc_show_type * IF(cc_delta&lt;0, ABS(cc_delta),0)</f>
        <v>0</v>
      </c>
      <c r="O56" s="133">
        <f ca="1">NOT(cc_in_focus) * cc_show_type * MIN(cc_tracked,cc_budget)</f>
        <v>0</v>
      </c>
      <c r="P56" s="133">
        <f ca="1">NOT(cc_in_focus) * cc_show_type * cc_show_remaning_budget * IF(cc_delta&gt;0, cc_delta,0)</f>
        <v>2900</v>
      </c>
      <c r="Q56" s="133">
        <f ca="1">NOT(cc_in_focus) * cc_show_type * IF(cc_delta&lt;0, ABS(cc_delta),0)</f>
        <v>0</v>
      </c>
    </row>
    <row r="57" spans="3:17" x14ac:dyDescent="0.3">
      <c r="C57" s="152"/>
      <c r="D57" s="130" t="s">
        <v>10</v>
      </c>
      <c r="E57" s="137">
        <f ca="1">MONTH(C55)</f>
        <v>1</v>
      </c>
      <c r="F57" s="137">
        <f ca="1">IF(selected_period="Всього за рік", 1, IF(selected_period=cc_month, 1, 0))</f>
        <v>0</v>
      </c>
      <c r="G57" s="137">
        <f>1*$D$51</f>
        <v>1</v>
      </c>
      <c r="H57" s="137">
        <f t="shared" si="0"/>
        <v>1</v>
      </c>
      <c r="I57" s="90" cm="1">
        <f t="array" aca="1" ref="I57" ca="1">SUM(Tracking[Сума] * (Tracking[Тип]=cc_type) * (YEAR(Tracking[Період])=selected_year) * (MONTH(Tracking[Період])=cc_month) )</f>
        <v>0</v>
      </c>
      <c r="J57" s="90" cm="1">
        <f t="array" aca="1" ref="J57" ca="1">INDEX('Планування бюджету'!$E:$BG,savings_total,
MATCH(DATE(selected_year,cc_month,1),'Планування бюджету'!$E$9:$BG$9,0))</f>
        <v>1750</v>
      </c>
      <c r="K57" s="90">
        <f ca="1">cc_budget - cc_tracked</f>
        <v>1750</v>
      </c>
      <c r="L57" s="133">
        <f ca="1">cc_in_focus * cc_show_type * MIN(cc_tracked,cc_budget)</f>
        <v>0</v>
      </c>
      <c r="M57" s="133">
        <f ca="1">cc_in_focus * cc_show_type * cc_show_remaning_budget * IF(cc_delta&gt;0, cc_delta,0)</f>
        <v>0</v>
      </c>
      <c r="N57" s="133">
        <f ca="1">cc_in_focus * cc_show_type * IF(cc_delta&lt;0, ABS(cc_delta),0)</f>
        <v>0</v>
      </c>
      <c r="O57" s="133">
        <f ca="1">NOT(cc_in_focus) * cc_show_type * MIN(cc_tracked,cc_budget)</f>
        <v>0</v>
      </c>
      <c r="P57" s="133">
        <f ca="1">NOT(cc_in_focus) * cc_show_type * cc_show_remaning_budget * IF(cc_delta&gt;0, cc_delta,0)</f>
        <v>1750</v>
      </c>
      <c r="Q57" s="133">
        <f ca="1">NOT(cc_in_focus) * cc_show_type * IF(cc_delta&lt;0, ABS(cc_delta),0)</f>
        <v>0</v>
      </c>
    </row>
    <row r="58" spans="3:17" x14ac:dyDescent="0.3">
      <c r="C58" s="153"/>
      <c r="D58" s="131"/>
      <c r="E58" s="137"/>
      <c r="F58" s="137"/>
      <c r="G58" s="137"/>
      <c r="H58" s="137"/>
      <c r="I58" s="90"/>
      <c r="J58" s="90"/>
      <c r="K58" s="90"/>
      <c r="L58" s="133"/>
      <c r="M58" s="133"/>
      <c r="N58" s="133"/>
      <c r="O58" s="133"/>
      <c r="P58" s="133"/>
      <c r="Q58" s="133"/>
    </row>
    <row r="59" spans="3:17" x14ac:dyDescent="0.3">
      <c r="C59" s="151">
        <f ca="1">DATE(selected_year,2,1)</f>
        <v>45323</v>
      </c>
      <c r="D59" s="129" t="s">
        <v>17</v>
      </c>
      <c r="E59" s="136">
        <f t="shared" ref="E59" ca="1" si="1">MONTH(C59)</f>
        <v>2</v>
      </c>
      <c r="F59" s="136">
        <f ca="1">IF(selected_period="Всього за рік", 1, IF(selected_period=cc_month, 1, 0))</f>
        <v>1</v>
      </c>
      <c r="G59" s="136">
        <f t="shared" ref="G59" si="2">1*$D$49</f>
        <v>1</v>
      </c>
      <c r="H59" s="136">
        <f t="shared" ref="H59:H101" si="3">1*$D$52</f>
        <v>1</v>
      </c>
      <c r="I59" s="134" cm="1">
        <f t="array" aca="1" ref="I59" ca="1">SUM(Tracking[Сума] * (Tracking[Тип]=cc_type) * (YEAR(Tracking[Період])=selected_year) * (MONTH(Tracking[Період])=cc_month) )</f>
        <v>2973</v>
      </c>
      <c r="J59" s="134" cm="1">
        <f t="array" aca="1" ref="J59" ca="1">INDEX('Планування бюджету'!$E:$BG,income_total,
MATCH(DATE(selected_year,cc_month,1),'Планування бюджету'!$E$9:$BG$9,0))</f>
        <v>4550</v>
      </c>
      <c r="K59" s="134">
        <f ca="1">cc_budget - cc_tracked</f>
        <v>1577</v>
      </c>
      <c r="L59" s="132">
        <f ca="1">cc_in_focus * cc_show_type * MIN(cc_tracked,cc_budget)</f>
        <v>2973</v>
      </c>
      <c r="M59" s="132">
        <f ca="1">cc_in_focus * cc_show_type * cc_show_remaning_budget * IF(cc_delta&gt;0, cc_delta,0)</f>
        <v>1577</v>
      </c>
      <c r="N59" s="132">
        <f ca="1">cc_in_focus * cc_show_type * IF(cc_delta&lt;0, ABS(cc_delta),0)</f>
        <v>0</v>
      </c>
      <c r="O59" s="132">
        <f ca="1">NOT(cc_in_focus) * cc_show_type * MIN(cc_tracked,cc_budget)</f>
        <v>0</v>
      </c>
      <c r="P59" s="132">
        <f ca="1">NOT(cc_in_focus) * cc_show_type * cc_show_remaning_budget * IF(cc_delta&gt;0, cc_delta,0)</f>
        <v>0</v>
      </c>
      <c r="Q59" s="132">
        <f ca="1">NOT(cc_in_focus) * cc_show_type * IF(cc_delta&lt;0, ABS(cc_delta),0)</f>
        <v>0</v>
      </c>
    </row>
    <row r="60" spans="3:17" x14ac:dyDescent="0.3">
      <c r="C60" s="152"/>
      <c r="D60" s="130" t="s">
        <v>7</v>
      </c>
      <c r="E60" s="137">
        <f t="shared" ref="E60" ca="1" si="4">MONTH(C59)</f>
        <v>2</v>
      </c>
      <c r="F60" s="137">
        <f ca="1">IF(selected_period="Всього за рік", 1, IF(selected_period=cc_month, 1, 0))</f>
        <v>1</v>
      </c>
      <c r="G60" s="137">
        <f t="shared" ref="G60" si="5">1*$D$50</f>
        <v>1</v>
      </c>
      <c r="H60" s="137">
        <f t="shared" si="3"/>
        <v>1</v>
      </c>
      <c r="I60" s="90" cm="1">
        <f t="array" aca="1" ref="I60" ca="1">SUM(Tracking[Сума] * (Tracking[Тип]=cc_type) * (YEAR(Tracking[Період])=selected_year) * (MONTH(Tracking[Період])=cc_month) )</f>
        <v>1830</v>
      </c>
      <c r="J60" s="90" cm="1">
        <f t="array" aca="1" ref="J60" ca="1">INDEX('Планування бюджету'!$E:$BG,expenses_total,
MATCH(DATE(selected_year,cc_month,1),'Планування бюджету'!$E$9:$BG$9,0))</f>
        <v>2900</v>
      </c>
      <c r="K60" s="90">
        <f ca="1">cc_budget - cc_tracked</f>
        <v>1070</v>
      </c>
      <c r="L60" s="133">
        <f ca="1">cc_in_focus * cc_show_type * MIN(cc_tracked,cc_budget)</f>
        <v>1830</v>
      </c>
      <c r="M60" s="133">
        <f ca="1">cc_in_focus * cc_show_type * cc_show_remaning_budget * IF(cc_delta&gt;0, cc_delta,0)</f>
        <v>1070</v>
      </c>
      <c r="N60" s="133">
        <f ca="1">cc_in_focus * cc_show_type * IF(cc_delta&lt;0, ABS(cc_delta),0)</f>
        <v>0</v>
      </c>
      <c r="O60" s="133">
        <f ca="1">NOT(cc_in_focus) * cc_show_type * MIN(cc_tracked,cc_budget)</f>
        <v>0</v>
      </c>
      <c r="P60" s="133">
        <f ca="1">NOT(cc_in_focus) * cc_show_type * cc_show_remaning_budget * IF(cc_delta&gt;0, cc_delta,0)</f>
        <v>0</v>
      </c>
      <c r="Q60" s="133">
        <f ca="1">NOT(cc_in_focus) * cc_show_type * IF(cc_delta&lt;0, ABS(cc_delta),0)</f>
        <v>0</v>
      </c>
    </row>
    <row r="61" spans="3:17" x14ac:dyDescent="0.3">
      <c r="C61" s="152"/>
      <c r="D61" s="130" t="s">
        <v>10</v>
      </c>
      <c r="E61" s="137">
        <f t="shared" ref="E61" ca="1" si="6">MONTH(C59)</f>
        <v>2</v>
      </c>
      <c r="F61" s="137">
        <f ca="1">IF(selected_period="Всього за рік", 1, IF(selected_period=cc_month, 1, 0))</f>
        <v>1</v>
      </c>
      <c r="G61" s="137">
        <f t="shared" ref="G61" si="7">1*$D$51</f>
        <v>1</v>
      </c>
      <c r="H61" s="137">
        <f t="shared" si="3"/>
        <v>1</v>
      </c>
      <c r="I61" s="90" cm="1">
        <f t="array" aca="1" ref="I61" ca="1">SUM(Tracking[Сума] * (Tracking[Тип]=cc_type) * (YEAR(Tracking[Період])=selected_year) * (MONTH(Tracking[Період])=cc_month) )</f>
        <v>0</v>
      </c>
      <c r="J61" s="90" cm="1">
        <f t="array" aca="1" ref="J61" ca="1">INDEX('Планування бюджету'!$E:$BG,savings_total,
MATCH(DATE(selected_year,cc_month,1),'Планування бюджету'!$E$9:$BG$9,0))</f>
        <v>1650</v>
      </c>
      <c r="K61" s="90">
        <f ca="1">cc_budget - cc_tracked</f>
        <v>1650</v>
      </c>
      <c r="L61" s="133">
        <f ca="1">cc_in_focus * cc_show_type * MIN(cc_tracked,cc_budget)</f>
        <v>0</v>
      </c>
      <c r="M61" s="133">
        <f ca="1">cc_in_focus * cc_show_type * cc_show_remaning_budget * IF(cc_delta&gt;0, cc_delta,0)</f>
        <v>1650</v>
      </c>
      <c r="N61" s="133">
        <f ca="1">cc_in_focus * cc_show_type * IF(cc_delta&lt;0, ABS(cc_delta),0)</f>
        <v>0</v>
      </c>
      <c r="O61" s="133">
        <f ca="1">NOT(cc_in_focus) * cc_show_type * MIN(cc_tracked,cc_budget)</f>
        <v>0</v>
      </c>
      <c r="P61" s="133">
        <f ca="1">NOT(cc_in_focus) * cc_show_type * cc_show_remaning_budget * IF(cc_delta&gt;0, cc_delta,0)</f>
        <v>0</v>
      </c>
      <c r="Q61" s="133">
        <f ca="1">NOT(cc_in_focus) * cc_show_type * IF(cc_delta&lt;0, ABS(cc_delta),0)</f>
        <v>0</v>
      </c>
    </row>
    <row r="62" spans="3:17" x14ac:dyDescent="0.3">
      <c r="C62" s="153"/>
      <c r="D62" s="131"/>
      <c r="E62" s="137"/>
      <c r="F62" s="137"/>
      <c r="G62" s="137"/>
      <c r="H62" s="137"/>
      <c r="I62" s="90"/>
      <c r="J62" s="90"/>
      <c r="K62" s="90"/>
      <c r="L62" s="133"/>
      <c r="M62" s="133"/>
      <c r="N62" s="133"/>
      <c r="O62" s="133"/>
      <c r="P62" s="133"/>
      <c r="Q62" s="133"/>
    </row>
    <row r="63" spans="3:17" x14ac:dyDescent="0.3">
      <c r="C63" s="151">
        <f ca="1">DATE(selected_year,3,1)</f>
        <v>45352</v>
      </c>
      <c r="D63" s="129" t="s">
        <v>17</v>
      </c>
      <c r="E63" s="136">
        <f t="shared" ref="E63" ca="1" si="8">MONTH(C63)</f>
        <v>3</v>
      </c>
      <c r="F63" s="136">
        <f ca="1">IF(selected_period="Всього за рік", 1, IF(selected_period=cc_month, 1, 0))</f>
        <v>0</v>
      </c>
      <c r="G63" s="136">
        <f t="shared" ref="G63" si="9">1*$D$49</f>
        <v>1</v>
      </c>
      <c r="H63" s="136">
        <f t="shared" ref="H63" si="10">1*$D$52</f>
        <v>1</v>
      </c>
      <c r="I63" s="134" cm="1">
        <f t="array" aca="1" ref="I63" ca="1">SUM(Tracking[Сума] * (Tracking[Тип]=cc_type) * (YEAR(Tracking[Період])=selected_year) * (MONTH(Tracking[Період])=cc_month) )</f>
        <v>0</v>
      </c>
      <c r="J63" s="134" cm="1">
        <f t="array" aca="1" ref="J63" ca="1">INDEX('Планування бюджету'!$E:$BG,income_total,
MATCH(DATE(selected_year,cc_month,1),'Планування бюджету'!$E$9:$BG$9,0))</f>
        <v>4600</v>
      </c>
      <c r="K63" s="134">
        <f ca="1">cc_budget - cc_tracked</f>
        <v>4600</v>
      </c>
      <c r="L63" s="132">
        <f ca="1">cc_in_focus * cc_show_type * MIN(cc_tracked,cc_budget)</f>
        <v>0</v>
      </c>
      <c r="M63" s="132">
        <f ca="1">cc_in_focus * cc_show_type * cc_show_remaning_budget * IF(cc_delta&gt;0, cc_delta,0)</f>
        <v>0</v>
      </c>
      <c r="N63" s="132">
        <f ca="1">cc_in_focus * cc_show_type * IF(cc_delta&lt;0, ABS(cc_delta),0)</f>
        <v>0</v>
      </c>
      <c r="O63" s="132">
        <f ca="1">NOT(cc_in_focus) * cc_show_type * MIN(cc_tracked,cc_budget)</f>
        <v>0</v>
      </c>
      <c r="P63" s="132">
        <f ca="1">NOT(cc_in_focus) * cc_show_type * cc_show_remaning_budget * IF(cc_delta&gt;0, cc_delta,0)</f>
        <v>4600</v>
      </c>
      <c r="Q63" s="132">
        <f ca="1">NOT(cc_in_focus) * cc_show_type * IF(cc_delta&lt;0, ABS(cc_delta),0)</f>
        <v>0</v>
      </c>
    </row>
    <row r="64" spans="3:17" x14ac:dyDescent="0.3">
      <c r="C64" s="152"/>
      <c r="D64" s="130" t="s">
        <v>7</v>
      </c>
      <c r="E64" s="137">
        <f t="shared" ref="E64" ca="1" si="11">MONTH(C63)</f>
        <v>3</v>
      </c>
      <c r="F64" s="137">
        <f ca="1">IF(selected_period="Всього за рік", 1, IF(selected_period=cc_month, 1, 0))</f>
        <v>0</v>
      </c>
      <c r="G64" s="137">
        <f t="shared" ref="G64" si="12">1*$D$50</f>
        <v>1</v>
      </c>
      <c r="H64" s="137">
        <f t="shared" si="3"/>
        <v>1</v>
      </c>
      <c r="I64" s="90" cm="1">
        <f t="array" aca="1" ref="I64" ca="1">SUM(Tracking[Сума] * (Tracking[Тип]=cc_type) * (YEAR(Tracking[Період])=selected_year) * (MONTH(Tracking[Період])=cc_month) )</f>
        <v>0</v>
      </c>
      <c r="J64" s="90" cm="1">
        <f t="array" aca="1" ref="J64" ca="1">INDEX('Планування бюджету'!$E:$BG,expenses_total,
MATCH(DATE(selected_year,cc_month,1),'Планування бюджету'!$E$9:$BG$9,0))</f>
        <v>3050</v>
      </c>
      <c r="K64" s="90">
        <f ca="1">cc_budget - cc_tracked</f>
        <v>3050</v>
      </c>
      <c r="L64" s="133">
        <f ca="1">cc_in_focus * cc_show_type * MIN(cc_tracked,cc_budget)</f>
        <v>0</v>
      </c>
      <c r="M64" s="133">
        <f ca="1">cc_in_focus * cc_show_type * cc_show_remaning_budget * IF(cc_delta&gt;0, cc_delta,0)</f>
        <v>0</v>
      </c>
      <c r="N64" s="133">
        <f ca="1">cc_in_focus * cc_show_type * IF(cc_delta&lt;0, ABS(cc_delta),0)</f>
        <v>0</v>
      </c>
      <c r="O64" s="133">
        <f ca="1">NOT(cc_in_focus) * cc_show_type * MIN(cc_tracked,cc_budget)</f>
        <v>0</v>
      </c>
      <c r="P64" s="133">
        <f ca="1">NOT(cc_in_focus) * cc_show_type * cc_show_remaning_budget * IF(cc_delta&gt;0, cc_delta,0)</f>
        <v>3050</v>
      </c>
      <c r="Q64" s="133">
        <f ca="1">NOT(cc_in_focus) * cc_show_type * IF(cc_delta&lt;0, ABS(cc_delta),0)</f>
        <v>0</v>
      </c>
    </row>
    <row r="65" spans="3:17" x14ac:dyDescent="0.3">
      <c r="C65" s="152"/>
      <c r="D65" s="130" t="s">
        <v>10</v>
      </c>
      <c r="E65" s="137">
        <f t="shared" ref="E65" ca="1" si="13">MONTH(C63)</f>
        <v>3</v>
      </c>
      <c r="F65" s="137">
        <f ca="1">IF(selected_period="Всього за рік", 1, IF(selected_period=cc_month, 1, 0))</f>
        <v>0</v>
      </c>
      <c r="G65" s="137">
        <f t="shared" ref="G65" si="14">1*$D$51</f>
        <v>1</v>
      </c>
      <c r="H65" s="137">
        <f t="shared" si="3"/>
        <v>1</v>
      </c>
      <c r="I65" s="90" cm="1">
        <f t="array" aca="1" ref="I65" ca="1">SUM(Tracking[Сума] * (Tracking[Тип]=cc_type) * (YEAR(Tracking[Період])=selected_year) * (MONTH(Tracking[Період])=cc_month) )</f>
        <v>0</v>
      </c>
      <c r="J65" s="90" cm="1">
        <f t="array" aca="1" ref="J65" ca="1">INDEX('Планування бюджету'!$E:$BG,savings_total,
MATCH(DATE(selected_year,cc_month,1),'Планування бюджету'!$E$9:$BG$9,0))</f>
        <v>1550</v>
      </c>
      <c r="K65" s="90">
        <f ca="1">cc_budget - cc_tracked</f>
        <v>1550</v>
      </c>
      <c r="L65" s="133">
        <f ca="1">cc_in_focus * cc_show_type * MIN(cc_tracked,cc_budget)</f>
        <v>0</v>
      </c>
      <c r="M65" s="133">
        <f ca="1">cc_in_focus * cc_show_type * cc_show_remaning_budget * IF(cc_delta&gt;0, cc_delta,0)</f>
        <v>0</v>
      </c>
      <c r="N65" s="133">
        <f ca="1">cc_in_focus * cc_show_type * IF(cc_delta&lt;0, ABS(cc_delta),0)</f>
        <v>0</v>
      </c>
      <c r="O65" s="133">
        <f ca="1">NOT(cc_in_focus) * cc_show_type * MIN(cc_tracked,cc_budget)</f>
        <v>0</v>
      </c>
      <c r="P65" s="133">
        <f ca="1">NOT(cc_in_focus) * cc_show_type * cc_show_remaning_budget * IF(cc_delta&gt;0, cc_delta,0)</f>
        <v>1550</v>
      </c>
      <c r="Q65" s="133">
        <f ca="1">NOT(cc_in_focus) * cc_show_type * IF(cc_delta&lt;0, ABS(cc_delta),0)</f>
        <v>0</v>
      </c>
    </row>
    <row r="66" spans="3:17" x14ac:dyDescent="0.3">
      <c r="C66" s="153"/>
      <c r="D66" s="131"/>
      <c r="E66" s="137"/>
      <c r="F66" s="137"/>
      <c r="G66" s="137"/>
      <c r="H66" s="137"/>
      <c r="I66" s="90"/>
      <c r="J66" s="90"/>
      <c r="K66" s="90"/>
      <c r="L66" s="133"/>
      <c r="M66" s="133"/>
      <c r="N66" s="133"/>
      <c r="O66" s="133"/>
      <c r="P66" s="133"/>
      <c r="Q66" s="133"/>
    </row>
    <row r="67" spans="3:17" x14ac:dyDescent="0.3">
      <c r="C67" s="151">
        <f ca="1">DATE(selected_year,4,1)</f>
        <v>45383</v>
      </c>
      <c r="D67" s="129" t="s">
        <v>17</v>
      </c>
      <c r="E67" s="136">
        <f t="shared" ref="E67" ca="1" si="15">MONTH(C67)</f>
        <v>4</v>
      </c>
      <c r="F67" s="136">
        <f ca="1">IF(selected_period="Всього за рік", 1, IF(selected_period=cc_month, 1, 0))</f>
        <v>0</v>
      </c>
      <c r="G67" s="136">
        <f t="shared" ref="G67" si="16">1*$D$49</f>
        <v>1</v>
      </c>
      <c r="H67" s="136">
        <f t="shared" ref="H67" si="17">1*$D$52</f>
        <v>1</v>
      </c>
      <c r="I67" s="134" cm="1">
        <f t="array" aca="1" ref="I67" ca="1">SUM(Tracking[Сума] * (Tracking[Тип]=cc_type) * (YEAR(Tracking[Період])=selected_year) * (MONTH(Tracking[Період])=cc_month) )</f>
        <v>0</v>
      </c>
      <c r="J67" s="134" cm="1">
        <f t="array" aca="1" ref="J67" ca="1">INDEX('Планування бюджету'!$E:$BG,income_total,
MATCH(DATE(selected_year,cc_month,1),'Планування бюджету'!$E$9:$BG$9,0))</f>
        <v>5650</v>
      </c>
      <c r="K67" s="134">
        <f ca="1">cc_budget - cc_tracked</f>
        <v>5650</v>
      </c>
      <c r="L67" s="132">
        <f ca="1">cc_in_focus * cc_show_type * MIN(cc_tracked,cc_budget)</f>
        <v>0</v>
      </c>
      <c r="M67" s="132">
        <f ca="1">cc_in_focus * cc_show_type * cc_show_remaning_budget * IF(cc_delta&gt;0, cc_delta,0)</f>
        <v>0</v>
      </c>
      <c r="N67" s="132">
        <f ca="1">cc_in_focus * cc_show_type * IF(cc_delta&lt;0, ABS(cc_delta),0)</f>
        <v>0</v>
      </c>
      <c r="O67" s="132">
        <f ca="1">NOT(cc_in_focus) * cc_show_type * MIN(cc_tracked,cc_budget)</f>
        <v>0</v>
      </c>
      <c r="P67" s="132">
        <f ca="1">NOT(cc_in_focus) * cc_show_type * cc_show_remaning_budget * IF(cc_delta&gt;0, cc_delta,0)</f>
        <v>5650</v>
      </c>
      <c r="Q67" s="132">
        <f ca="1">NOT(cc_in_focus) * cc_show_type * IF(cc_delta&lt;0, ABS(cc_delta),0)</f>
        <v>0</v>
      </c>
    </row>
    <row r="68" spans="3:17" x14ac:dyDescent="0.3">
      <c r="C68" s="152"/>
      <c r="D68" s="130" t="s">
        <v>7</v>
      </c>
      <c r="E68" s="137">
        <f t="shared" ref="E68" ca="1" si="18">MONTH(C67)</f>
        <v>4</v>
      </c>
      <c r="F68" s="137">
        <f ca="1">IF(selected_period="Всього за рік", 1, IF(selected_period=cc_month, 1, 0))</f>
        <v>0</v>
      </c>
      <c r="G68" s="137">
        <f t="shared" ref="G68" si="19">1*$D$50</f>
        <v>1</v>
      </c>
      <c r="H68" s="137">
        <f t="shared" si="3"/>
        <v>1</v>
      </c>
      <c r="I68" s="90" cm="1">
        <f t="array" aca="1" ref="I68" ca="1">SUM(Tracking[Сума] * (Tracking[Тип]=cc_type) * (YEAR(Tracking[Період])=selected_year) * (MONTH(Tracking[Період])=cc_month) )</f>
        <v>0</v>
      </c>
      <c r="J68" s="90" cm="1">
        <f t="array" aca="1" ref="J68" ca="1">INDEX('Планування бюджету'!$E:$BG,expenses_total,
MATCH(DATE(selected_year,cc_month,1),'Планування бюджету'!$E$9:$BG$9,0))</f>
        <v>3800</v>
      </c>
      <c r="K68" s="90">
        <f ca="1">cc_budget - cc_tracked</f>
        <v>3800</v>
      </c>
      <c r="L68" s="133">
        <f ca="1">cc_in_focus * cc_show_type * MIN(cc_tracked,cc_budget)</f>
        <v>0</v>
      </c>
      <c r="M68" s="133">
        <f ca="1">cc_in_focus * cc_show_type * cc_show_remaning_budget * IF(cc_delta&gt;0, cc_delta,0)</f>
        <v>0</v>
      </c>
      <c r="N68" s="133">
        <f ca="1">cc_in_focus * cc_show_type * IF(cc_delta&lt;0, ABS(cc_delta),0)</f>
        <v>0</v>
      </c>
      <c r="O68" s="133">
        <f ca="1">NOT(cc_in_focus) * cc_show_type * MIN(cc_tracked,cc_budget)</f>
        <v>0</v>
      </c>
      <c r="P68" s="133">
        <f ca="1">NOT(cc_in_focus) * cc_show_type * cc_show_remaning_budget * IF(cc_delta&gt;0, cc_delta,0)</f>
        <v>3800</v>
      </c>
      <c r="Q68" s="133">
        <f ca="1">NOT(cc_in_focus) * cc_show_type * IF(cc_delta&lt;0, ABS(cc_delta),0)</f>
        <v>0</v>
      </c>
    </row>
    <row r="69" spans="3:17" x14ac:dyDescent="0.3">
      <c r="C69" s="152"/>
      <c r="D69" s="130" t="s">
        <v>10</v>
      </c>
      <c r="E69" s="137">
        <f t="shared" ref="E69" ca="1" si="20">MONTH(C67)</f>
        <v>4</v>
      </c>
      <c r="F69" s="137">
        <f ca="1">IF(selected_period="Всього за рік", 1, IF(selected_period=cc_month, 1, 0))</f>
        <v>0</v>
      </c>
      <c r="G69" s="137">
        <f t="shared" ref="G69" si="21">1*$D$51</f>
        <v>1</v>
      </c>
      <c r="H69" s="137">
        <f t="shared" si="3"/>
        <v>1</v>
      </c>
      <c r="I69" s="90" cm="1">
        <f t="array" aca="1" ref="I69" ca="1">SUM(Tracking[Сума] * (Tracking[Тип]=cc_type) * (YEAR(Tracking[Період])=selected_year) * (MONTH(Tracking[Період])=cc_month) )</f>
        <v>0</v>
      </c>
      <c r="J69" s="90" cm="1">
        <f t="array" aca="1" ref="J69" ca="1">INDEX('Планування бюджету'!$E:$BG,savings_total,
MATCH(DATE(selected_year,cc_month,1),'Планування бюджету'!$E$9:$BG$9,0))</f>
        <v>1850</v>
      </c>
      <c r="K69" s="90">
        <f ca="1">cc_budget - cc_tracked</f>
        <v>1850</v>
      </c>
      <c r="L69" s="133">
        <f ca="1">cc_in_focus * cc_show_type * MIN(cc_tracked,cc_budget)</f>
        <v>0</v>
      </c>
      <c r="M69" s="133">
        <f ca="1">cc_in_focus * cc_show_type * cc_show_remaning_budget * IF(cc_delta&gt;0, cc_delta,0)</f>
        <v>0</v>
      </c>
      <c r="N69" s="133">
        <f ca="1">cc_in_focus * cc_show_type * IF(cc_delta&lt;0, ABS(cc_delta),0)</f>
        <v>0</v>
      </c>
      <c r="O69" s="133">
        <f ca="1">NOT(cc_in_focus) * cc_show_type * MIN(cc_tracked,cc_budget)</f>
        <v>0</v>
      </c>
      <c r="P69" s="133">
        <f ca="1">NOT(cc_in_focus) * cc_show_type * cc_show_remaning_budget * IF(cc_delta&gt;0, cc_delta,0)</f>
        <v>1850</v>
      </c>
      <c r="Q69" s="133">
        <f ca="1">NOT(cc_in_focus) * cc_show_type * IF(cc_delta&lt;0, ABS(cc_delta),0)</f>
        <v>0</v>
      </c>
    </row>
    <row r="70" spans="3:17" x14ac:dyDescent="0.3">
      <c r="C70" s="153"/>
      <c r="D70" s="131"/>
      <c r="E70" s="137"/>
      <c r="F70" s="137"/>
      <c r="G70" s="137"/>
      <c r="H70" s="137"/>
      <c r="I70" s="90"/>
      <c r="J70" s="90"/>
      <c r="K70" s="90"/>
      <c r="L70" s="133"/>
      <c r="M70" s="133"/>
      <c r="N70" s="133"/>
      <c r="O70" s="133"/>
      <c r="P70" s="133"/>
      <c r="Q70" s="133"/>
    </row>
    <row r="71" spans="3:17" x14ac:dyDescent="0.3">
      <c r="C71" s="151">
        <f ca="1">DATE(selected_year,5,1)</f>
        <v>45413</v>
      </c>
      <c r="D71" s="129" t="s">
        <v>17</v>
      </c>
      <c r="E71" s="136">
        <f t="shared" ref="E71" ca="1" si="22">MONTH(C71)</f>
        <v>5</v>
      </c>
      <c r="F71" s="136">
        <f ca="1">IF(selected_period="Всього за рік", 1, IF(selected_period=cc_month, 1, 0))</f>
        <v>0</v>
      </c>
      <c r="G71" s="136">
        <f t="shared" ref="G71" si="23">1*$D$49</f>
        <v>1</v>
      </c>
      <c r="H71" s="136">
        <f t="shared" ref="H71" si="24">1*$D$52</f>
        <v>1</v>
      </c>
      <c r="I71" s="134" cm="1">
        <f t="array" aca="1" ref="I71" ca="1">SUM(Tracking[Сума] * (Tracking[Тип]=cc_type) * (YEAR(Tracking[Період])=selected_year) * (MONTH(Tracking[Період])=cc_month) )</f>
        <v>0</v>
      </c>
      <c r="J71" s="134" cm="1">
        <f t="array" aca="1" ref="J71" ca="1">INDEX('Планування бюджету'!$E:$BG,income_total,
MATCH(DATE(selected_year,cc_month,1),'Планування бюджету'!$E$9:$BG$9,0))</f>
        <v>5550</v>
      </c>
      <c r="K71" s="134">
        <f ca="1">cc_budget - cc_tracked</f>
        <v>5550</v>
      </c>
      <c r="L71" s="132">
        <f ca="1">cc_in_focus * cc_show_type * MIN(cc_tracked,cc_budget)</f>
        <v>0</v>
      </c>
      <c r="M71" s="132">
        <f ca="1">cc_in_focus * cc_show_type * cc_show_remaning_budget * IF(cc_delta&gt;0, cc_delta,0)</f>
        <v>0</v>
      </c>
      <c r="N71" s="132">
        <f ca="1">cc_in_focus * cc_show_type * IF(cc_delta&lt;0, ABS(cc_delta),0)</f>
        <v>0</v>
      </c>
      <c r="O71" s="132">
        <f ca="1">NOT(cc_in_focus) * cc_show_type * MIN(cc_tracked,cc_budget)</f>
        <v>0</v>
      </c>
      <c r="P71" s="132">
        <f ca="1">NOT(cc_in_focus) * cc_show_type * cc_show_remaning_budget * IF(cc_delta&gt;0, cc_delta,0)</f>
        <v>5550</v>
      </c>
      <c r="Q71" s="132">
        <f ca="1">NOT(cc_in_focus) * cc_show_type * IF(cc_delta&lt;0, ABS(cc_delta),0)</f>
        <v>0</v>
      </c>
    </row>
    <row r="72" spans="3:17" x14ac:dyDescent="0.3">
      <c r="C72" s="152"/>
      <c r="D72" s="130" t="s">
        <v>7</v>
      </c>
      <c r="E72" s="137">
        <f t="shared" ref="E72" ca="1" si="25">MONTH(C71)</f>
        <v>5</v>
      </c>
      <c r="F72" s="137">
        <f ca="1">IF(selected_period="Всього за рік", 1, IF(selected_period=cc_month, 1, 0))</f>
        <v>0</v>
      </c>
      <c r="G72" s="137">
        <f t="shared" ref="G72" si="26">1*$D$50</f>
        <v>1</v>
      </c>
      <c r="H72" s="137">
        <f t="shared" si="3"/>
        <v>1</v>
      </c>
      <c r="I72" s="90" cm="1">
        <f t="array" aca="1" ref="I72" ca="1">SUM(Tracking[Сума] * (Tracking[Тип]=cc_type) * (YEAR(Tracking[Період])=selected_year) * (MONTH(Tracking[Період])=cc_month) )</f>
        <v>0</v>
      </c>
      <c r="J72" s="90" cm="1">
        <f t="array" aca="1" ref="J72" ca="1">INDEX('Планування бюджету'!$E:$BG,expenses_total,
MATCH(DATE(selected_year,cc_month,1),'Планування бюджету'!$E$9:$BG$9,0))</f>
        <v>2900</v>
      </c>
      <c r="K72" s="90">
        <f ca="1">cc_budget - cc_tracked</f>
        <v>2900</v>
      </c>
      <c r="L72" s="133">
        <f ca="1">cc_in_focus * cc_show_type * MIN(cc_tracked,cc_budget)</f>
        <v>0</v>
      </c>
      <c r="M72" s="133">
        <f ca="1">cc_in_focus * cc_show_type * cc_show_remaning_budget * IF(cc_delta&gt;0, cc_delta,0)</f>
        <v>0</v>
      </c>
      <c r="N72" s="133">
        <f ca="1">cc_in_focus * cc_show_type * IF(cc_delta&lt;0, ABS(cc_delta),0)</f>
        <v>0</v>
      </c>
      <c r="O72" s="133">
        <f ca="1">NOT(cc_in_focus) * cc_show_type * MIN(cc_tracked,cc_budget)</f>
        <v>0</v>
      </c>
      <c r="P72" s="133">
        <f ca="1">NOT(cc_in_focus) * cc_show_type * cc_show_remaning_budget * IF(cc_delta&gt;0, cc_delta,0)</f>
        <v>2900</v>
      </c>
      <c r="Q72" s="133">
        <f ca="1">NOT(cc_in_focus) * cc_show_type * IF(cc_delta&lt;0, ABS(cc_delta),0)</f>
        <v>0</v>
      </c>
    </row>
    <row r="73" spans="3:17" x14ac:dyDescent="0.3">
      <c r="C73" s="152"/>
      <c r="D73" s="130" t="s">
        <v>10</v>
      </c>
      <c r="E73" s="137">
        <f t="shared" ref="E73" ca="1" si="27">MONTH(C71)</f>
        <v>5</v>
      </c>
      <c r="F73" s="137">
        <f ca="1">IF(selected_period="Всього за рік", 1, IF(selected_period=cc_month, 1, 0))</f>
        <v>0</v>
      </c>
      <c r="G73" s="137">
        <f t="shared" ref="G73" si="28">1*$D$51</f>
        <v>1</v>
      </c>
      <c r="H73" s="137">
        <f t="shared" si="3"/>
        <v>1</v>
      </c>
      <c r="I73" s="90" cm="1">
        <f t="array" aca="1" ref="I73" ca="1">SUM(Tracking[Сума] * (Tracking[Тип]=cc_type) * (YEAR(Tracking[Період])=selected_year) * (MONTH(Tracking[Період])=cc_month) )</f>
        <v>0</v>
      </c>
      <c r="J73" s="90" cm="1">
        <f t="array" aca="1" ref="J73" ca="1">INDEX('Планування бюджету'!$E:$BG,savings_total,
MATCH(DATE(selected_year,cc_month,1),'Планування бюджету'!$E$9:$BG$9,0))</f>
        <v>2650</v>
      </c>
      <c r="K73" s="90">
        <f ca="1">cc_budget - cc_tracked</f>
        <v>2650</v>
      </c>
      <c r="L73" s="133">
        <f ca="1">cc_in_focus * cc_show_type * MIN(cc_tracked,cc_budget)</f>
        <v>0</v>
      </c>
      <c r="M73" s="133">
        <f ca="1">cc_in_focus * cc_show_type * cc_show_remaning_budget * IF(cc_delta&gt;0, cc_delta,0)</f>
        <v>0</v>
      </c>
      <c r="N73" s="133">
        <f ca="1">cc_in_focus * cc_show_type * IF(cc_delta&lt;0, ABS(cc_delta),0)</f>
        <v>0</v>
      </c>
      <c r="O73" s="133">
        <f ca="1">NOT(cc_in_focus) * cc_show_type * MIN(cc_tracked,cc_budget)</f>
        <v>0</v>
      </c>
      <c r="P73" s="133">
        <f ca="1">NOT(cc_in_focus) * cc_show_type * cc_show_remaning_budget * IF(cc_delta&gt;0, cc_delta,0)</f>
        <v>2650</v>
      </c>
      <c r="Q73" s="133">
        <f ca="1">NOT(cc_in_focus) * cc_show_type * IF(cc_delta&lt;0, ABS(cc_delta),0)</f>
        <v>0</v>
      </c>
    </row>
    <row r="74" spans="3:17" x14ac:dyDescent="0.3">
      <c r="C74" s="153"/>
      <c r="D74" s="131"/>
      <c r="E74" s="137"/>
      <c r="F74" s="137"/>
      <c r="G74" s="137"/>
      <c r="H74" s="137"/>
      <c r="I74" s="90"/>
      <c r="J74" s="90"/>
      <c r="K74" s="90"/>
      <c r="L74" s="133"/>
      <c r="M74" s="133"/>
      <c r="N74" s="133"/>
      <c r="O74" s="133"/>
      <c r="P74" s="133"/>
      <c r="Q74" s="133"/>
    </row>
    <row r="75" spans="3:17" x14ac:dyDescent="0.3">
      <c r="C75" s="151">
        <f ca="1">DATE(selected_year,6,1)</f>
        <v>45444</v>
      </c>
      <c r="D75" s="129" t="s">
        <v>17</v>
      </c>
      <c r="E75" s="136">
        <f t="shared" ref="E75" ca="1" si="29">MONTH(C75)</f>
        <v>6</v>
      </c>
      <c r="F75" s="136">
        <f ca="1">IF(selected_period="Всього за рік", 1, IF(selected_period=cc_month, 1, 0))</f>
        <v>0</v>
      </c>
      <c r="G75" s="136">
        <f t="shared" ref="G75" si="30">1*$D$49</f>
        <v>1</v>
      </c>
      <c r="H75" s="136">
        <f t="shared" ref="H75" si="31">1*$D$52</f>
        <v>1</v>
      </c>
      <c r="I75" s="134" cm="1">
        <f t="array" aca="1" ref="I75" ca="1">SUM(Tracking[Сума] * (Tracking[Тип]=cc_type) * (YEAR(Tracking[Період])=selected_year) * (MONTH(Tracking[Період])=cc_month) )</f>
        <v>0</v>
      </c>
      <c r="J75" s="134" cm="1">
        <f t="array" aca="1" ref="J75" ca="1">INDEX('Планування бюджету'!$E:$BG,income_total,
MATCH(DATE(selected_year,cc_month,1),'Планування бюджету'!$E$9:$BG$9,0))</f>
        <v>5600</v>
      </c>
      <c r="K75" s="134">
        <f ca="1">cc_budget - cc_tracked</f>
        <v>5600</v>
      </c>
      <c r="L75" s="132">
        <f ca="1">cc_in_focus * cc_show_type * MIN(cc_tracked,cc_budget)</f>
        <v>0</v>
      </c>
      <c r="M75" s="132">
        <f ca="1">cc_in_focus * cc_show_type * cc_show_remaning_budget * IF(cc_delta&gt;0, cc_delta,0)</f>
        <v>0</v>
      </c>
      <c r="N75" s="132">
        <f ca="1">cc_in_focus * cc_show_type * IF(cc_delta&lt;0, ABS(cc_delta),0)</f>
        <v>0</v>
      </c>
      <c r="O75" s="132">
        <f ca="1">NOT(cc_in_focus) * cc_show_type * MIN(cc_tracked,cc_budget)</f>
        <v>0</v>
      </c>
      <c r="P75" s="132">
        <f ca="1">NOT(cc_in_focus) * cc_show_type * cc_show_remaning_budget * IF(cc_delta&gt;0, cc_delta,0)</f>
        <v>5600</v>
      </c>
      <c r="Q75" s="132">
        <f ca="1">NOT(cc_in_focus) * cc_show_type * IF(cc_delta&lt;0, ABS(cc_delta),0)</f>
        <v>0</v>
      </c>
    </row>
    <row r="76" spans="3:17" x14ac:dyDescent="0.3">
      <c r="C76" s="152"/>
      <c r="D76" s="130" t="s">
        <v>7</v>
      </c>
      <c r="E76" s="137">
        <f t="shared" ref="E76" ca="1" si="32">MONTH(C75)</f>
        <v>6</v>
      </c>
      <c r="F76" s="137">
        <f ca="1">IF(selected_period="Всього за рік", 1, IF(selected_period=cc_month, 1, 0))</f>
        <v>0</v>
      </c>
      <c r="G76" s="137">
        <f t="shared" ref="G76" si="33">1*$D$50</f>
        <v>1</v>
      </c>
      <c r="H76" s="137">
        <f t="shared" si="3"/>
        <v>1</v>
      </c>
      <c r="I76" s="90" cm="1">
        <f t="array" aca="1" ref="I76" ca="1">SUM(Tracking[Сума] * (Tracking[Тип]=cc_type) * (YEAR(Tracking[Період])=selected_year) * (MONTH(Tracking[Період])=cc_month) )</f>
        <v>0</v>
      </c>
      <c r="J76" s="90" cm="1">
        <f t="array" aca="1" ref="J76" ca="1">INDEX('Планування бюджету'!$E:$BG,expenses_total,
MATCH(DATE(selected_year,cc_month,1),'Планування бюджету'!$E$9:$BG$9,0))</f>
        <v>3050</v>
      </c>
      <c r="K76" s="90">
        <f ca="1">cc_budget - cc_tracked</f>
        <v>3050</v>
      </c>
      <c r="L76" s="133">
        <f ca="1">cc_in_focus * cc_show_type * MIN(cc_tracked,cc_budget)</f>
        <v>0</v>
      </c>
      <c r="M76" s="133">
        <f ca="1">cc_in_focus * cc_show_type * cc_show_remaning_budget * IF(cc_delta&gt;0, cc_delta,0)</f>
        <v>0</v>
      </c>
      <c r="N76" s="133">
        <f ca="1">cc_in_focus * cc_show_type * IF(cc_delta&lt;0, ABS(cc_delta),0)</f>
        <v>0</v>
      </c>
      <c r="O76" s="133">
        <f ca="1">NOT(cc_in_focus) * cc_show_type * MIN(cc_tracked,cc_budget)</f>
        <v>0</v>
      </c>
      <c r="P76" s="133">
        <f ca="1">NOT(cc_in_focus) * cc_show_type * cc_show_remaning_budget * IF(cc_delta&gt;0, cc_delta,0)</f>
        <v>3050</v>
      </c>
      <c r="Q76" s="133">
        <f ca="1">NOT(cc_in_focus) * cc_show_type * IF(cc_delta&lt;0, ABS(cc_delta),0)</f>
        <v>0</v>
      </c>
    </row>
    <row r="77" spans="3:17" x14ac:dyDescent="0.3">
      <c r="C77" s="152"/>
      <c r="D77" s="130" t="s">
        <v>10</v>
      </c>
      <c r="E77" s="137">
        <f t="shared" ref="E77" ca="1" si="34">MONTH(C75)</f>
        <v>6</v>
      </c>
      <c r="F77" s="137">
        <f ca="1">IF(selected_period="Всього за рік", 1, IF(selected_period=cc_month, 1, 0))</f>
        <v>0</v>
      </c>
      <c r="G77" s="137">
        <f t="shared" ref="G77" si="35">1*$D$51</f>
        <v>1</v>
      </c>
      <c r="H77" s="137">
        <f t="shared" si="3"/>
        <v>1</v>
      </c>
      <c r="I77" s="90" cm="1">
        <f t="array" aca="1" ref="I77" ca="1">SUM(Tracking[Сума] * (Tracking[Тип]=cc_type) * (YEAR(Tracking[Період])=selected_year) * (MONTH(Tracking[Період])=cc_month) )</f>
        <v>0</v>
      </c>
      <c r="J77" s="90" cm="1">
        <f t="array" aca="1" ref="J77" ca="1">INDEX('Планування бюджету'!$E:$BG,savings_total,
MATCH(DATE(selected_year,cc_month,1),'Планування бюджету'!$E$9:$BG$9,0))</f>
        <v>2550</v>
      </c>
      <c r="K77" s="90">
        <f ca="1">cc_budget - cc_tracked</f>
        <v>2550</v>
      </c>
      <c r="L77" s="133">
        <f ca="1">cc_in_focus * cc_show_type * MIN(cc_tracked,cc_budget)</f>
        <v>0</v>
      </c>
      <c r="M77" s="133">
        <f ca="1">cc_in_focus * cc_show_type * cc_show_remaning_budget * IF(cc_delta&gt;0, cc_delta,0)</f>
        <v>0</v>
      </c>
      <c r="N77" s="133">
        <f ca="1">cc_in_focus * cc_show_type * IF(cc_delta&lt;0, ABS(cc_delta),0)</f>
        <v>0</v>
      </c>
      <c r="O77" s="133">
        <f ca="1">NOT(cc_in_focus) * cc_show_type * MIN(cc_tracked,cc_budget)</f>
        <v>0</v>
      </c>
      <c r="P77" s="133">
        <f ca="1">NOT(cc_in_focus) * cc_show_type * cc_show_remaning_budget * IF(cc_delta&gt;0, cc_delta,0)</f>
        <v>2550</v>
      </c>
      <c r="Q77" s="133">
        <f ca="1">NOT(cc_in_focus) * cc_show_type * IF(cc_delta&lt;0, ABS(cc_delta),0)</f>
        <v>0</v>
      </c>
    </row>
    <row r="78" spans="3:17" x14ac:dyDescent="0.3">
      <c r="C78" s="153"/>
      <c r="D78" s="131"/>
      <c r="E78" s="137"/>
      <c r="F78" s="137"/>
      <c r="G78" s="137"/>
      <c r="H78" s="137"/>
      <c r="I78" s="90"/>
      <c r="J78" s="90"/>
      <c r="K78" s="90"/>
      <c r="L78" s="133"/>
      <c r="M78" s="133"/>
      <c r="N78" s="133"/>
      <c r="O78" s="133"/>
      <c r="P78" s="133"/>
      <c r="Q78" s="133"/>
    </row>
    <row r="79" spans="3:17" x14ac:dyDescent="0.3">
      <c r="C79" s="151">
        <f ca="1">DATE(selected_year,7,1)</f>
        <v>45474</v>
      </c>
      <c r="D79" s="129" t="s">
        <v>17</v>
      </c>
      <c r="E79" s="136">
        <f t="shared" ref="E79" ca="1" si="36">MONTH(C79)</f>
        <v>7</v>
      </c>
      <c r="F79" s="136">
        <f ca="1">IF(selected_period="Всього за рік", 1, IF(selected_period=cc_month, 1, 0))</f>
        <v>0</v>
      </c>
      <c r="G79" s="136">
        <f t="shared" ref="G79" si="37">1*$D$49</f>
        <v>1</v>
      </c>
      <c r="H79" s="136">
        <f t="shared" ref="H79" si="38">1*$D$52</f>
        <v>1</v>
      </c>
      <c r="I79" s="134" cm="1">
        <f t="array" aca="1" ref="I79" ca="1">SUM(Tracking[Сума] * (Tracking[Тип]=cc_type) * (YEAR(Tracking[Період])=selected_year) * (MONTH(Tracking[Період])=cc_month) )</f>
        <v>0</v>
      </c>
      <c r="J79" s="134" cm="1">
        <f t="array" aca="1" ref="J79" ca="1">INDEX('Планування бюджету'!$E:$BG,income_total,
MATCH(DATE(selected_year,cc_month,1),'Планування бюджету'!$E$9:$BG$9,0))</f>
        <v>5650</v>
      </c>
      <c r="K79" s="134">
        <f ca="1">cc_budget - cc_tracked</f>
        <v>5650</v>
      </c>
      <c r="L79" s="132">
        <f ca="1">cc_in_focus * cc_show_type * MIN(cc_tracked,cc_budget)</f>
        <v>0</v>
      </c>
      <c r="M79" s="132">
        <f ca="1">cc_in_focus * cc_show_type * cc_show_remaning_budget * IF(cc_delta&gt;0, cc_delta,0)</f>
        <v>0</v>
      </c>
      <c r="N79" s="132">
        <f ca="1">cc_in_focus * cc_show_type * IF(cc_delta&lt;0, ABS(cc_delta),0)</f>
        <v>0</v>
      </c>
      <c r="O79" s="132">
        <f ca="1">NOT(cc_in_focus) * cc_show_type * MIN(cc_tracked,cc_budget)</f>
        <v>0</v>
      </c>
      <c r="P79" s="132">
        <f ca="1">NOT(cc_in_focus) * cc_show_type * cc_show_remaning_budget * IF(cc_delta&gt;0, cc_delta,0)</f>
        <v>5650</v>
      </c>
      <c r="Q79" s="132">
        <f ca="1">NOT(cc_in_focus) * cc_show_type * IF(cc_delta&lt;0, ABS(cc_delta),0)</f>
        <v>0</v>
      </c>
    </row>
    <row r="80" spans="3:17" x14ac:dyDescent="0.3">
      <c r="C80" s="152"/>
      <c r="D80" s="130" t="s">
        <v>7</v>
      </c>
      <c r="E80" s="137">
        <f t="shared" ref="E80" ca="1" si="39">MONTH(C79)</f>
        <v>7</v>
      </c>
      <c r="F80" s="137">
        <f ca="1">IF(selected_period="Всього за рік", 1, IF(selected_period=cc_month, 1, 0))</f>
        <v>0</v>
      </c>
      <c r="G80" s="137">
        <f t="shared" ref="G80" si="40">1*$D$50</f>
        <v>1</v>
      </c>
      <c r="H80" s="137">
        <f t="shared" si="3"/>
        <v>1</v>
      </c>
      <c r="I80" s="90" cm="1">
        <f t="array" aca="1" ref="I80" ca="1">SUM(Tracking[Сума] * (Tracking[Тип]=cc_type) * (YEAR(Tracking[Період])=selected_year) * (MONTH(Tracking[Період])=cc_month) )</f>
        <v>0</v>
      </c>
      <c r="J80" s="90" cm="1">
        <f t="array" aca="1" ref="J80" ca="1">INDEX('Планування бюджету'!$E:$BG,expenses_total,
MATCH(DATE(selected_year,cc_month,1),'Планування бюджету'!$E$9:$BG$9,0))</f>
        <v>2900</v>
      </c>
      <c r="K80" s="90">
        <f ca="1">cc_budget - cc_tracked</f>
        <v>2900</v>
      </c>
      <c r="L80" s="133">
        <f ca="1">cc_in_focus * cc_show_type * MIN(cc_tracked,cc_budget)</f>
        <v>0</v>
      </c>
      <c r="M80" s="133">
        <f ca="1">cc_in_focus * cc_show_type * cc_show_remaning_budget * IF(cc_delta&gt;0, cc_delta,0)</f>
        <v>0</v>
      </c>
      <c r="N80" s="133">
        <f ca="1">cc_in_focus * cc_show_type * IF(cc_delta&lt;0, ABS(cc_delta),0)</f>
        <v>0</v>
      </c>
      <c r="O80" s="133">
        <f ca="1">NOT(cc_in_focus) * cc_show_type * MIN(cc_tracked,cc_budget)</f>
        <v>0</v>
      </c>
      <c r="P80" s="133">
        <f ca="1">NOT(cc_in_focus) * cc_show_type * cc_show_remaning_budget * IF(cc_delta&gt;0, cc_delta,0)</f>
        <v>2900</v>
      </c>
      <c r="Q80" s="133">
        <f ca="1">NOT(cc_in_focus) * cc_show_type * IF(cc_delta&lt;0, ABS(cc_delta),0)</f>
        <v>0</v>
      </c>
    </row>
    <row r="81" spans="3:17" x14ac:dyDescent="0.3">
      <c r="C81" s="152"/>
      <c r="D81" s="130" t="s">
        <v>10</v>
      </c>
      <c r="E81" s="137">
        <f t="shared" ref="E81" ca="1" si="41">MONTH(C79)</f>
        <v>7</v>
      </c>
      <c r="F81" s="137">
        <f ca="1">IF(selected_period="Всього за рік", 1, IF(selected_period=cc_month, 1, 0))</f>
        <v>0</v>
      </c>
      <c r="G81" s="137">
        <f t="shared" ref="G81" si="42">1*$D$51</f>
        <v>1</v>
      </c>
      <c r="H81" s="137">
        <f t="shared" si="3"/>
        <v>1</v>
      </c>
      <c r="I81" s="90" cm="1">
        <f t="array" aca="1" ref="I81" ca="1">SUM(Tracking[Сума] * (Tracking[Тип]=cc_type) * (YEAR(Tracking[Період])=selected_year) * (MONTH(Tracking[Період])=cc_month) )</f>
        <v>0</v>
      </c>
      <c r="J81" s="90" cm="1">
        <f t="array" aca="1" ref="J81" ca="1">INDEX('Планування бюджету'!$E:$BG,savings_total,
MATCH(DATE(selected_year,cc_month,1),'Планування бюджету'!$E$9:$BG$9,0))</f>
        <v>2750</v>
      </c>
      <c r="K81" s="90">
        <f ca="1">cc_budget - cc_tracked</f>
        <v>2750</v>
      </c>
      <c r="L81" s="133">
        <f ca="1">cc_in_focus * cc_show_type * MIN(cc_tracked,cc_budget)</f>
        <v>0</v>
      </c>
      <c r="M81" s="133">
        <f ca="1">cc_in_focus * cc_show_type * cc_show_remaning_budget * IF(cc_delta&gt;0, cc_delta,0)</f>
        <v>0</v>
      </c>
      <c r="N81" s="133">
        <f ca="1">cc_in_focus * cc_show_type * IF(cc_delta&lt;0, ABS(cc_delta),0)</f>
        <v>0</v>
      </c>
      <c r="O81" s="133">
        <f ca="1">NOT(cc_in_focus) * cc_show_type * MIN(cc_tracked,cc_budget)</f>
        <v>0</v>
      </c>
      <c r="P81" s="133">
        <f ca="1">NOT(cc_in_focus) * cc_show_type * cc_show_remaning_budget * IF(cc_delta&gt;0, cc_delta,0)</f>
        <v>2750</v>
      </c>
      <c r="Q81" s="133">
        <f ca="1">NOT(cc_in_focus) * cc_show_type * IF(cc_delta&lt;0, ABS(cc_delta),0)</f>
        <v>0</v>
      </c>
    </row>
    <row r="82" spans="3:17" x14ac:dyDescent="0.3">
      <c r="C82" s="153"/>
      <c r="D82" s="131"/>
      <c r="E82" s="137"/>
      <c r="F82" s="137"/>
      <c r="G82" s="137"/>
      <c r="H82" s="137"/>
      <c r="I82" s="90"/>
      <c r="J82" s="90"/>
      <c r="K82" s="90"/>
      <c r="L82" s="133"/>
      <c r="M82" s="133"/>
      <c r="N82" s="133"/>
      <c r="O82" s="133"/>
      <c r="P82" s="133"/>
      <c r="Q82" s="133"/>
    </row>
    <row r="83" spans="3:17" x14ac:dyDescent="0.3">
      <c r="C83" s="151">
        <f ca="1">DATE(selected_year,8,1)</f>
        <v>45505</v>
      </c>
      <c r="D83" s="129" t="s">
        <v>17</v>
      </c>
      <c r="E83" s="136">
        <f t="shared" ref="E83" ca="1" si="43">MONTH(C83)</f>
        <v>8</v>
      </c>
      <c r="F83" s="136">
        <f ca="1">IF(selected_period="Всього за рік", 1, IF(selected_period=cc_month, 1, 0))</f>
        <v>0</v>
      </c>
      <c r="G83" s="136">
        <f t="shared" ref="G83" si="44">1*$D$49</f>
        <v>1</v>
      </c>
      <c r="H83" s="136">
        <f t="shared" ref="H83" si="45">1*$D$52</f>
        <v>1</v>
      </c>
      <c r="I83" s="134" cm="1">
        <f t="array" aca="1" ref="I83" ca="1">SUM(Tracking[Сума] * (Tracking[Тип]=cc_type) * (YEAR(Tracking[Період])=selected_year) * (MONTH(Tracking[Період])=cc_month) )</f>
        <v>0</v>
      </c>
      <c r="J83" s="134" cm="1">
        <f t="array" aca="1" ref="J83" ca="1">INDEX('Планування бюджету'!$E:$BG,income_total,
MATCH(DATE(selected_year,cc_month,1),'Планування бюджету'!$E$9:$BG$9,0))</f>
        <v>5550</v>
      </c>
      <c r="K83" s="134">
        <f ca="1">cc_budget - cc_tracked</f>
        <v>5550</v>
      </c>
      <c r="L83" s="132">
        <f ca="1">cc_in_focus * cc_show_type * MIN(cc_tracked,cc_budget)</f>
        <v>0</v>
      </c>
      <c r="M83" s="132">
        <f ca="1">cc_in_focus * cc_show_type * cc_show_remaning_budget * IF(cc_delta&gt;0, cc_delta,0)</f>
        <v>0</v>
      </c>
      <c r="N83" s="132">
        <f ca="1">cc_in_focus * cc_show_type * IF(cc_delta&lt;0, ABS(cc_delta),0)</f>
        <v>0</v>
      </c>
      <c r="O83" s="132">
        <f ca="1">NOT(cc_in_focus) * cc_show_type * MIN(cc_tracked,cc_budget)</f>
        <v>0</v>
      </c>
      <c r="P83" s="132">
        <f ca="1">NOT(cc_in_focus) * cc_show_type * cc_show_remaning_budget * IF(cc_delta&gt;0, cc_delta,0)</f>
        <v>5550</v>
      </c>
      <c r="Q83" s="132">
        <f ca="1">NOT(cc_in_focus) * cc_show_type * IF(cc_delta&lt;0, ABS(cc_delta),0)</f>
        <v>0</v>
      </c>
    </row>
    <row r="84" spans="3:17" x14ac:dyDescent="0.3">
      <c r="C84" s="152"/>
      <c r="D84" s="130" t="s">
        <v>7</v>
      </c>
      <c r="E84" s="137">
        <f t="shared" ref="E84" ca="1" si="46">MONTH(C83)</f>
        <v>8</v>
      </c>
      <c r="F84" s="137">
        <f ca="1">IF(selected_period="Всього за рік", 1, IF(selected_period=cc_month, 1, 0))</f>
        <v>0</v>
      </c>
      <c r="G84" s="137">
        <f t="shared" ref="G84" si="47">1*$D$50</f>
        <v>1</v>
      </c>
      <c r="H84" s="137">
        <f t="shared" si="3"/>
        <v>1</v>
      </c>
      <c r="I84" s="90" cm="1">
        <f t="array" aca="1" ref="I84" ca="1">SUM(Tracking[Сума] * (Tracking[Тип]=cc_type) * (YEAR(Tracking[Період])=selected_year) * (MONTH(Tracking[Період])=cc_month) )</f>
        <v>0</v>
      </c>
      <c r="J84" s="90" cm="1">
        <f t="array" aca="1" ref="J84" ca="1">INDEX('Планування бюджету'!$E:$BG,expenses_total,
MATCH(DATE(selected_year,cc_month,1),'Планування бюджету'!$E$9:$BG$9,0))</f>
        <v>4100</v>
      </c>
      <c r="K84" s="90">
        <f ca="1">cc_budget - cc_tracked</f>
        <v>4100</v>
      </c>
      <c r="L84" s="133">
        <f ca="1">cc_in_focus * cc_show_type * MIN(cc_tracked,cc_budget)</f>
        <v>0</v>
      </c>
      <c r="M84" s="133">
        <f ca="1">cc_in_focus * cc_show_type * cc_show_remaning_budget * IF(cc_delta&gt;0, cc_delta,0)</f>
        <v>0</v>
      </c>
      <c r="N84" s="133">
        <f ca="1">cc_in_focus * cc_show_type * IF(cc_delta&lt;0, ABS(cc_delta),0)</f>
        <v>0</v>
      </c>
      <c r="O84" s="133">
        <f ca="1">NOT(cc_in_focus) * cc_show_type * MIN(cc_tracked,cc_budget)</f>
        <v>0</v>
      </c>
      <c r="P84" s="133">
        <f ca="1">NOT(cc_in_focus) * cc_show_type * cc_show_remaning_budget * IF(cc_delta&gt;0, cc_delta,0)</f>
        <v>4100</v>
      </c>
      <c r="Q84" s="133">
        <f ca="1">NOT(cc_in_focus) * cc_show_type * IF(cc_delta&lt;0, ABS(cc_delta),0)</f>
        <v>0</v>
      </c>
    </row>
    <row r="85" spans="3:17" x14ac:dyDescent="0.3">
      <c r="C85" s="152"/>
      <c r="D85" s="130" t="s">
        <v>10</v>
      </c>
      <c r="E85" s="137">
        <f t="shared" ref="E85" ca="1" si="48">MONTH(C83)</f>
        <v>8</v>
      </c>
      <c r="F85" s="137">
        <f ca="1">IF(selected_period="Всього за рік", 1, IF(selected_period=cc_month, 1, 0))</f>
        <v>0</v>
      </c>
      <c r="G85" s="137">
        <f t="shared" ref="G85" si="49">1*$D$51</f>
        <v>1</v>
      </c>
      <c r="H85" s="137">
        <f t="shared" si="3"/>
        <v>1</v>
      </c>
      <c r="I85" s="90" cm="1">
        <f t="array" aca="1" ref="I85" ca="1">SUM(Tracking[Сума] * (Tracking[Тип]=cc_type) * (YEAR(Tracking[Період])=selected_year) * (MONTH(Tracking[Період])=cc_month) )</f>
        <v>0</v>
      </c>
      <c r="J85" s="90" cm="1">
        <f t="array" aca="1" ref="J85" ca="1">INDEX('Планування бюджету'!$E:$BG,savings_total,
MATCH(DATE(selected_year,cc_month,1),'Планування бюджету'!$E$9:$BG$9,0))</f>
        <v>1450</v>
      </c>
      <c r="K85" s="90">
        <f ca="1">cc_budget - cc_tracked</f>
        <v>1450</v>
      </c>
      <c r="L85" s="133">
        <f ca="1">cc_in_focus * cc_show_type * MIN(cc_tracked,cc_budget)</f>
        <v>0</v>
      </c>
      <c r="M85" s="133">
        <f ca="1">cc_in_focus * cc_show_type * cc_show_remaning_budget * IF(cc_delta&gt;0, cc_delta,0)</f>
        <v>0</v>
      </c>
      <c r="N85" s="133">
        <f ca="1">cc_in_focus * cc_show_type * IF(cc_delta&lt;0, ABS(cc_delta),0)</f>
        <v>0</v>
      </c>
      <c r="O85" s="133">
        <f ca="1">NOT(cc_in_focus) * cc_show_type * MIN(cc_tracked,cc_budget)</f>
        <v>0</v>
      </c>
      <c r="P85" s="133">
        <f ca="1">NOT(cc_in_focus) * cc_show_type * cc_show_remaning_budget * IF(cc_delta&gt;0, cc_delta,0)</f>
        <v>1450</v>
      </c>
      <c r="Q85" s="133">
        <f ca="1">NOT(cc_in_focus) * cc_show_type * IF(cc_delta&lt;0, ABS(cc_delta),0)</f>
        <v>0</v>
      </c>
    </row>
    <row r="86" spans="3:17" x14ac:dyDescent="0.3">
      <c r="C86" s="153"/>
      <c r="D86" s="131"/>
      <c r="E86" s="138"/>
      <c r="F86" s="138"/>
      <c r="G86" s="138"/>
      <c r="H86" s="138"/>
      <c r="I86" s="140"/>
      <c r="J86" s="140"/>
      <c r="K86" s="140"/>
      <c r="L86" s="139"/>
      <c r="M86" s="139"/>
      <c r="N86" s="139"/>
      <c r="O86" s="139"/>
      <c r="P86" s="139"/>
      <c r="Q86" s="139"/>
    </row>
    <row r="87" spans="3:17" x14ac:dyDescent="0.3">
      <c r="C87" s="151">
        <f ca="1">DATE(selected_year,9,1)</f>
        <v>45536</v>
      </c>
      <c r="D87" s="129" t="s">
        <v>17</v>
      </c>
      <c r="E87" s="137">
        <f t="shared" ref="E87" ca="1" si="50">MONTH(C87)</f>
        <v>9</v>
      </c>
      <c r="F87" s="137">
        <f ca="1">IF(selected_period="Всього за рік", 1, IF(selected_period=cc_month, 1, 0))</f>
        <v>0</v>
      </c>
      <c r="G87" s="137">
        <f t="shared" ref="G87" si="51">1*$D$49</f>
        <v>1</v>
      </c>
      <c r="H87" s="137">
        <f t="shared" ref="H87" si="52">1*$D$52</f>
        <v>1</v>
      </c>
      <c r="I87" s="90" cm="1">
        <f t="array" aca="1" ref="I87" ca="1">SUM(Tracking[Сума] * (Tracking[Тип]=cc_type) * (YEAR(Tracking[Період])=selected_year) * (MONTH(Tracking[Період])=cc_month) )</f>
        <v>0</v>
      </c>
      <c r="J87" s="90" cm="1">
        <f t="array" aca="1" ref="J87" ca="1">INDEX('Планування бюджету'!$E:$BG,income_total,
MATCH(DATE(selected_year,cc_month,1),'Планування бюджету'!$E$9:$BG$9,0))</f>
        <v>5600</v>
      </c>
      <c r="K87" s="90">
        <f ca="1">cc_budget - cc_tracked</f>
        <v>5600</v>
      </c>
      <c r="L87" s="133">
        <f ca="1">cc_in_focus * cc_show_type * MIN(cc_tracked,cc_budget)</f>
        <v>0</v>
      </c>
      <c r="M87" s="133">
        <f ca="1">cc_in_focus * cc_show_type * cc_show_remaning_budget * IF(cc_delta&gt;0, cc_delta,0)</f>
        <v>0</v>
      </c>
      <c r="N87" s="133">
        <f ca="1">cc_in_focus * cc_show_type * IF(cc_delta&lt;0, ABS(cc_delta),0)</f>
        <v>0</v>
      </c>
      <c r="O87" s="133">
        <f ca="1">NOT(cc_in_focus) * cc_show_type * MIN(cc_tracked,cc_budget)</f>
        <v>0</v>
      </c>
      <c r="P87" s="133">
        <f ca="1">NOT(cc_in_focus) * cc_show_type * cc_show_remaning_budget * IF(cc_delta&gt;0, cc_delta,0)</f>
        <v>5600</v>
      </c>
      <c r="Q87" s="133">
        <f ca="1">NOT(cc_in_focus) * cc_show_type * IF(cc_delta&lt;0, ABS(cc_delta),0)</f>
        <v>0</v>
      </c>
    </row>
    <row r="88" spans="3:17" x14ac:dyDescent="0.3">
      <c r="C88" s="152"/>
      <c r="D88" s="130" t="s">
        <v>7</v>
      </c>
      <c r="E88" s="137">
        <f t="shared" ref="E88" ca="1" si="53">MONTH(C87)</f>
        <v>9</v>
      </c>
      <c r="F88" s="137">
        <f ca="1">IF(selected_period="Всього за рік", 1, IF(selected_period=cc_month, 1, 0))</f>
        <v>0</v>
      </c>
      <c r="G88" s="137">
        <f t="shared" ref="G88" si="54">1*$D$50</f>
        <v>1</v>
      </c>
      <c r="H88" s="137">
        <f t="shared" si="3"/>
        <v>1</v>
      </c>
      <c r="I88" s="90" cm="1">
        <f t="array" aca="1" ref="I88" ca="1">SUM(Tracking[Сума] * (Tracking[Тип]=cc_type) * (YEAR(Tracking[Період])=selected_year) * (MONTH(Tracking[Період])=cc_month) )</f>
        <v>0</v>
      </c>
      <c r="J88" s="90" cm="1">
        <f t="array" aca="1" ref="J88" ca="1">INDEX('Планування бюджету'!$E:$BG,expenses_total,
MATCH(DATE(selected_year,cc_month,1),'Планування бюджету'!$E$9:$BG$9,0))</f>
        <v>3050</v>
      </c>
      <c r="K88" s="90">
        <f ca="1">cc_budget - cc_tracked</f>
        <v>3050</v>
      </c>
      <c r="L88" s="133">
        <f ca="1">cc_in_focus * cc_show_type * MIN(cc_tracked,cc_budget)</f>
        <v>0</v>
      </c>
      <c r="M88" s="133">
        <f ca="1">cc_in_focus * cc_show_type * cc_show_remaning_budget * IF(cc_delta&gt;0, cc_delta,0)</f>
        <v>0</v>
      </c>
      <c r="N88" s="133">
        <f ca="1">cc_in_focus * cc_show_type * IF(cc_delta&lt;0, ABS(cc_delta),0)</f>
        <v>0</v>
      </c>
      <c r="O88" s="133">
        <f ca="1">NOT(cc_in_focus) * cc_show_type * MIN(cc_tracked,cc_budget)</f>
        <v>0</v>
      </c>
      <c r="P88" s="133">
        <f ca="1">NOT(cc_in_focus) * cc_show_type * cc_show_remaning_budget * IF(cc_delta&gt;0, cc_delta,0)</f>
        <v>3050</v>
      </c>
      <c r="Q88" s="133">
        <f ca="1">NOT(cc_in_focus) * cc_show_type * IF(cc_delta&lt;0, ABS(cc_delta),0)</f>
        <v>0</v>
      </c>
    </row>
    <row r="89" spans="3:17" x14ac:dyDescent="0.3">
      <c r="C89" s="152"/>
      <c r="D89" s="130" t="s">
        <v>10</v>
      </c>
      <c r="E89" s="137">
        <f t="shared" ref="E89" ca="1" si="55">MONTH(C87)</f>
        <v>9</v>
      </c>
      <c r="F89" s="137">
        <f ca="1">IF(selected_period="Всього за рік", 1, IF(selected_period=cc_month, 1, 0))</f>
        <v>0</v>
      </c>
      <c r="G89" s="137">
        <f t="shared" ref="G89" si="56">1*$D$51</f>
        <v>1</v>
      </c>
      <c r="H89" s="137">
        <f t="shared" si="3"/>
        <v>1</v>
      </c>
      <c r="I89" s="90" cm="1">
        <f t="array" aca="1" ref="I89" ca="1">SUM(Tracking[Сума] * (Tracking[Тип]=cc_type) * (YEAR(Tracking[Період])=selected_year) * (MONTH(Tracking[Період])=cc_month) )</f>
        <v>0</v>
      </c>
      <c r="J89" s="90" cm="1">
        <f t="array" aca="1" ref="J89" ca="1">INDEX('Планування бюджету'!$E:$BG,savings_total,
MATCH(DATE(selected_year,cc_month,1),'Планування бюджету'!$E$9:$BG$9,0))</f>
        <v>2550</v>
      </c>
      <c r="K89" s="90">
        <f ca="1">cc_budget - cc_tracked</f>
        <v>2550</v>
      </c>
      <c r="L89" s="133">
        <f ca="1">cc_in_focus * cc_show_type * MIN(cc_tracked,cc_budget)</f>
        <v>0</v>
      </c>
      <c r="M89" s="133">
        <f ca="1">cc_in_focus * cc_show_type * cc_show_remaning_budget * IF(cc_delta&gt;0, cc_delta,0)</f>
        <v>0</v>
      </c>
      <c r="N89" s="133">
        <f ca="1">cc_in_focus * cc_show_type * IF(cc_delta&lt;0, ABS(cc_delta),0)</f>
        <v>0</v>
      </c>
      <c r="O89" s="133">
        <f ca="1">NOT(cc_in_focus) * cc_show_type * MIN(cc_tracked,cc_budget)</f>
        <v>0</v>
      </c>
      <c r="P89" s="133">
        <f ca="1">NOT(cc_in_focus) * cc_show_type * cc_show_remaning_budget * IF(cc_delta&gt;0, cc_delta,0)</f>
        <v>2550</v>
      </c>
      <c r="Q89" s="133">
        <f ca="1">NOT(cc_in_focus) * cc_show_type * IF(cc_delta&lt;0, ABS(cc_delta),0)</f>
        <v>0</v>
      </c>
    </row>
    <row r="90" spans="3:17" x14ac:dyDescent="0.3">
      <c r="C90" s="153"/>
      <c r="D90" s="131"/>
      <c r="E90" s="138"/>
      <c r="F90" s="138"/>
      <c r="G90" s="138"/>
      <c r="H90" s="138"/>
      <c r="I90" s="140"/>
      <c r="J90" s="140"/>
      <c r="K90" s="140"/>
      <c r="L90" s="139"/>
      <c r="M90" s="139"/>
      <c r="N90" s="139"/>
      <c r="O90" s="139"/>
      <c r="P90" s="139"/>
      <c r="Q90" s="139"/>
    </row>
    <row r="91" spans="3:17" x14ac:dyDescent="0.3">
      <c r="C91" s="151">
        <f ca="1">DATE(selected_year,10,1)</f>
        <v>45566</v>
      </c>
      <c r="D91" s="129" t="s">
        <v>17</v>
      </c>
      <c r="E91" s="137">
        <f t="shared" ref="E91" ca="1" si="57">MONTH(C91)</f>
        <v>10</v>
      </c>
      <c r="F91" s="137">
        <f ca="1">IF(selected_period="Всього за рік", 1, IF(selected_period=cc_month, 1, 0))</f>
        <v>0</v>
      </c>
      <c r="G91" s="137">
        <f t="shared" ref="G91" si="58">1*$D$49</f>
        <v>1</v>
      </c>
      <c r="H91" s="137">
        <f t="shared" ref="H91" si="59">1*$D$52</f>
        <v>1</v>
      </c>
      <c r="I91" s="90" cm="1">
        <f t="array" aca="1" ref="I91" ca="1">SUM(Tracking[Сума] * (Tracking[Тип]=cc_type) * (YEAR(Tracking[Період])=selected_year) * (MONTH(Tracking[Період])=cc_month) )</f>
        <v>0</v>
      </c>
      <c r="J91" s="90" cm="1">
        <f t="array" aca="1" ref="J91" ca="1">INDEX('Планування бюджету'!$E:$BG,income_total,
MATCH(DATE(selected_year,cc_month,1),'Планування бюджету'!$E$9:$BG$9,0))</f>
        <v>5650</v>
      </c>
      <c r="K91" s="90">
        <f ca="1">cc_budget - cc_tracked</f>
        <v>5650</v>
      </c>
      <c r="L91" s="133">
        <f ca="1">cc_in_focus * cc_show_type * MIN(cc_tracked,cc_budget)</f>
        <v>0</v>
      </c>
      <c r="M91" s="133">
        <f ca="1">cc_in_focus * cc_show_type * cc_show_remaning_budget * IF(cc_delta&gt;0, cc_delta,0)</f>
        <v>0</v>
      </c>
      <c r="N91" s="133">
        <f ca="1">cc_in_focus * cc_show_type * IF(cc_delta&lt;0, ABS(cc_delta),0)</f>
        <v>0</v>
      </c>
      <c r="O91" s="133">
        <f ca="1">NOT(cc_in_focus) * cc_show_type * MIN(cc_tracked,cc_budget)</f>
        <v>0</v>
      </c>
      <c r="P91" s="133">
        <f ca="1">NOT(cc_in_focus) * cc_show_type * cc_show_remaning_budget * IF(cc_delta&gt;0, cc_delta,0)</f>
        <v>5650</v>
      </c>
      <c r="Q91" s="133">
        <f ca="1">NOT(cc_in_focus) * cc_show_type * IF(cc_delta&lt;0, ABS(cc_delta),0)</f>
        <v>0</v>
      </c>
    </row>
    <row r="92" spans="3:17" x14ac:dyDescent="0.3">
      <c r="C92" s="152"/>
      <c r="D92" s="130" t="s">
        <v>7</v>
      </c>
      <c r="E92" s="137">
        <f t="shared" ref="E92" ca="1" si="60">MONTH(C91)</f>
        <v>10</v>
      </c>
      <c r="F92" s="137">
        <f ca="1">IF(selected_period="Всього за рік", 1, IF(selected_period=cc_month, 1, 0))</f>
        <v>0</v>
      </c>
      <c r="G92" s="137">
        <f t="shared" ref="G92" si="61">1*$D$50</f>
        <v>1</v>
      </c>
      <c r="H92" s="137">
        <f t="shared" si="3"/>
        <v>1</v>
      </c>
      <c r="I92" s="90" cm="1">
        <f t="array" aca="1" ref="I92" ca="1">SUM(Tracking[Сума] * (Tracking[Тип]=cc_type) * (YEAR(Tracking[Період])=selected_year) * (MONTH(Tracking[Період])=cc_month) )</f>
        <v>0</v>
      </c>
      <c r="J92" s="90" cm="1">
        <f t="array" aca="1" ref="J92" ca="1">INDEX('Планування бюджету'!$E:$BG,expenses_total,
MATCH(DATE(selected_year,cc_month,1),'Планування бюджету'!$E$9:$BG$9,0))</f>
        <v>2900</v>
      </c>
      <c r="K92" s="90">
        <f ca="1">cc_budget - cc_tracked</f>
        <v>2900</v>
      </c>
      <c r="L92" s="133">
        <f ca="1">cc_in_focus * cc_show_type * MIN(cc_tracked,cc_budget)</f>
        <v>0</v>
      </c>
      <c r="M92" s="133">
        <f ca="1">cc_in_focus * cc_show_type * cc_show_remaning_budget * IF(cc_delta&gt;0, cc_delta,0)</f>
        <v>0</v>
      </c>
      <c r="N92" s="133">
        <f ca="1">cc_in_focus * cc_show_type * IF(cc_delta&lt;0, ABS(cc_delta),0)</f>
        <v>0</v>
      </c>
      <c r="O92" s="133">
        <f ca="1">NOT(cc_in_focus) * cc_show_type * MIN(cc_tracked,cc_budget)</f>
        <v>0</v>
      </c>
      <c r="P92" s="133">
        <f ca="1">NOT(cc_in_focus) * cc_show_type * cc_show_remaning_budget * IF(cc_delta&gt;0, cc_delta,0)</f>
        <v>2900</v>
      </c>
      <c r="Q92" s="133">
        <f ca="1">NOT(cc_in_focus) * cc_show_type * IF(cc_delta&lt;0, ABS(cc_delta),0)</f>
        <v>0</v>
      </c>
    </row>
    <row r="93" spans="3:17" x14ac:dyDescent="0.3">
      <c r="C93" s="152"/>
      <c r="D93" s="130" t="s">
        <v>10</v>
      </c>
      <c r="E93" s="137">
        <f t="shared" ref="E93" ca="1" si="62">MONTH(C91)</f>
        <v>10</v>
      </c>
      <c r="F93" s="137">
        <f ca="1">IF(selected_period="Всього за рік", 1, IF(selected_period=cc_month, 1, 0))</f>
        <v>0</v>
      </c>
      <c r="G93" s="137">
        <f t="shared" ref="G93" si="63">1*$D$51</f>
        <v>1</v>
      </c>
      <c r="H93" s="137">
        <f t="shared" si="3"/>
        <v>1</v>
      </c>
      <c r="I93" s="90" cm="1">
        <f t="array" aca="1" ref="I93" ca="1">SUM(Tracking[Сума] * (Tracking[Тип]=cc_type) * (YEAR(Tracking[Період])=selected_year) * (MONTH(Tracking[Період])=cc_month) )</f>
        <v>0</v>
      </c>
      <c r="J93" s="90" cm="1">
        <f t="array" aca="1" ref="J93" ca="1">INDEX('Планування бюджету'!$E:$BG,savings_total,
MATCH(DATE(selected_year,cc_month,1),'Планування бюджету'!$E$9:$BG$9,0))</f>
        <v>2750</v>
      </c>
      <c r="K93" s="90">
        <f ca="1">cc_budget - cc_tracked</f>
        <v>2750</v>
      </c>
      <c r="L93" s="133">
        <f ca="1">cc_in_focus * cc_show_type * MIN(cc_tracked,cc_budget)</f>
        <v>0</v>
      </c>
      <c r="M93" s="133">
        <f ca="1">cc_in_focus * cc_show_type * cc_show_remaning_budget * IF(cc_delta&gt;0, cc_delta,0)</f>
        <v>0</v>
      </c>
      <c r="N93" s="133">
        <f ca="1">cc_in_focus * cc_show_type * IF(cc_delta&lt;0, ABS(cc_delta),0)</f>
        <v>0</v>
      </c>
      <c r="O93" s="133">
        <f ca="1">NOT(cc_in_focus) * cc_show_type * MIN(cc_tracked,cc_budget)</f>
        <v>0</v>
      </c>
      <c r="P93" s="133">
        <f ca="1">NOT(cc_in_focus) * cc_show_type * cc_show_remaning_budget * IF(cc_delta&gt;0, cc_delta,0)</f>
        <v>2750</v>
      </c>
      <c r="Q93" s="133">
        <f ca="1">NOT(cc_in_focus) * cc_show_type * IF(cc_delta&lt;0, ABS(cc_delta),0)</f>
        <v>0</v>
      </c>
    </row>
    <row r="94" spans="3:17" x14ac:dyDescent="0.3">
      <c r="C94" s="153"/>
      <c r="D94" s="131"/>
      <c r="E94" s="138"/>
      <c r="F94" s="138"/>
      <c r="G94" s="138"/>
      <c r="H94" s="138"/>
      <c r="I94" s="140"/>
      <c r="J94" s="140"/>
      <c r="K94" s="140"/>
      <c r="L94" s="139"/>
      <c r="M94" s="139"/>
      <c r="N94" s="139"/>
      <c r="O94" s="139"/>
      <c r="P94" s="139"/>
      <c r="Q94" s="139"/>
    </row>
    <row r="95" spans="3:17" x14ac:dyDescent="0.3">
      <c r="C95" s="151">
        <f ca="1">DATE(selected_year,11,1)</f>
        <v>45597</v>
      </c>
      <c r="D95" s="129" t="s">
        <v>17</v>
      </c>
      <c r="E95" s="137">
        <f t="shared" ref="E95" ca="1" si="64">MONTH(C95)</f>
        <v>11</v>
      </c>
      <c r="F95" s="137">
        <f ca="1">IF(selected_period="Всього за рік", 1, IF(selected_period=cc_month, 1, 0))</f>
        <v>0</v>
      </c>
      <c r="G95" s="137">
        <f t="shared" ref="G95" si="65">1*$D$49</f>
        <v>1</v>
      </c>
      <c r="H95" s="137">
        <f t="shared" ref="H95" si="66">1*$D$52</f>
        <v>1</v>
      </c>
      <c r="I95" s="90" cm="1">
        <f t="array" aca="1" ref="I95" ca="1">SUM(Tracking[Сума] * (Tracking[Тип]=cc_type) * (YEAR(Tracking[Період])=selected_year) * (MONTH(Tracking[Період])=cc_month) )</f>
        <v>0</v>
      </c>
      <c r="J95" s="90" cm="1">
        <f t="array" aca="1" ref="J95" ca="1">INDEX('Планування бюджету'!$E:$BG,income_total,
MATCH(DATE(selected_year,cc_month,1),'Планування бюджету'!$E$9:$BG$9,0))</f>
        <v>5550</v>
      </c>
      <c r="K95" s="90">
        <f ca="1">cc_budget - cc_tracked</f>
        <v>5550</v>
      </c>
      <c r="L95" s="133">
        <f ca="1">cc_in_focus * cc_show_type * MIN(cc_tracked,cc_budget)</f>
        <v>0</v>
      </c>
      <c r="M95" s="133">
        <f ca="1">cc_in_focus * cc_show_type * cc_show_remaning_budget * IF(cc_delta&gt;0, cc_delta,0)</f>
        <v>0</v>
      </c>
      <c r="N95" s="133">
        <f ca="1">cc_in_focus * cc_show_type * IF(cc_delta&lt;0, ABS(cc_delta),0)</f>
        <v>0</v>
      </c>
      <c r="O95" s="133">
        <f ca="1">NOT(cc_in_focus) * cc_show_type * MIN(cc_tracked,cc_budget)</f>
        <v>0</v>
      </c>
      <c r="P95" s="133">
        <f ca="1">NOT(cc_in_focus) * cc_show_type * cc_show_remaning_budget * IF(cc_delta&gt;0, cc_delta,0)</f>
        <v>5550</v>
      </c>
      <c r="Q95" s="133">
        <f ca="1">NOT(cc_in_focus) * cc_show_type * IF(cc_delta&lt;0, ABS(cc_delta),0)</f>
        <v>0</v>
      </c>
    </row>
    <row r="96" spans="3:17" x14ac:dyDescent="0.3">
      <c r="C96" s="152"/>
      <c r="D96" s="130" t="s">
        <v>7</v>
      </c>
      <c r="E96" s="137">
        <f t="shared" ref="E96" ca="1" si="67">MONTH(C95)</f>
        <v>11</v>
      </c>
      <c r="F96" s="137">
        <f ca="1">IF(selected_period="Всього за рік", 1, IF(selected_period=cc_month, 1, 0))</f>
        <v>0</v>
      </c>
      <c r="G96" s="137">
        <f t="shared" ref="G96" si="68">1*$D$50</f>
        <v>1</v>
      </c>
      <c r="H96" s="137">
        <f t="shared" si="3"/>
        <v>1</v>
      </c>
      <c r="I96" s="90" cm="1">
        <f t="array" aca="1" ref="I96" ca="1">SUM(Tracking[Сума] * (Tracking[Тип]=cc_type) * (YEAR(Tracking[Період])=selected_year) * (MONTH(Tracking[Період])=cc_month) )</f>
        <v>0</v>
      </c>
      <c r="J96" s="90" cm="1">
        <f t="array" aca="1" ref="J96" ca="1">INDEX('Планування бюджету'!$E:$BG,expenses_total,
MATCH(DATE(selected_year,cc_month,1),'Планування бюджету'!$E$9:$BG$9,0))</f>
        <v>2900</v>
      </c>
      <c r="K96" s="90">
        <f ca="1">cc_budget - cc_tracked</f>
        <v>2900</v>
      </c>
      <c r="L96" s="133">
        <f ca="1">cc_in_focus * cc_show_type * MIN(cc_tracked,cc_budget)</f>
        <v>0</v>
      </c>
      <c r="M96" s="133">
        <f ca="1">cc_in_focus * cc_show_type * cc_show_remaning_budget * IF(cc_delta&gt;0, cc_delta,0)</f>
        <v>0</v>
      </c>
      <c r="N96" s="133">
        <f ca="1">cc_in_focus * cc_show_type * IF(cc_delta&lt;0, ABS(cc_delta),0)</f>
        <v>0</v>
      </c>
      <c r="O96" s="133">
        <f ca="1">NOT(cc_in_focus) * cc_show_type * MIN(cc_tracked,cc_budget)</f>
        <v>0</v>
      </c>
      <c r="P96" s="133">
        <f ca="1">NOT(cc_in_focus) * cc_show_type * cc_show_remaning_budget * IF(cc_delta&gt;0, cc_delta,0)</f>
        <v>2900</v>
      </c>
      <c r="Q96" s="133">
        <f ca="1">NOT(cc_in_focus) * cc_show_type * IF(cc_delta&lt;0, ABS(cc_delta),0)</f>
        <v>0</v>
      </c>
    </row>
    <row r="97" spans="3:17" x14ac:dyDescent="0.3">
      <c r="C97" s="152"/>
      <c r="D97" s="130" t="s">
        <v>10</v>
      </c>
      <c r="E97" s="137">
        <f t="shared" ref="E97" ca="1" si="69">MONTH(C95)</f>
        <v>11</v>
      </c>
      <c r="F97" s="137">
        <f ca="1">IF(selected_period="Всього за рік", 1, IF(selected_period=cc_month, 1, 0))</f>
        <v>0</v>
      </c>
      <c r="G97" s="137">
        <f t="shared" ref="G97" si="70">1*$D$51</f>
        <v>1</v>
      </c>
      <c r="H97" s="137">
        <f t="shared" si="3"/>
        <v>1</v>
      </c>
      <c r="I97" s="90" cm="1">
        <f t="array" aca="1" ref="I97" ca="1">SUM(Tracking[Сума] * (Tracking[Тип]=cc_type) * (YEAR(Tracking[Період])=selected_year) * (MONTH(Tracking[Період])=cc_month) )</f>
        <v>0</v>
      </c>
      <c r="J97" s="90" cm="1">
        <f t="array" aca="1" ref="J97" ca="1">INDEX('Планування бюджету'!$E:$BG,savings_total,
MATCH(DATE(selected_year,cc_month,1),'Планування бюджету'!$E$9:$BG$9,0))</f>
        <v>2650</v>
      </c>
      <c r="K97" s="90">
        <f ca="1">cc_budget - cc_tracked</f>
        <v>2650</v>
      </c>
      <c r="L97" s="133">
        <f ca="1">cc_in_focus * cc_show_type * MIN(cc_tracked,cc_budget)</f>
        <v>0</v>
      </c>
      <c r="M97" s="133">
        <f ca="1">cc_in_focus * cc_show_type * cc_show_remaning_budget * IF(cc_delta&gt;0, cc_delta,0)</f>
        <v>0</v>
      </c>
      <c r="N97" s="133">
        <f ca="1">cc_in_focus * cc_show_type * IF(cc_delta&lt;0, ABS(cc_delta),0)</f>
        <v>0</v>
      </c>
      <c r="O97" s="133">
        <f ca="1">NOT(cc_in_focus) * cc_show_type * MIN(cc_tracked,cc_budget)</f>
        <v>0</v>
      </c>
      <c r="P97" s="133">
        <f ca="1">NOT(cc_in_focus) * cc_show_type * cc_show_remaning_budget * IF(cc_delta&gt;0, cc_delta,0)</f>
        <v>2650</v>
      </c>
      <c r="Q97" s="133">
        <f ca="1">NOT(cc_in_focus) * cc_show_type * IF(cc_delta&lt;0, ABS(cc_delta),0)</f>
        <v>0</v>
      </c>
    </row>
    <row r="98" spans="3:17" x14ac:dyDescent="0.3">
      <c r="C98" s="153"/>
      <c r="D98" s="131"/>
      <c r="E98" s="138"/>
      <c r="F98" s="138"/>
      <c r="G98" s="138"/>
      <c r="H98" s="138"/>
      <c r="I98" s="140"/>
      <c r="J98" s="140"/>
      <c r="K98" s="140"/>
      <c r="L98" s="139"/>
      <c r="M98" s="139"/>
      <c r="N98" s="139"/>
      <c r="O98" s="139"/>
      <c r="P98" s="139"/>
      <c r="Q98" s="139"/>
    </row>
    <row r="99" spans="3:17" x14ac:dyDescent="0.3">
      <c r="C99" s="151">
        <f ca="1">DATE(selected_year,12,1)</f>
        <v>45627</v>
      </c>
      <c r="D99" s="129" t="s">
        <v>17</v>
      </c>
      <c r="E99" s="137">
        <f t="shared" ref="E99" ca="1" si="71">MONTH(C99)</f>
        <v>12</v>
      </c>
      <c r="F99" s="137">
        <f ca="1">IF(selected_period="Всього за рік", 1, IF(selected_period=cc_month, 1, 0))</f>
        <v>0</v>
      </c>
      <c r="G99" s="137">
        <f t="shared" ref="G99" si="72">1*$D$49</f>
        <v>1</v>
      </c>
      <c r="H99" s="137">
        <f t="shared" ref="H99" si="73">1*$D$52</f>
        <v>1</v>
      </c>
      <c r="I99" s="90" cm="1">
        <f t="array" aca="1" ref="I99" ca="1">SUM(Tracking[Сума] * (Tracking[Тип]=cc_type) * (YEAR(Tracking[Період])=selected_year) * (MONTH(Tracking[Період])=cc_month) )</f>
        <v>0</v>
      </c>
      <c r="J99" s="90" cm="1">
        <f t="array" aca="1" ref="J99" ca="1">INDEX('Планування бюджету'!$E:$BG,income_total,
MATCH(DATE(selected_year,cc_month,1),'Планування бюджету'!$E$9:$BG$9,0))</f>
        <v>5600</v>
      </c>
      <c r="K99" s="90">
        <f ca="1">cc_budget - cc_tracked</f>
        <v>5600</v>
      </c>
      <c r="L99" s="133">
        <f ca="1">cc_in_focus * cc_show_type * MIN(cc_tracked,cc_budget)</f>
        <v>0</v>
      </c>
      <c r="M99" s="133">
        <f ca="1">cc_in_focus * cc_show_type * cc_show_remaning_budget * IF(cc_delta&gt;0, cc_delta,0)</f>
        <v>0</v>
      </c>
      <c r="N99" s="133">
        <f ca="1">cc_in_focus * cc_show_type * IF(cc_delta&lt;0, ABS(cc_delta),0)</f>
        <v>0</v>
      </c>
      <c r="O99" s="133">
        <f ca="1">NOT(cc_in_focus) * cc_show_type * MIN(cc_tracked,cc_budget)</f>
        <v>0</v>
      </c>
      <c r="P99" s="133">
        <f ca="1">NOT(cc_in_focus) * cc_show_type * cc_show_remaning_budget * IF(cc_delta&gt;0, cc_delta,0)</f>
        <v>5600</v>
      </c>
      <c r="Q99" s="133">
        <f ca="1">NOT(cc_in_focus) * cc_show_type * IF(cc_delta&lt;0, ABS(cc_delta),0)</f>
        <v>0</v>
      </c>
    </row>
    <row r="100" spans="3:17" x14ac:dyDescent="0.3">
      <c r="C100" s="152"/>
      <c r="D100" s="130" t="s">
        <v>7</v>
      </c>
      <c r="E100" s="137">
        <f t="shared" ref="E100" ca="1" si="74">MONTH(C99)</f>
        <v>12</v>
      </c>
      <c r="F100" s="137">
        <f ca="1">IF(selected_period="Всього за рік", 1, IF(selected_period=cc_month, 1, 0))</f>
        <v>0</v>
      </c>
      <c r="G100" s="137">
        <f t="shared" ref="G100" si="75">1*$D$50</f>
        <v>1</v>
      </c>
      <c r="H100" s="137">
        <f t="shared" si="3"/>
        <v>1</v>
      </c>
      <c r="I100" s="90" cm="1">
        <f t="array" aca="1" ref="I100" ca="1">SUM(Tracking[Сума] * (Tracking[Тип]=cc_type) * (YEAR(Tracking[Період])=selected_year) * (MONTH(Tracking[Період])=cc_month) )</f>
        <v>0</v>
      </c>
      <c r="J100" s="90" cm="1">
        <f t="array" aca="1" ref="J100" ca="1">INDEX('Планування бюджету'!$E:$BG,expenses_total,
MATCH(DATE(selected_year,cc_month,1),'Планування бюджету'!$E$9:$BG$9,0))</f>
        <v>3350</v>
      </c>
      <c r="K100" s="90">
        <f ca="1">cc_budget - cc_tracked</f>
        <v>3350</v>
      </c>
      <c r="L100" s="133">
        <f ca="1">cc_in_focus * cc_show_type * MIN(cc_tracked,cc_budget)</f>
        <v>0</v>
      </c>
      <c r="M100" s="133">
        <f ca="1">cc_in_focus * cc_show_type * cc_show_remaning_budget * IF(cc_delta&gt;0, cc_delta,0)</f>
        <v>0</v>
      </c>
      <c r="N100" s="133">
        <f ca="1">cc_in_focus * cc_show_type * IF(cc_delta&lt;0, ABS(cc_delta),0)</f>
        <v>0</v>
      </c>
      <c r="O100" s="133">
        <f ca="1">NOT(cc_in_focus) * cc_show_type * MIN(cc_tracked,cc_budget)</f>
        <v>0</v>
      </c>
      <c r="P100" s="133">
        <f ca="1">NOT(cc_in_focus) * cc_show_type * cc_show_remaning_budget * IF(cc_delta&gt;0, cc_delta,0)</f>
        <v>3350</v>
      </c>
      <c r="Q100" s="133">
        <f ca="1">NOT(cc_in_focus) * cc_show_type * IF(cc_delta&lt;0, ABS(cc_delta),0)</f>
        <v>0</v>
      </c>
    </row>
    <row r="101" spans="3:17" x14ac:dyDescent="0.3">
      <c r="C101" s="152"/>
      <c r="D101" s="130" t="s">
        <v>10</v>
      </c>
      <c r="E101" s="137">
        <f t="shared" ref="E101" ca="1" si="76">MONTH(C99)</f>
        <v>12</v>
      </c>
      <c r="F101" s="137">
        <f ca="1">IF(selected_period="Всього за рік", 1, IF(selected_period=cc_month, 1, 0))</f>
        <v>0</v>
      </c>
      <c r="G101" s="137">
        <f t="shared" ref="G101" si="77">1*$D$51</f>
        <v>1</v>
      </c>
      <c r="H101" s="137">
        <f t="shared" si="3"/>
        <v>1</v>
      </c>
      <c r="I101" s="90" cm="1">
        <f t="array" aca="1" ref="I101" ca="1">SUM(Tracking[Сума] * (Tracking[Тип]=cc_type) * (YEAR(Tracking[Період])=selected_year) * (MONTH(Tracking[Період])=cc_month) )</f>
        <v>0</v>
      </c>
      <c r="J101" s="90" cm="1">
        <f t="array" aca="1" ref="J101" ca="1">INDEX('Планування бюджету'!$E:$BG,savings_total,
MATCH(DATE(selected_year,cc_month,1),'Планування бюджету'!$E$9:$BG$9,0))</f>
        <v>2250</v>
      </c>
      <c r="K101" s="90">
        <f ca="1">cc_budget - cc_tracked</f>
        <v>2250</v>
      </c>
      <c r="L101" s="133">
        <f ca="1">cc_in_focus * cc_show_type * MIN(cc_tracked,cc_budget)</f>
        <v>0</v>
      </c>
      <c r="M101" s="133">
        <f ca="1">cc_in_focus * cc_show_type * cc_show_remaning_budget * IF(cc_delta&gt;0, cc_delta,0)</f>
        <v>0</v>
      </c>
      <c r="N101" s="133">
        <f ca="1">cc_in_focus * cc_show_type * IF(cc_delta&lt;0, ABS(cc_delta),0)</f>
        <v>0</v>
      </c>
      <c r="O101" s="133">
        <f ca="1">NOT(cc_in_focus) * cc_show_type * MIN(cc_tracked,cc_budget)</f>
        <v>0</v>
      </c>
      <c r="P101" s="133">
        <f ca="1">NOT(cc_in_focus) * cc_show_type * cc_show_remaning_budget * IF(cc_delta&gt;0, cc_delta,0)</f>
        <v>2250</v>
      </c>
      <c r="Q101" s="133">
        <f ca="1">NOT(cc_in_focus) * cc_show_type * IF(cc_delta&lt;0, ABS(cc_delta),0)</f>
        <v>0</v>
      </c>
    </row>
    <row r="102" spans="3:17" x14ac:dyDescent="0.3">
      <c r="C102" s="153"/>
      <c r="D102" s="131"/>
      <c r="E102" s="138"/>
      <c r="F102" s="138"/>
      <c r="G102" s="138"/>
      <c r="H102" s="138"/>
      <c r="I102" s="140"/>
      <c r="J102" s="140"/>
      <c r="K102" s="140"/>
      <c r="L102" s="139"/>
      <c r="M102" s="139"/>
      <c r="N102" s="139"/>
      <c r="O102" s="139"/>
      <c r="P102" s="139"/>
      <c r="Q102" s="139"/>
    </row>
  </sheetData>
  <mergeCells count="16">
    <mergeCell ref="B6:F6"/>
    <mergeCell ref="B16:F16"/>
    <mergeCell ref="L53:N53"/>
    <mergeCell ref="O53:Q53"/>
    <mergeCell ref="C55:C58"/>
    <mergeCell ref="C59:C62"/>
    <mergeCell ref="C63:C66"/>
    <mergeCell ref="C67:C70"/>
    <mergeCell ref="C71:C74"/>
    <mergeCell ref="C95:C98"/>
    <mergeCell ref="C99:C102"/>
    <mergeCell ref="C75:C78"/>
    <mergeCell ref="C79:C82"/>
    <mergeCell ref="C83:C86"/>
    <mergeCell ref="C87:C90"/>
    <mergeCell ref="C91:C94"/>
  </mergeCells>
  <phoneticPr fontId="27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51" r:id="rId4" name="Check Box 31">
              <controlPr defaultSize="0" autoFill="0" autoLine="0" autoPict="0">
                <anchor moveWithCells="1">
                  <from>
                    <xdr:col>6</xdr:col>
                    <xdr:colOff>60960</xdr:colOff>
                    <xdr:row>47</xdr:row>
                    <xdr:rowOff>0</xdr:rowOff>
                  </from>
                  <to>
                    <xdr:col>7</xdr:col>
                    <xdr:colOff>289560</xdr:colOff>
                    <xdr:row>48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5" name="Check Box 32">
              <controlPr defaultSize="0" autoFill="0" autoLine="0" autoPict="0">
                <anchor moveWithCells="1">
                  <from>
                    <xdr:col>6</xdr:col>
                    <xdr:colOff>68580</xdr:colOff>
                    <xdr:row>49</xdr:row>
                    <xdr:rowOff>144780</xdr:rowOff>
                  </from>
                  <to>
                    <xdr:col>7</xdr:col>
                    <xdr:colOff>297180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6" name="Check Box 33">
              <controlPr defaultSize="0" autoFill="0" autoLine="0" autoPict="0">
                <anchor moveWithCells="1">
                  <from>
                    <xdr:col>6</xdr:col>
                    <xdr:colOff>76200</xdr:colOff>
                    <xdr:row>48</xdr:row>
                    <xdr:rowOff>68580</xdr:rowOff>
                  </from>
                  <to>
                    <xdr:col>7</xdr:col>
                    <xdr:colOff>304800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7" name="Check Box 34">
              <controlPr defaultSize="0" autoFill="0" autoLine="0" autoPict="0">
                <anchor moveWithCells="1">
                  <from>
                    <xdr:col>7</xdr:col>
                    <xdr:colOff>571500</xdr:colOff>
                    <xdr:row>49</xdr:row>
                    <xdr:rowOff>121920</xdr:rowOff>
                  </from>
                  <to>
                    <xdr:col>7</xdr:col>
                    <xdr:colOff>1661160</xdr:colOff>
                    <xdr:row>51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8DDE-C174-4FCE-B8E7-1B6751A49536}">
  <sheetPr>
    <tabColor rgb="FF00B050"/>
  </sheetPr>
  <dimension ref="B1:AR52"/>
  <sheetViews>
    <sheetView showGridLines="0" tabSelected="1" topLeftCell="A4" zoomScale="80" zoomScaleNormal="80" workbookViewId="0">
      <selection activeCell="AQ8" sqref="AQ8:AR8"/>
    </sheetView>
  </sheetViews>
  <sheetFormatPr defaultRowHeight="14.4" x14ac:dyDescent="0.3"/>
  <cols>
    <col min="2" max="2" width="9.109375" customWidth="1"/>
    <col min="3" max="3" width="9.109375" hidden="1" customWidth="1"/>
    <col min="4" max="4" width="12.6640625" hidden="1" customWidth="1"/>
    <col min="5" max="7" width="9.109375" hidden="1" customWidth="1"/>
    <col min="8" max="8" width="8" hidden="1" customWidth="1"/>
    <col min="9" max="9" width="12.44140625" hidden="1" customWidth="1"/>
    <col min="10" max="10" width="24.33203125" hidden="1" customWidth="1"/>
    <col min="11" max="11" width="11.6640625" hidden="1" customWidth="1"/>
    <col min="12" max="12" width="6.33203125" hidden="1" customWidth="1"/>
    <col min="13" max="14" width="9.109375" hidden="1" customWidth="1"/>
    <col min="15" max="18" width="12.44140625" hidden="1" customWidth="1"/>
    <col min="19" max="19" width="11.88671875" hidden="1" customWidth="1"/>
    <col min="20" max="20" width="15.109375" hidden="1" customWidth="1"/>
    <col min="21" max="21" width="14.88671875" hidden="1" customWidth="1"/>
    <col min="22" max="22" width="24" hidden="1" customWidth="1"/>
    <col min="23" max="23" width="16.109375" hidden="1" customWidth="1"/>
    <col min="24" max="24" width="20.109375" hidden="1" customWidth="1"/>
    <col min="25" max="25" width="20.88671875" bestFit="1" customWidth="1"/>
    <col min="26" max="26" width="10.6640625" style="100" bestFit="1" customWidth="1"/>
    <col min="27" max="27" width="10.44140625" style="100" bestFit="1" customWidth="1"/>
    <col min="28" max="28" width="12.88671875" bestFit="1" customWidth="1"/>
    <col min="29" max="29" width="13.6640625" style="100" bestFit="1" customWidth="1"/>
    <col min="30" max="30" width="12" style="100" bestFit="1" customWidth="1"/>
    <col min="31" max="31" width="2.33203125" customWidth="1"/>
    <col min="32" max="33" width="15.109375" customWidth="1"/>
    <col min="34" max="34" width="1.88671875" customWidth="1"/>
    <col min="35" max="35" width="15.6640625" customWidth="1"/>
    <col min="36" max="36" width="8.44140625" customWidth="1"/>
    <col min="37" max="37" width="6.5546875" customWidth="1"/>
    <col min="38" max="38" width="3.6640625" customWidth="1"/>
    <col min="39" max="40" width="15.109375" customWidth="1"/>
    <col min="41" max="41" width="1.88671875" customWidth="1"/>
    <col min="42" max="42" width="15.6640625" customWidth="1"/>
    <col min="43" max="43" width="8.44140625" customWidth="1"/>
    <col min="44" max="44" width="6.5546875" customWidth="1"/>
    <col min="46" max="46" width="12.109375" bestFit="1" customWidth="1"/>
  </cols>
  <sheetData>
    <row r="1" spans="2:44" s="56" customFormat="1" x14ac:dyDescent="0.3">
      <c r="Z1" s="103"/>
      <c r="AA1" s="103"/>
      <c r="AC1" s="103"/>
      <c r="AD1" s="103"/>
    </row>
    <row r="2" spans="2:44" s="56" customFormat="1" ht="31.2" x14ac:dyDescent="0.6">
      <c r="B2" s="57" t="s">
        <v>24</v>
      </c>
      <c r="Z2" s="103"/>
      <c r="AA2" s="103"/>
      <c r="AC2" s="103"/>
      <c r="AD2" s="103"/>
    </row>
    <row r="3" spans="2:44" s="56" customFormat="1" x14ac:dyDescent="0.3">
      <c r="Z3" s="103"/>
      <c r="AA3" s="103"/>
      <c r="AC3" s="103"/>
      <c r="AD3" s="103"/>
    </row>
    <row r="5" spans="2:44" ht="15.6" x14ac:dyDescent="0.3">
      <c r="AQ5" s="158" t="s">
        <v>25</v>
      </c>
      <c r="AR5" s="159"/>
    </row>
    <row r="6" spans="2:44" ht="15.6" x14ac:dyDescent="0.3">
      <c r="AQ6" s="160" t="s">
        <v>29</v>
      </c>
      <c r="AR6" s="160"/>
    </row>
    <row r="7" spans="2:44" ht="15.6" x14ac:dyDescent="0.3">
      <c r="AQ7" s="161" t="s">
        <v>26</v>
      </c>
      <c r="AR7" s="162"/>
    </row>
    <row r="8" spans="2:44" ht="15.6" x14ac:dyDescent="0.3">
      <c r="AQ8" s="163">
        <v>44593</v>
      </c>
      <c r="AR8" s="163"/>
    </row>
    <row r="11" spans="2:44" ht="21" x14ac:dyDescent="0.4"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8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157" t="str">
        <f ca="1">"Розбивка - " &amp; IF(selected_period="Всього за рік",selected_year &amp; " (Всього за рік)", selected_period_display &amp; " " &amp; selected_year)</f>
        <v>Розбивка - Февраль 2024</v>
      </c>
      <c r="Z11" s="157"/>
      <c r="AA11" s="157"/>
      <c r="AB11" s="157"/>
      <c r="AC11" s="157"/>
      <c r="AD11" s="157"/>
      <c r="AF11" s="157" t="str">
        <f ca="1">"Сумарний розрахунок - " &amp; IF(selected_period="Всього за рік",selected_year &amp; " (Всього за рік)", selected_period_display &amp; " " &amp; selected_year)</f>
        <v>Сумарний розрахунок - Февраль 2024</v>
      </c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</row>
    <row r="12" spans="2:44" x14ac:dyDescent="0.3">
      <c r="C12" s="71" t="s">
        <v>36</v>
      </c>
      <c r="D12" s="71" t="s">
        <v>37</v>
      </c>
      <c r="E12" s="71" t="s">
        <v>38</v>
      </c>
      <c r="F12" s="71" t="s">
        <v>39</v>
      </c>
      <c r="G12" s="71" t="s">
        <v>40</v>
      </c>
      <c r="H12" s="71" t="s">
        <v>41</v>
      </c>
      <c r="I12" s="71" t="s">
        <v>42</v>
      </c>
      <c r="J12" s="71" t="s">
        <v>43</v>
      </c>
      <c r="K12" s="71" t="s">
        <v>44</v>
      </c>
      <c r="L12" s="71" t="s">
        <v>45</v>
      </c>
      <c r="M12" s="71" t="s">
        <v>68</v>
      </c>
      <c r="N12" s="71" t="s">
        <v>69</v>
      </c>
      <c r="O12" s="71" t="s">
        <v>70</v>
      </c>
      <c r="P12" s="71" t="s">
        <v>71</v>
      </c>
      <c r="Q12" s="71" t="s">
        <v>72</v>
      </c>
      <c r="R12" s="71" t="s">
        <v>73</v>
      </c>
      <c r="S12" s="71" t="s">
        <v>74</v>
      </c>
      <c r="T12" s="71" t="s">
        <v>75</v>
      </c>
      <c r="U12" s="71" t="s">
        <v>76</v>
      </c>
      <c r="V12" s="71" t="s">
        <v>77</v>
      </c>
      <c r="W12" s="71" t="s">
        <v>78</v>
      </c>
      <c r="X12" s="71" t="s">
        <v>79</v>
      </c>
    </row>
    <row r="13" spans="2:44" x14ac:dyDescent="0.3">
      <c r="C13" s="72" cm="1">
        <f t="array" ref="C13">income_header_row</f>
        <v>9</v>
      </c>
      <c r="D13" s="73">
        <f t="shared" ref="D13:D48" si="0">IF(is_header,row_id,
   IF(NOT(is_empty),D12,-1))</f>
        <v>9</v>
      </c>
      <c r="E13" s="72" cm="1">
        <f t="array" ref="E13">1*OR(row_id=income_header_row,row_id=expenses_header,row_id=savings_header)</f>
        <v>1</v>
      </c>
      <c r="F13">
        <f t="shared" ref="F13:F50" si="1">1*NOT(OR(is_header,is_total,is_empty))</f>
        <v>0</v>
      </c>
      <c r="G13" cm="1">
        <f t="array" ref="G13">1*OR(row_id=income_total,row_id=expenses_total,row_id=savings_total)</f>
        <v>0</v>
      </c>
      <c r="H13" s="73">
        <f t="shared" ref="H13:H50" si="2">1*OR(row_id="/1",row_id="/2",row_id=-1)</f>
        <v>0</v>
      </c>
      <c r="I13" s="72" t="str" cm="1">
        <f t="array" ref="I13">IFERROR(INDEX('Планування бюджету'!$C:$C,header_row_id),"")</f>
        <v>Дохід</v>
      </c>
      <c r="J13" t="str" cm="1">
        <f t="array" ref="J13">IFERROR(INDEX('Планування бюджету'!$C:$C,row_id),"")</f>
        <v>Дохід</v>
      </c>
      <c r="K13" s="90" t="str" cm="1">
        <f t="array" ref="K13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13" s="73" t="str" cm="1">
        <f t="array" ref="L13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13" s="72" t="str" cm="1">
        <f t="array" ref="M13">IF(is_cat,
    IF(header_row_id=income_header_row,MATCH(income_min,$C:$C,0),
     IF(header_row_id=expenses_header,MATCH(expenses_min,$C:$C,0),
      IF(header_row_id=savings_header,MATCH(savings_min,$C:$C,0),""))),"")</f>
        <v/>
      </c>
      <c r="N13" s="73" t="str" cm="1">
        <f t="array" ref="N13">IF(is_cat,
    IF(header_row_id=income_header_row,MATCH(income_max,$C:$C,0),
     IF(header_row_id=expenses_header,MATCH(expenses_max,$C:$C,0),
      IF(header_row_id=savings_header,MATCH(savings_max,$C:$C,0),""))),"")</f>
        <v/>
      </c>
      <c r="O13" t="str">
        <f t="shared" ref="O13:O50" si="3">IF(is_cat,ADDRESS(sort_min,COLUMN(tracked))&amp; ":" &amp; ADDRESS(sort_max,COLUMN(tracked)), "")</f>
        <v/>
      </c>
      <c r="P13" t="str">
        <f t="shared" ref="P13:P50" ca="1" si="4">IF(is_cat,RANK(tracked,INDIRECT(tracked_range), 0), "")</f>
        <v/>
      </c>
      <c r="Q13" t="str">
        <f t="shared" ref="Q13:Q50" si="5">IF(is_cat,ADDRESS(sort_min,COLUMN(budget))&amp; ":" &amp; ADDRESS(sort_max,COLUMN(budget)), "")</f>
        <v/>
      </c>
      <c r="R13" s="73" t="str">
        <f t="shared" ref="R13:R50" ca="1" si="6">IF(is_cat,RANK(budget,INDIRECT(budget_range), 0), "")</f>
        <v/>
      </c>
      <c r="S13" s="72" t="str">
        <f t="shared" ref="S13:S50" si="7">IF(is_cat,_xlfn.NUMBERVALUE(tracked_rank&amp;budget_rank),"")</f>
        <v/>
      </c>
      <c r="T13" t="str">
        <f t="shared" ref="T13:T50" si="8">IF(is_cat,ADDRESS(sort_min,COLUMN(comb_rank))&amp; ":" &amp; ADDRESS(sort_max,COLUMN(comb_rank)), "")</f>
        <v/>
      </c>
      <c r="U13" t="str">
        <f t="shared" ref="U13:U50" ca="1" si="9">IF(is_cat,RANK(comb_rank,INDIRECT(comb_rank_range), 1), "")</f>
        <v/>
      </c>
      <c r="V13" t="str">
        <f t="shared" ref="V13:V50" si="10">IF(is_cat,ADDRESS(sort_min,COLUMN(comb_rank_norm))&amp; ":" &amp; ADDRESS(ROW(), COLUMN(comb_rank_norm)),"")</f>
        <v/>
      </c>
      <c r="W13" s="73" t="str">
        <f t="shared" ref="W13:W50" ca="1" si="11">IF(is_cat,comb_rank_norm + COUNTIF(INDIRECT(comb_rank_norm_run_range),
comb_rank_norm)-1,"")</f>
        <v/>
      </c>
      <c r="X13" s="102">
        <f t="shared" ref="X13:X50" si="12">IF(is_cat,header_row_id + comb_rank_unique, row_id)</f>
        <v>9</v>
      </c>
      <c r="Y13" t="str">
        <f t="shared" ref="Y13:Y50" si="13">IF(is_empty,"",INDEX($J:$J,MATCH(row_id,$X:$X,0)))</f>
        <v>Дохід</v>
      </c>
      <c r="Z13" s="104" t="str">
        <f t="shared" ref="Z13:Z50" si="14">IF(is_empty,"",IF(is_header, "Tracked", INDEX($K:$K,MATCH(row_id,$X:$X,0))))</f>
        <v>Tracked</v>
      </c>
      <c r="AA13" s="104" t="str">
        <f t="shared" ref="AA13:AA50" si="15">IF(is_empty,"",IF(is_header, "Бюджет", INDEX($L:$L,MATCH(row_id,$X:$X,0))))</f>
        <v>Бюджет</v>
      </c>
      <c r="AB13" s="105" t="str">
        <f t="shared" ref="AB13:AB50" si="16">IF(is_empty,"",IF(is_header, "% Виконання", IFERROR(out_tracked / out_budget, "-")))</f>
        <v>% Виконання</v>
      </c>
      <c r="AC13" s="104" t="str">
        <f t="shared" ref="AC13:AC50" si="17">IF(is_empty,"",IF(is_header, "Залишилось",IF(out_budget-out_tracked&gt;0,out_budget-out_tracked,0)))</f>
        <v>Залишилось</v>
      </c>
      <c r="AD13" s="104" t="str">
        <f t="shared" ref="AD13:AD50" si="18">IF(is_empty,"",IF(is_header, "Надлишок",IF(out_budget-out_tracked&lt;0,out_budget-out_tracked,0)))</f>
        <v>Надлишок</v>
      </c>
      <c r="AF13" s="107"/>
      <c r="AG13" s="108"/>
      <c r="AH13" s="108"/>
      <c r="AI13" s="108"/>
      <c r="AJ13" s="108"/>
      <c r="AK13" s="109"/>
      <c r="AM13" s="107"/>
      <c r="AN13" s="108"/>
      <c r="AO13" s="108"/>
      <c r="AP13" s="108"/>
      <c r="AQ13" s="108"/>
      <c r="AR13" s="109"/>
    </row>
    <row r="14" spans="2:44" x14ac:dyDescent="0.3">
      <c r="C14" s="72" cm="1">
        <f t="array" ref="C14">IF(C13=-1,-1,
   IF(C13&lt;income_max,C13+1,
    IF(C13=income_max,income_total,
     IF(C13=income_total,"/1",
      IF(C13="/1",expenses_header,
       IF(C13&lt;expenses_max,C13+1,
        IF(C13=expenses_max,expenses_total,
         IF(C13=expenses_total,"/2",
          IF(C13="/2",savings_header,
           IF(C13&lt;savings_max,C13+1,
            IF(C13=savings_max,savings_total,-1
)))))))))))</f>
        <v>10</v>
      </c>
      <c r="D14" s="73">
        <f t="shared" si="0"/>
        <v>9</v>
      </c>
      <c r="E14" s="72" cm="1">
        <f t="array" ref="E14">1*OR(row_id=income_header_row,row_id=expenses_header,row_id=savings_header)</f>
        <v>0</v>
      </c>
      <c r="F14">
        <f t="shared" si="1"/>
        <v>1</v>
      </c>
      <c r="G14" cm="1">
        <f t="array" ref="G14">1*OR(row_id=income_total,row_id=expenses_total,row_id=savings_total)</f>
        <v>0</v>
      </c>
      <c r="H14" s="73">
        <f t="shared" si="2"/>
        <v>0</v>
      </c>
      <c r="I14" s="72" t="str" cm="1">
        <f t="array" ref="I14">IFERROR(INDEX('Планування бюджету'!$C:$C,header_row_id),"")</f>
        <v>Дохід</v>
      </c>
      <c r="J14" t="str" cm="1">
        <f t="array" ref="J14">IFERROR(INDEX('Планування бюджету'!$C:$C,row_id),"")</f>
        <v>Виділення з бюджету</v>
      </c>
      <c r="K14" s="90" cm="1">
        <f t="array" aca="1" ref="K14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3500</v>
      </c>
      <c r="L14" s="73" cm="1">
        <f t="array" aca="1" ref="L14" ca="1">IF(OR(is_header,is_empty),"",
 INDEX('Планування бюджету'!$E:$BG,row_id,
 MATCH(IF(selected_period="Всього за рік", selected_year,DATE(selected_year,selected_period,1)),'Планування бюджету'!$E$9:$BG$9,0) ))</f>
        <v>3500</v>
      </c>
      <c r="M14" s="72" cm="1">
        <f t="array" ref="M14">IF(is_cat,
    IF(header_row_id=income_header_row,MATCH(income_min,$C:$C,0),
     IF(header_row_id=expenses_header,MATCH(expenses_min,$C:$C,0),
      IF(header_row_id=savings_header,MATCH(savings_min,$C:$C,0),""))),"")</f>
        <v>14</v>
      </c>
      <c r="N14" s="73" cm="1">
        <f t="array" ref="N14">IF(is_cat,
    IF(header_row_id=income_header_row,MATCH(income_max,$C:$C,0),
     IF(header_row_id=expenses_header,MATCH(expenses_max,$C:$C,0),
      IF(header_row_id=savings_header,MATCH(savings_max,$C:$C,0),""))),"")</f>
        <v>16</v>
      </c>
      <c r="O14" t="str">
        <f t="shared" si="3"/>
        <v>$K$14:$K$16</v>
      </c>
      <c r="P14">
        <f t="shared" ca="1" si="4"/>
        <v>1</v>
      </c>
      <c r="Q14" t="str">
        <f t="shared" si="5"/>
        <v>$L$14:$L$16</v>
      </c>
      <c r="R14" s="73">
        <f t="shared" ca="1" si="6"/>
        <v>1</v>
      </c>
      <c r="S14" s="72">
        <f t="shared" ca="1" si="7"/>
        <v>11</v>
      </c>
      <c r="T14" t="str">
        <f t="shared" si="8"/>
        <v>$S$14:$S$16</v>
      </c>
      <c r="U14">
        <f t="shared" ca="1" si="9"/>
        <v>1</v>
      </c>
      <c r="V14" t="str">
        <f t="shared" si="10"/>
        <v>$U$14:$U$14</v>
      </c>
      <c r="W14" s="73">
        <f t="shared" ca="1" si="11"/>
        <v>1</v>
      </c>
      <c r="X14" s="102">
        <f t="shared" ca="1" si="12"/>
        <v>10</v>
      </c>
      <c r="Y14" t="str">
        <f t="shared" ca="1" si="13"/>
        <v>Виділення з бюджету</v>
      </c>
      <c r="Z14" s="104">
        <f t="shared" ca="1" si="14"/>
        <v>3500</v>
      </c>
      <c r="AA14" s="104">
        <f t="shared" ca="1" si="15"/>
        <v>3500</v>
      </c>
      <c r="AB14" s="105">
        <f t="shared" ca="1" si="16"/>
        <v>1</v>
      </c>
      <c r="AC14" s="104">
        <f t="shared" ca="1" si="17"/>
        <v>0</v>
      </c>
      <c r="AD14" s="104">
        <f t="shared" ca="1" si="18"/>
        <v>0</v>
      </c>
      <c r="AF14" s="72"/>
      <c r="AK14" s="73"/>
      <c r="AM14" s="72"/>
      <c r="AR14" s="73"/>
    </row>
    <row r="15" spans="2:44" x14ac:dyDescent="0.3">
      <c r="C15" s="72" cm="1">
        <f t="array" ref="C15">IF(C14=-1,-1,
   IF(C14&lt;income_max,C14+1,
    IF(C14=income_max,income_total,
     IF(C14=income_total,"/1",
      IF(C14="/1",expenses_header,
       IF(C14&lt;expenses_max,C14+1,
        IF(C14=expenses_max,expenses_total,
         IF(C14=expenses_total,"/2",
          IF(C14="/2",savings_header,
           IF(C14&lt;savings_max,C14+1,
            IF(C14=savings_max,savings_total,-1
)))))))))))</f>
        <v>11</v>
      </c>
      <c r="D15" s="73">
        <f t="shared" si="0"/>
        <v>9</v>
      </c>
      <c r="E15" s="72" cm="1">
        <f t="array" ref="E15">1*OR(row_id=income_header_row,row_id=expenses_header,row_id=savings_header)</f>
        <v>0</v>
      </c>
      <c r="F15">
        <f t="shared" si="1"/>
        <v>1</v>
      </c>
      <c r="G15" cm="1">
        <f t="array" ref="G15">1*OR(row_id=income_total,row_id=expenses_total,row_id=savings_total)</f>
        <v>0</v>
      </c>
      <c r="H15" s="73">
        <f t="shared" si="2"/>
        <v>0</v>
      </c>
      <c r="I15" s="72" t="str" cm="1">
        <f t="array" ref="I15">IFERROR(INDEX('Планування бюджету'!$C:$C,header_row_id),"")</f>
        <v>Дохід</v>
      </c>
      <c r="J15" t="str" cm="1">
        <f t="array" ref="J15">IFERROR(INDEX('Планування бюджету'!$C:$C,row_id),"")</f>
        <v>Інвестиції</v>
      </c>
      <c r="K15" s="90" cm="1">
        <f t="array" aca="1" ref="K15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1000</v>
      </c>
      <c r="L15" s="73" cm="1">
        <f t="array" aca="1" ref="L15" ca="1">IF(OR(is_header,is_empty),"",
 INDEX('Планування бюджету'!$E:$BG,row_id,
 MATCH(IF(selected_period="Всього за рік", selected_year,DATE(selected_year,selected_period,1)),'Планування бюджету'!$E$9:$BG$9,0) ))</f>
        <v>1000</v>
      </c>
      <c r="M15" s="72" cm="1">
        <f t="array" ref="M15">IF(is_cat,
    IF(header_row_id=income_header_row,MATCH(income_min,$C:$C,0),
     IF(header_row_id=expenses_header,MATCH(expenses_min,$C:$C,0),
      IF(header_row_id=savings_header,MATCH(savings_min,$C:$C,0),""))),"")</f>
        <v>14</v>
      </c>
      <c r="N15" s="73" cm="1">
        <f t="array" ref="N15">IF(is_cat,
    IF(header_row_id=income_header_row,MATCH(income_max,$C:$C,0),
     IF(header_row_id=expenses_header,MATCH(expenses_max,$C:$C,0),
      IF(header_row_id=savings_header,MATCH(savings_max,$C:$C,0),""))),"")</f>
        <v>16</v>
      </c>
      <c r="O15" t="str">
        <f t="shared" si="3"/>
        <v>$K$14:$K$16</v>
      </c>
      <c r="P15">
        <f t="shared" ca="1" si="4"/>
        <v>2</v>
      </c>
      <c r="Q15" t="str">
        <f t="shared" si="5"/>
        <v>$L$14:$L$16</v>
      </c>
      <c r="R15" s="73">
        <f t="shared" ca="1" si="6"/>
        <v>2</v>
      </c>
      <c r="S15" s="72">
        <f t="shared" ca="1" si="7"/>
        <v>22</v>
      </c>
      <c r="T15" t="str">
        <f t="shared" si="8"/>
        <v>$S$14:$S$16</v>
      </c>
      <c r="U15">
        <f t="shared" ca="1" si="9"/>
        <v>2</v>
      </c>
      <c r="V15" t="str">
        <f t="shared" si="10"/>
        <v>$U$14:$U$15</v>
      </c>
      <c r="W15" s="73">
        <f t="shared" ca="1" si="11"/>
        <v>2</v>
      </c>
      <c r="X15" s="102">
        <f t="shared" ca="1" si="12"/>
        <v>11</v>
      </c>
      <c r="Y15" t="str">
        <f t="shared" ca="1" si="13"/>
        <v>Інвестиції</v>
      </c>
      <c r="Z15" s="104">
        <f t="shared" ca="1" si="14"/>
        <v>1000</v>
      </c>
      <c r="AA15" s="104">
        <f t="shared" ca="1" si="15"/>
        <v>1000</v>
      </c>
      <c r="AB15" s="105">
        <f t="shared" ca="1" si="16"/>
        <v>1</v>
      </c>
      <c r="AC15" s="104">
        <f t="shared" ca="1" si="17"/>
        <v>0</v>
      </c>
      <c r="AD15" s="104">
        <f t="shared" ca="1" si="18"/>
        <v>0</v>
      </c>
      <c r="AF15" s="72"/>
      <c r="AK15" s="73"/>
      <c r="AM15" s="72"/>
      <c r="AR15" s="73"/>
    </row>
    <row r="16" spans="2:44" x14ac:dyDescent="0.3">
      <c r="C16" s="72" cm="1">
        <f t="array" ref="C16">IF(C15=-1,-1,
   IF(C15&lt;income_max,C15+1,
    IF(C15=income_max,income_total,
     IF(C15=income_total,"/1",
      IF(C15="/1",expenses_header,
       IF(C15&lt;expenses_max,C15+1,
        IF(C15=expenses_max,expenses_total,
         IF(C15=expenses_total,"/2",
          IF(C15="/2",savings_header,
           IF(C15&lt;savings_max,C15+1,
            IF(C15=savings_max,savings_total,-1
)))))))))))</f>
        <v>12</v>
      </c>
      <c r="D16" s="73">
        <f t="shared" si="0"/>
        <v>9</v>
      </c>
      <c r="E16" s="72" cm="1">
        <f t="array" ref="E16">1*OR(row_id=income_header_row,row_id=expenses_header,row_id=savings_header)</f>
        <v>0</v>
      </c>
      <c r="F16">
        <f t="shared" si="1"/>
        <v>1</v>
      </c>
      <c r="G16" cm="1">
        <f t="array" ref="G16">1*OR(row_id=income_total,row_id=expenses_total,row_id=savings_total)</f>
        <v>0</v>
      </c>
      <c r="H16" s="73">
        <f t="shared" si="2"/>
        <v>0</v>
      </c>
      <c r="I16" s="72" t="str" cm="1">
        <f t="array" ref="I16">IFERROR(INDEX('Планування бюджету'!$C:$C,header_row_id),"")</f>
        <v>Дохід</v>
      </c>
      <c r="J16" t="str" cm="1">
        <f t="array" ref="J16">IFERROR(INDEX('Планування бюджету'!$C:$C,row_id),"")</f>
        <v>Акції</v>
      </c>
      <c r="K16" s="90" cm="1">
        <f t="array" aca="1" ref="K16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0</v>
      </c>
      <c r="L16" s="73" cm="1">
        <f t="array" aca="1" ref="L16" ca="1">IF(OR(is_header,is_empty),"",
 INDEX('Планування бюджету'!$E:$BG,row_id,
 MATCH(IF(selected_period="Всього за рік", selected_year,DATE(selected_year,selected_period,1)),'Планування бюджету'!$E$9:$BG$9,0) ))</f>
        <v>50</v>
      </c>
      <c r="M16" s="72" cm="1">
        <f t="array" ref="M16">IF(is_cat,
    IF(header_row_id=income_header_row,MATCH(income_min,$C:$C,0),
     IF(header_row_id=expenses_header,MATCH(expenses_min,$C:$C,0),
      IF(header_row_id=savings_header,MATCH(savings_min,$C:$C,0),""))),"")</f>
        <v>14</v>
      </c>
      <c r="N16" s="73" cm="1">
        <f t="array" ref="N16">IF(is_cat,
    IF(header_row_id=income_header_row,MATCH(income_max,$C:$C,0),
     IF(header_row_id=expenses_header,MATCH(expenses_max,$C:$C,0),
      IF(header_row_id=savings_header,MATCH(savings_max,$C:$C,0),""))),"")</f>
        <v>16</v>
      </c>
      <c r="O16" t="str">
        <f t="shared" si="3"/>
        <v>$K$14:$K$16</v>
      </c>
      <c r="P16">
        <f t="shared" ca="1" si="4"/>
        <v>3</v>
      </c>
      <c r="Q16" t="str">
        <f t="shared" si="5"/>
        <v>$L$14:$L$16</v>
      </c>
      <c r="R16" s="73">
        <f t="shared" ca="1" si="6"/>
        <v>3</v>
      </c>
      <c r="S16" s="72">
        <f t="shared" ca="1" si="7"/>
        <v>33</v>
      </c>
      <c r="T16" t="str">
        <f t="shared" si="8"/>
        <v>$S$14:$S$16</v>
      </c>
      <c r="U16">
        <f t="shared" ca="1" si="9"/>
        <v>3</v>
      </c>
      <c r="V16" t="str">
        <f t="shared" si="10"/>
        <v>$U$14:$U$16</v>
      </c>
      <c r="W16" s="73">
        <f t="shared" ca="1" si="11"/>
        <v>3</v>
      </c>
      <c r="X16" s="102">
        <f t="shared" ca="1" si="12"/>
        <v>12</v>
      </c>
      <c r="Y16" t="str">
        <f t="shared" ca="1" si="13"/>
        <v>Акції</v>
      </c>
      <c r="Z16" s="104">
        <f t="shared" ca="1" si="14"/>
        <v>0</v>
      </c>
      <c r="AA16" s="104">
        <f t="shared" ca="1" si="15"/>
        <v>50</v>
      </c>
      <c r="AB16" s="105">
        <f t="shared" ca="1" si="16"/>
        <v>0</v>
      </c>
      <c r="AC16" s="104">
        <f t="shared" ca="1" si="17"/>
        <v>50</v>
      </c>
      <c r="AD16" s="104">
        <f t="shared" ca="1" si="18"/>
        <v>0</v>
      </c>
      <c r="AF16" s="72"/>
      <c r="AI16" s="125" t="s">
        <v>81</v>
      </c>
      <c r="AJ16" s="126">
        <f ca="1">Калькулятор!E35</f>
        <v>3500</v>
      </c>
      <c r="AK16" s="73"/>
      <c r="AM16" s="72"/>
      <c r="AP16" s="125"/>
      <c r="AQ16" s="126"/>
      <c r="AR16" s="73"/>
    </row>
    <row r="17" spans="3:44" x14ac:dyDescent="0.3">
      <c r="C17" s="72" cm="1">
        <f t="array" ref="C17">IF(C16=-1,-1,
   IF(C16&lt;income_max,C16+1,
    IF(C16=income_max,income_total,
     IF(C16=income_total,"/1",
      IF(C16="/1",expenses_header,
       IF(C16&lt;expenses_max,C16+1,
        IF(C16=expenses_max,expenses_total,
         IF(C16=expenses_total,"/2",
          IF(C16="/2",savings_header,
           IF(C16&lt;savings_max,C16+1,
            IF(C16=savings_max,savings_total,-1
)))))))))))</f>
        <v>21</v>
      </c>
      <c r="D17" s="73">
        <f t="shared" si="0"/>
        <v>9</v>
      </c>
      <c r="E17" s="72" cm="1">
        <f t="array" ref="E17">1*OR(row_id=income_header_row,row_id=expenses_header,row_id=savings_header)</f>
        <v>0</v>
      </c>
      <c r="F17">
        <f t="shared" si="1"/>
        <v>0</v>
      </c>
      <c r="G17" cm="1">
        <f t="array" ref="G17">1*OR(row_id=income_total,row_id=expenses_total,row_id=savings_total)</f>
        <v>1</v>
      </c>
      <c r="H17" s="73">
        <f t="shared" si="2"/>
        <v>0</v>
      </c>
      <c r="I17" s="72" t="str" cm="1">
        <f t="array" ref="I17">IFERROR(INDEX('Планування бюджету'!$C:$C,header_row_id),"")</f>
        <v>Дохід</v>
      </c>
      <c r="J17" t="str" cm="1">
        <f t="array" ref="J17">IFERROR(INDEX('Планування бюджету'!$C:$C,row_id),"")</f>
        <v>Всього</v>
      </c>
      <c r="K17" s="90" cm="1">
        <f t="array" aca="1" ref="K17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4500</v>
      </c>
      <c r="L17" s="73" cm="1">
        <f t="array" aca="1" ref="L17" ca="1">IF(OR(is_header,is_empty),"",
 INDEX('Планування бюджету'!$E:$BG,row_id,
 MATCH(IF(selected_period="Всього за рік", selected_year,DATE(selected_year,selected_period,1)),'Планування бюджету'!$E$9:$BG$9,0) ))</f>
        <v>4550</v>
      </c>
      <c r="M17" s="72" t="str" cm="1">
        <f t="array" ref="M17">IF(is_cat,
    IF(header_row_id=income_header_row,MATCH(income_min,$C:$C,0),
     IF(header_row_id=expenses_header,MATCH(expenses_min,$C:$C,0),
      IF(header_row_id=savings_header,MATCH(savings_min,$C:$C,0),""))),"")</f>
        <v/>
      </c>
      <c r="N17" s="73" t="str" cm="1">
        <f t="array" ref="N17">IF(is_cat,
    IF(header_row_id=income_header_row,MATCH(income_max,$C:$C,0),
     IF(header_row_id=expenses_header,MATCH(expenses_max,$C:$C,0),
      IF(header_row_id=savings_header,MATCH(savings_max,$C:$C,0),""))),"")</f>
        <v/>
      </c>
      <c r="O17" t="str">
        <f t="shared" si="3"/>
        <v/>
      </c>
      <c r="P17" t="str">
        <f t="shared" ca="1" si="4"/>
        <v/>
      </c>
      <c r="Q17" t="str">
        <f t="shared" si="5"/>
        <v/>
      </c>
      <c r="R17" s="73" t="str">
        <f t="shared" ca="1" si="6"/>
        <v/>
      </c>
      <c r="S17" s="72" t="str">
        <f t="shared" si="7"/>
        <v/>
      </c>
      <c r="T17" t="str">
        <f t="shared" si="8"/>
        <v/>
      </c>
      <c r="U17" t="str">
        <f t="shared" ca="1" si="9"/>
        <v/>
      </c>
      <c r="V17" t="str">
        <f t="shared" si="10"/>
        <v/>
      </c>
      <c r="W17" s="73" t="str">
        <f t="shared" ca="1" si="11"/>
        <v/>
      </c>
      <c r="X17" s="102">
        <f t="shared" si="12"/>
        <v>21</v>
      </c>
      <c r="Y17" t="str">
        <f t="shared" ca="1" si="13"/>
        <v>Всього</v>
      </c>
      <c r="Z17" s="104">
        <f t="shared" ca="1" si="14"/>
        <v>4500</v>
      </c>
      <c r="AA17" s="104">
        <f t="shared" ca="1" si="15"/>
        <v>4550</v>
      </c>
      <c r="AB17" s="105">
        <f t="shared" ca="1" si="16"/>
        <v>0.98901098901098905</v>
      </c>
      <c r="AC17" s="104">
        <f t="shared" ca="1" si="17"/>
        <v>50</v>
      </c>
      <c r="AD17" s="104">
        <f t="shared" ca="1" si="18"/>
        <v>0</v>
      </c>
      <c r="AF17" s="72"/>
      <c r="AI17" s="125" t="str">
        <f ca="1">Калькулятор!D36</f>
        <v>Інвестиції</v>
      </c>
      <c r="AJ17" s="126">
        <f ca="1">Калькулятор!E36</f>
        <v>1000</v>
      </c>
      <c r="AK17" s="73"/>
      <c r="AM17" s="72"/>
      <c r="AP17" s="125"/>
      <c r="AQ17" s="126"/>
      <c r="AR17" s="73"/>
    </row>
    <row r="18" spans="3:44" x14ac:dyDescent="0.3">
      <c r="C18" s="72" t="str" cm="1">
        <f t="array" ref="C18">IF(C17=-1,-1,
   IF(C17&lt;income_max,C17+1,
    IF(C17=income_max,income_total,
     IF(C17=income_total,"/1",
      IF(C17="/1",expenses_header,
       IF(C17&lt;expenses_max,C17+1,
        IF(C17=expenses_max,expenses_total,
         IF(C17=expenses_total,"/2",
          IF(C17="/2",savings_header,
           IF(C17&lt;savings_max,C17+1,
            IF(C17=savings_max,savings_total,-1
)))))))))))</f>
        <v>/1</v>
      </c>
      <c r="D18" s="73">
        <f t="shared" si="0"/>
        <v>-1</v>
      </c>
      <c r="E18" s="72" cm="1">
        <f t="array" ref="E18">1*OR(row_id=income_header_row,row_id=expenses_header,row_id=savings_header)</f>
        <v>0</v>
      </c>
      <c r="F18">
        <f t="shared" si="1"/>
        <v>0</v>
      </c>
      <c r="G18" cm="1">
        <f t="array" ref="G18">1*OR(row_id=income_total,row_id=expenses_total,row_id=savings_total)</f>
        <v>0</v>
      </c>
      <c r="H18" s="73">
        <f t="shared" si="2"/>
        <v>1</v>
      </c>
      <c r="I18" s="72" t="str" cm="1">
        <f t="array" ref="I18">IFERROR(INDEX('Планування бюджету'!$C:$C,header_row_id),"")</f>
        <v/>
      </c>
      <c r="J18" t="str" cm="1">
        <f t="array" ref="J18">IFERROR(INDEX('Планування бюджету'!$C:$C,row_id),"")</f>
        <v/>
      </c>
      <c r="K18" s="90" t="str" cm="1">
        <f t="array" ref="K18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18" s="73" t="str" cm="1">
        <f t="array" ref="L18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18" s="72" t="str" cm="1">
        <f t="array" ref="M18">IF(is_cat,
    IF(header_row_id=income_header_row,MATCH(income_min,$C:$C,0),
     IF(header_row_id=expenses_header,MATCH(expenses_min,$C:$C,0),
      IF(header_row_id=savings_header,MATCH(savings_min,$C:$C,0),""))),"")</f>
        <v/>
      </c>
      <c r="N18" s="73" t="str" cm="1">
        <f t="array" ref="N18">IF(is_cat,
    IF(header_row_id=income_header_row,MATCH(income_max,$C:$C,0),
     IF(header_row_id=expenses_header,MATCH(expenses_max,$C:$C,0),
      IF(header_row_id=savings_header,MATCH(savings_max,$C:$C,0),""))),"")</f>
        <v/>
      </c>
      <c r="O18" t="str">
        <f t="shared" si="3"/>
        <v/>
      </c>
      <c r="P18" t="str">
        <f t="shared" ca="1" si="4"/>
        <v/>
      </c>
      <c r="Q18" t="str">
        <f t="shared" si="5"/>
        <v/>
      </c>
      <c r="R18" s="73" t="str">
        <f t="shared" ca="1" si="6"/>
        <v/>
      </c>
      <c r="S18" s="72" t="str">
        <f t="shared" si="7"/>
        <v/>
      </c>
      <c r="T18" t="str">
        <f t="shared" si="8"/>
        <v/>
      </c>
      <c r="U18" t="str">
        <f t="shared" ca="1" si="9"/>
        <v/>
      </c>
      <c r="V18" t="str">
        <f t="shared" si="10"/>
        <v/>
      </c>
      <c r="W18" s="73" t="str">
        <f t="shared" ca="1" si="11"/>
        <v/>
      </c>
      <c r="X18" s="102" t="str">
        <f t="shared" si="12"/>
        <v>/1</v>
      </c>
      <c r="Y18" t="str">
        <f t="shared" si="13"/>
        <v/>
      </c>
      <c r="Z18" s="104" t="str">
        <f t="shared" si="14"/>
        <v/>
      </c>
      <c r="AA18" s="104" t="str">
        <f t="shared" si="15"/>
        <v/>
      </c>
      <c r="AB18" s="105" t="str">
        <f t="shared" si="16"/>
        <v/>
      </c>
      <c r="AC18" s="104" t="str">
        <f t="shared" si="17"/>
        <v/>
      </c>
      <c r="AD18" s="104" t="str">
        <f t="shared" si="18"/>
        <v/>
      </c>
      <c r="AF18" s="72"/>
      <c r="AI18" s="125" t="str">
        <f ca="1">Калькулятор!D37</f>
        <v/>
      </c>
      <c r="AJ18" s="126" t="str">
        <f ca="1">Калькулятор!E37</f>
        <v/>
      </c>
      <c r="AK18" s="73"/>
      <c r="AM18" s="72"/>
      <c r="AP18" s="125"/>
      <c r="AQ18" s="126"/>
      <c r="AR18" s="73"/>
    </row>
    <row r="19" spans="3:44" x14ac:dyDescent="0.3">
      <c r="C19" s="72" cm="1">
        <f t="array" ref="C19">IF(C18=-1,-1,
   IF(C18&lt;income_max,C18+1,
    IF(C18=income_max,income_total,
     IF(C18=income_total,"/1",
      IF(C18="/1",expenses_header,
       IF(C18&lt;expenses_max,C18+1,
        IF(C18=expenses_max,expenses_total,
         IF(C18=expenses_total,"/2",
          IF(C18="/2",savings_header,
           IF(C18&lt;savings_max,C18+1,
            IF(C18=savings_max,savings_total,-1
)))))))))))</f>
        <v>24</v>
      </c>
      <c r="D19" s="73">
        <f t="shared" si="0"/>
        <v>24</v>
      </c>
      <c r="E19" s="72" cm="1">
        <f t="array" ref="E19">1*OR(row_id=income_header_row,row_id=expenses_header,row_id=savings_header)</f>
        <v>1</v>
      </c>
      <c r="F19">
        <f t="shared" si="1"/>
        <v>0</v>
      </c>
      <c r="G19" cm="1">
        <f t="array" ref="G19">1*OR(row_id=income_total,row_id=expenses_total,row_id=savings_total)</f>
        <v>0</v>
      </c>
      <c r="H19" s="73">
        <f t="shared" si="2"/>
        <v>0</v>
      </c>
      <c r="I19" s="72" t="str" cm="1">
        <f t="array" ref="I19">IFERROR(INDEX('Планування бюджету'!$C:$C,header_row_id),"")</f>
        <v>Витрати</v>
      </c>
      <c r="J19" t="str" cm="1">
        <f t="array" ref="J19">IFERROR(INDEX('Планування бюджету'!$C:$C,row_id),"")</f>
        <v>Витрати</v>
      </c>
      <c r="K19" s="90" t="str" cm="1">
        <f t="array" ref="K19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19" s="73" t="str" cm="1">
        <f t="array" ref="L19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19" s="72" t="str" cm="1">
        <f t="array" ref="M19">IF(is_cat,
    IF(header_row_id=income_header_row,MATCH(income_min,$C:$C,0),
     IF(header_row_id=expenses_header,MATCH(expenses_min,$C:$C,0),
      IF(header_row_id=savings_header,MATCH(savings_min,$C:$C,0),""))),"")</f>
        <v/>
      </c>
      <c r="N19" s="73" t="str" cm="1">
        <f t="array" ref="N19">IF(is_cat,
    IF(header_row_id=income_header_row,MATCH(income_max,$C:$C,0),
     IF(header_row_id=expenses_header,MATCH(expenses_max,$C:$C,0),
      IF(header_row_id=savings_header,MATCH(savings_max,$C:$C,0),""))),"")</f>
        <v/>
      </c>
      <c r="O19" t="str">
        <f t="shared" si="3"/>
        <v/>
      </c>
      <c r="P19" t="str">
        <f t="shared" ca="1" si="4"/>
        <v/>
      </c>
      <c r="Q19" t="str">
        <f t="shared" si="5"/>
        <v/>
      </c>
      <c r="R19" s="73" t="str">
        <f t="shared" ca="1" si="6"/>
        <v/>
      </c>
      <c r="S19" s="72" t="str">
        <f t="shared" si="7"/>
        <v/>
      </c>
      <c r="T19" t="str">
        <f t="shared" si="8"/>
        <v/>
      </c>
      <c r="U19" t="str">
        <f t="shared" ca="1" si="9"/>
        <v/>
      </c>
      <c r="V19" t="str">
        <f t="shared" si="10"/>
        <v/>
      </c>
      <c r="W19" s="73" t="str">
        <f t="shared" ca="1" si="11"/>
        <v/>
      </c>
      <c r="X19" s="102">
        <f t="shared" si="12"/>
        <v>24</v>
      </c>
      <c r="Y19" t="str">
        <f t="shared" ca="1" si="13"/>
        <v>Витрати</v>
      </c>
      <c r="Z19" s="104" t="str">
        <f t="shared" si="14"/>
        <v>Tracked</v>
      </c>
      <c r="AA19" s="104" t="str">
        <f t="shared" si="15"/>
        <v>Бюджет</v>
      </c>
      <c r="AB19" s="105" t="str">
        <f t="shared" si="16"/>
        <v>% Виконання</v>
      </c>
      <c r="AC19" s="104" t="str">
        <f t="shared" si="17"/>
        <v>Залишилось</v>
      </c>
      <c r="AD19" s="104" t="str">
        <f t="shared" si="18"/>
        <v>Надлишок</v>
      </c>
      <c r="AF19" s="72"/>
      <c r="AI19" s="125" t="str">
        <f>Калькулятор!D38</f>
        <v/>
      </c>
      <c r="AJ19" s="126" t="str">
        <f>Калькулятор!E38</f>
        <v/>
      </c>
      <c r="AK19" s="73"/>
      <c r="AM19" s="72"/>
      <c r="AP19" s="125"/>
      <c r="AQ19" s="126"/>
      <c r="AR19" s="73"/>
    </row>
    <row r="20" spans="3:44" x14ac:dyDescent="0.3">
      <c r="C20" s="72" cm="1">
        <f t="array" ref="C20">IF(C19=-1,-1,
   IF(C19&lt;income_max,C19+1,
    IF(C19=income_max,income_total,
     IF(C19=income_total,"/1",
      IF(C19="/1",expenses_header,
       IF(C19&lt;expenses_max,C19+1,
        IF(C19=expenses_max,expenses_total,
         IF(C19=expenses_total,"/2",
          IF(C19="/2",savings_header,
           IF(C19&lt;savings_max,C19+1,
            IF(C19=savings_max,savings_total,-1
)))))))))))</f>
        <v>25</v>
      </c>
      <c r="D20" s="73">
        <f t="shared" si="0"/>
        <v>24</v>
      </c>
      <c r="E20" s="72" cm="1">
        <f t="array" ref="E20">1*OR(row_id=income_header_row,row_id=expenses_header,row_id=savings_header)</f>
        <v>0</v>
      </c>
      <c r="F20">
        <f t="shared" si="1"/>
        <v>1</v>
      </c>
      <c r="G20" cm="1">
        <f t="array" ref="G20">1*OR(row_id=income_total,row_id=expenses_total,row_id=savings_total)</f>
        <v>0</v>
      </c>
      <c r="H20" s="73">
        <f t="shared" si="2"/>
        <v>0</v>
      </c>
      <c r="I20" s="72" t="str" cm="1">
        <f t="array" ref="I20">IFERROR(INDEX('Планування бюджету'!$C:$C,header_row_id),"")</f>
        <v>Витрати</v>
      </c>
      <c r="J20" t="str" cm="1">
        <f t="array" ref="J20">IFERROR(INDEX('Планування бюджету'!$C:$C,row_id),"")</f>
        <v>Асфальт</v>
      </c>
      <c r="K20" s="90" cm="1">
        <f t="array" aca="1" ref="K20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700</v>
      </c>
      <c r="L20" s="73" cm="1">
        <f t="array" aca="1" ref="L20" ca="1">IF(OR(is_header,is_empty),"",
 INDEX('Планування бюджету'!$E:$BG,row_id,
 MATCH(IF(selected_period="Всього за рік", selected_year,DATE(selected_year,selected_period,1)),'Планування бюджету'!$E$9:$BG$9,0) ))</f>
        <v>1200</v>
      </c>
      <c r="M20" s="72" cm="1">
        <f t="array" ref="M20">IF(is_cat,
    IF(header_row_id=income_header_row,MATCH(income_min,$C:$C,0),
     IF(header_row_id=expenses_header,MATCH(expenses_min,$C:$C,0),
      IF(header_row_id=savings_header,MATCH(savings_min,$C:$C,0),""))),"")</f>
        <v>20</v>
      </c>
      <c r="N20" s="73" cm="1">
        <f t="array" ref="N20">IF(is_cat,
    IF(header_row_id=income_header_row,MATCH(income_max,$C:$C,0),
     IF(header_row_id=expenses_header,MATCH(expenses_max,$C:$C,0),
      IF(header_row_id=savings_header,MATCH(savings_max,$C:$C,0),""))),"")</f>
        <v>28</v>
      </c>
      <c r="O20" t="str">
        <f t="shared" si="3"/>
        <v>$K$20:$K$28</v>
      </c>
      <c r="P20">
        <f t="shared" ca="1" si="4"/>
        <v>1</v>
      </c>
      <c r="Q20" t="str">
        <f t="shared" si="5"/>
        <v>$L$20:$L$28</v>
      </c>
      <c r="R20" s="73">
        <f t="shared" ca="1" si="6"/>
        <v>1</v>
      </c>
      <c r="S20" s="72">
        <f t="shared" ca="1" si="7"/>
        <v>11</v>
      </c>
      <c r="T20" t="str">
        <f t="shared" si="8"/>
        <v>$S$20:$S$28</v>
      </c>
      <c r="U20">
        <f t="shared" ca="1" si="9"/>
        <v>1</v>
      </c>
      <c r="V20" t="str">
        <f t="shared" si="10"/>
        <v>$U$20:$U$20</v>
      </c>
      <c r="W20" s="73">
        <f t="shared" ca="1" si="11"/>
        <v>1</v>
      </c>
      <c r="X20" s="102">
        <f t="shared" ca="1" si="12"/>
        <v>25</v>
      </c>
      <c r="Y20" t="str">
        <f t="shared" ca="1" si="13"/>
        <v>Асфальт</v>
      </c>
      <c r="Z20" s="104">
        <f t="shared" ca="1" si="14"/>
        <v>700</v>
      </c>
      <c r="AA20" s="104">
        <f t="shared" ca="1" si="15"/>
        <v>1200</v>
      </c>
      <c r="AB20" s="105">
        <f t="shared" ca="1" si="16"/>
        <v>0.58333333333333337</v>
      </c>
      <c r="AC20" s="104">
        <f t="shared" ca="1" si="17"/>
        <v>500</v>
      </c>
      <c r="AD20" s="104">
        <f t="shared" ca="1" si="18"/>
        <v>0</v>
      </c>
      <c r="AF20" s="72"/>
      <c r="AI20" s="125" t="str">
        <f>Калькулятор!D39</f>
        <v/>
      </c>
      <c r="AJ20" s="126" t="str">
        <f>Калькулятор!E39</f>
        <v/>
      </c>
      <c r="AK20" s="73"/>
      <c r="AM20" s="72"/>
      <c r="AP20" s="125"/>
      <c r="AQ20" s="126"/>
      <c r="AR20" s="73"/>
    </row>
    <row r="21" spans="3:44" x14ac:dyDescent="0.3">
      <c r="C21" s="72" cm="1">
        <f t="array" ref="C21">IF(C20=-1,-1,
   IF(C20&lt;income_max,C20+1,
    IF(C20=income_max,income_total,
     IF(C20=income_total,"/1",
      IF(C20="/1",expenses_header,
       IF(C20&lt;expenses_max,C20+1,
        IF(C20=expenses_max,expenses_total,
         IF(C20=expenses_total,"/2",
          IF(C20="/2",savings_header,
           IF(C20&lt;savings_max,C20+1,
            IF(C20=savings_max,savings_total,-1
)))))))))))</f>
        <v>26</v>
      </c>
      <c r="D21" s="73">
        <f t="shared" si="0"/>
        <v>24</v>
      </c>
      <c r="E21" s="72" cm="1">
        <f t="array" ref="E21">1*OR(row_id=income_header_row,row_id=expenses_header,row_id=savings_header)</f>
        <v>0</v>
      </c>
      <c r="F21">
        <f t="shared" si="1"/>
        <v>1</v>
      </c>
      <c r="G21" cm="1">
        <f t="array" ref="G21">1*OR(row_id=income_total,row_id=expenses_total,row_id=savings_total)</f>
        <v>0</v>
      </c>
      <c r="H21" s="73">
        <f t="shared" si="2"/>
        <v>0</v>
      </c>
      <c r="I21" s="72" t="str" cm="1">
        <f t="array" ref="I21">IFERROR(INDEX('Планування бюджету'!$C:$C,header_row_id),"")</f>
        <v>Витрати</v>
      </c>
      <c r="J21" t="str" cm="1">
        <f t="array" ref="J21">IFERROR(INDEX('Планування бюджету'!$C:$C,row_id),"")</f>
        <v>Світлофори</v>
      </c>
      <c r="K21" s="90" cm="1">
        <f t="array" aca="1" ref="K21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223</v>
      </c>
      <c r="L21" s="73" cm="1">
        <f t="array" aca="1" ref="L21" ca="1">IF(OR(is_header,is_empty),"",
 INDEX('Планування бюджету'!$E:$BG,row_id,
 MATCH(IF(selected_period="Всього за рік", selected_year,DATE(selected_year,selected_period,1)),'Планування бюджету'!$E$9:$BG$9,0) ))</f>
        <v>300</v>
      </c>
      <c r="M21" s="72" cm="1">
        <f t="array" ref="M21">IF(is_cat,
    IF(header_row_id=income_header_row,MATCH(income_min,$C:$C,0),
     IF(header_row_id=expenses_header,MATCH(expenses_min,$C:$C,0),
      IF(header_row_id=savings_header,MATCH(savings_min,$C:$C,0),""))),"")</f>
        <v>20</v>
      </c>
      <c r="N21" s="73" cm="1">
        <f t="array" ref="N21">IF(is_cat,
    IF(header_row_id=income_header_row,MATCH(income_max,$C:$C,0),
     IF(header_row_id=expenses_header,MATCH(expenses_max,$C:$C,0),
      IF(header_row_id=savings_header,MATCH(savings_max,$C:$C,0),""))),"")</f>
        <v>28</v>
      </c>
      <c r="O21" t="str">
        <f t="shared" si="3"/>
        <v>$K$20:$K$28</v>
      </c>
      <c r="P21">
        <f t="shared" ca="1" si="4"/>
        <v>6</v>
      </c>
      <c r="Q21" t="str">
        <f t="shared" si="5"/>
        <v>$L$20:$L$28</v>
      </c>
      <c r="R21" s="73">
        <f t="shared" ca="1" si="6"/>
        <v>3</v>
      </c>
      <c r="S21" s="72">
        <f t="shared" ca="1" si="7"/>
        <v>63</v>
      </c>
      <c r="T21" t="str">
        <f t="shared" si="8"/>
        <v>$S$20:$S$28</v>
      </c>
      <c r="U21">
        <f t="shared" ca="1" si="9"/>
        <v>6</v>
      </c>
      <c r="V21" t="str">
        <f t="shared" si="10"/>
        <v>$U$20:$U$21</v>
      </c>
      <c r="W21" s="73">
        <f t="shared" ca="1" si="11"/>
        <v>6</v>
      </c>
      <c r="X21" s="102">
        <f t="shared" ca="1" si="12"/>
        <v>30</v>
      </c>
      <c r="Y21" t="str">
        <f t="shared" ca="1" si="13"/>
        <v>Форма</v>
      </c>
      <c r="Z21" s="104">
        <f t="shared" ca="1" si="14"/>
        <v>600</v>
      </c>
      <c r="AA21" s="104">
        <f t="shared" ca="1" si="15"/>
        <v>200</v>
      </c>
      <c r="AB21" s="105">
        <f t="shared" ca="1" si="16"/>
        <v>3</v>
      </c>
      <c r="AC21" s="104">
        <f t="shared" ca="1" si="17"/>
        <v>0</v>
      </c>
      <c r="AD21" s="104">
        <f t="shared" ca="1" si="18"/>
        <v>-400</v>
      </c>
      <c r="AF21" s="72"/>
      <c r="AI21" s="125" t="str">
        <f ca="1">Калькулятор!D40</f>
        <v/>
      </c>
      <c r="AJ21" s="126" t="str">
        <f ca="1">Калькулятор!E40</f>
        <v/>
      </c>
      <c r="AK21" s="73"/>
      <c r="AM21" s="72"/>
      <c r="AP21" s="143"/>
      <c r="AQ21" s="126"/>
      <c r="AR21" s="73"/>
    </row>
    <row r="22" spans="3:44" x14ac:dyDescent="0.3">
      <c r="C22" s="72" cm="1">
        <f t="array" ref="C22">IF(C21=-1,-1,
   IF(C21&lt;income_max,C21+1,
    IF(C21=income_max,income_total,
     IF(C21=income_total,"/1",
      IF(C21="/1",expenses_header,
       IF(C21&lt;expenses_max,C21+1,
        IF(C21=expenses_max,expenses_total,
         IF(C21=expenses_total,"/2",
          IF(C21="/2",savings_header,
           IF(C21&lt;savings_max,C21+1,
            IF(C21=savings_max,savings_total,-1
)))))))))))</f>
        <v>27</v>
      </c>
      <c r="D22" s="73">
        <f t="shared" si="0"/>
        <v>24</v>
      </c>
      <c r="E22" s="72" cm="1">
        <f t="array" ref="E22">1*OR(row_id=income_header_row,row_id=expenses_header,row_id=savings_header)</f>
        <v>0</v>
      </c>
      <c r="F22">
        <f t="shared" si="1"/>
        <v>1</v>
      </c>
      <c r="G22" cm="1">
        <f t="array" ref="G22">1*OR(row_id=income_total,row_id=expenses_total,row_id=savings_total)</f>
        <v>0</v>
      </c>
      <c r="H22" s="73">
        <f t="shared" si="2"/>
        <v>0</v>
      </c>
      <c r="I22" s="72" t="str" cm="1">
        <f t="array" ref="I22">IFERROR(INDEX('Планування бюджету'!$C:$C,header_row_id),"")</f>
        <v>Витрати</v>
      </c>
      <c r="J22" t="str" cm="1">
        <f t="array" ref="J22">IFERROR(INDEX('Планування бюджету'!$C:$C,row_id),"")</f>
        <v>Шини</v>
      </c>
      <c r="K22" s="90" cm="1">
        <f t="array" aca="1" ref="K22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300</v>
      </c>
      <c r="L22" s="73" cm="1">
        <f t="array" aca="1" ref="L22" ca="1">IF(OR(is_header,is_empty),"",
 INDEX('Планування бюджету'!$E:$BG,row_id,
 MATCH(IF(selected_period="Всього за рік", selected_year,DATE(selected_year,selected_period,1)),'Планування бюджету'!$E$9:$BG$9,0) ))</f>
        <v>350</v>
      </c>
      <c r="M22" s="72" cm="1">
        <f t="array" ref="M22">IF(is_cat,
    IF(header_row_id=income_header_row,MATCH(income_min,$C:$C,0),
     IF(header_row_id=expenses_header,MATCH(expenses_min,$C:$C,0),
      IF(header_row_id=savings_header,MATCH(savings_min,$C:$C,0),""))),"")</f>
        <v>20</v>
      </c>
      <c r="N22" s="73" cm="1">
        <f t="array" ref="N22">IF(is_cat,
    IF(header_row_id=income_header_row,MATCH(income_max,$C:$C,0),
     IF(header_row_id=expenses_header,MATCH(expenses_max,$C:$C,0),
      IF(header_row_id=savings_header,MATCH(savings_max,$C:$C,0),""))),"")</f>
        <v>28</v>
      </c>
      <c r="O22" t="str">
        <f t="shared" si="3"/>
        <v>$K$20:$K$28</v>
      </c>
      <c r="P22">
        <f t="shared" ca="1" si="4"/>
        <v>4</v>
      </c>
      <c r="Q22" t="str">
        <f t="shared" si="5"/>
        <v>$L$20:$L$28</v>
      </c>
      <c r="R22" s="73">
        <f t="shared" ca="1" si="6"/>
        <v>2</v>
      </c>
      <c r="S22" s="72">
        <f t="shared" ca="1" si="7"/>
        <v>42</v>
      </c>
      <c r="T22" t="str">
        <f t="shared" si="8"/>
        <v>$S$20:$S$28</v>
      </c>
      <c r="U22">
        <f t="shared" ca="1" si="9"/>
        <v>4</v>
      </c>
      <c r="V22" t="str">
        <f t="shared" si="10"/>
        <v>$U$20:$U$22</v>
      </c>
      <c r="W22" s="73">
        <f t="shared" ca="1" si="11"/>
        <v>4</v>
      </c>
      <c r="X22" s="102">
        <f t="shared" ca="1" si="12"/>
        <v>28</v>
      </c>
      <c r="Y22" t="str">
        <f t="shared" ca="1" si="13"/>
        <v>Арматура</v>
      </c>
      <c r="Z22" s="104">
        <f t="shared" ca="1" si="14"/>
        <v>500</v>
      </c>
      <c r="AA22" s="104">
        <f t="shared" ca="1" si="15"/>
        <v>50</v>
      </c>
      <c r="AB22" s="105">
        <f t="shared" ca="1" si="16"/>
        <v>10</v>
      </c>
      <c r="AC22" s="104">
        <f t="shared" ca="1" si="17"/>
        <v>0</v>
      </c>
      <c r="AD22" s="104">
        <f t="shared" ca="1" si="18"/>
        <v>-450</v>
      </c>
      <c r="AF22" s="72"/>
      <c r="AI22" s="127" t="str">
        <f>Калькулятор!D41</f>
        <v>Всього</v>
      </c>
      <c r="AJ22" s="128">
        <f ca="1">Калькулятор!E41</f>
        <v>4500</v>
      </c>
      <c r="AK22" s="73"/>
      <c r="AM22" s="72"/>
      <c r="AP22" s="141"/>
      <c r="AQ22" s="142"/>
      <c r="AR22" s="73"/>
    </row>
    <row r="23" spans="3:44" x14ac:dyDescent="0.3">
      <c r="C23" s="72" cm="1">
        <f t="array" ref="C23">IF(C22=-1,-1,
   IF(C22&lt;income_max,C22+1,
    IF(C22=income_max,income_total,
     IF(C22=income_total,"/1",
      IF(C22="/1",expenses_header,
       IF(C22&lt;expenses_max,C22+1,
        IF(C22=expenses_max,expenses_total,
         IF(C22=expenses_total,"/2",
          IF(C22="/2",savings_header,
           IF(C22&lt;savings_max,C22+1,
            IF(C22=savings_max,savings_total,-1
)))))))))))</f>
        <v>28</v>
      </c>
      <c r="D23" s="73">
        <f t="shared" si="0"/>
        <v>24</v>
      </c>
      <c r="E23" s="72" cm="1">
        <f t="array" ref="E23">1*OR(row_id=income_header_row,row_id=expenses_header,row_id=savings_header)</f>
        <v>0</v>
      </c>
      <c r="F23">
        <f t="shared" si="1"/>
        <v>1</v>
      </c>
      <c r="G23" cm="1">
        <f t="array" ref="G23">1*OR(row_id=income_total,row_id=expenses_total,row_id=savings_total)</f>
        <v>0</v>
      </c>
      <c r="H23" s="73">
        <f t="shared" si="2"/>
        <v>0</v>
      </c>
      <c r="I23" s="72" t="str" cm="1">
        <f t="array" ref="I23">IFERROR(INDEX('Планування бюджету'!$C:$C,header_row_id),"")</f>
        <v>Витрати</v>
      </c>
      <c r="J23" t="str" cm="1">
        <f t="array" ref="J23">IFERROR(INDEX('Планування бюджету'!$C:$C,row_id),"")</f>
        <v>Пили</v>
      </c>
      <c r="K23" s="90" cm="1">
        <f t="array" aca="1" ref="K23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150</v>
      </c>
      <c r="L23" s="73" cm="1">
        <f t="array" aca="1" ref="L23" ca="1">IF(OR(is_header,is_empty),"",
 INDEX('Планування бюджету'!$E:$BG,row_id,
 MATCH(IF(selected_period="Всього за рік", selected_year,DATE(selected_year,selected_period,1)),'Планування бюджету'!$E$9:$BG$9,0) ))</f>
        <v>300</v>
      </c>
      <c r="M23" s="72" cm="1">
        <f t="array" ref="M23">IF(is_cat,
    IF(header_row_id=income_header_row,MATCH(income_min,$C:$C,0),
     IF(header_row_id=expenses_header,MATCH(expenses_min,$C:$C,0),
      IF(header_row_id=savings_header,MATCH(savings_min,$C:$C,0),""))),"")</f>
        <v>20</v>
      </c>
      <c r="N23" s="73" cm="1">
        <f t="array" ref="N23">IF(is_cat,
    IF(header_row_id=income_header_row,MATCH(income_max,$C:$C,0),
     IF(header_row_id=expenses_header,MATCH(expenses_max,$C:$C,0),
      IF(header_row_id=savings_header,MATCH(savings_max,$C:$C,0),""))),"")</f>
        <v>28</v>
      </c>
      <c r="O23" t="str">
        <f t="shared" si="3"/>
        <v>$K$20:$K$28</v>
      </c>
      <c r="P23">
        <f t="shared" ca="1" si="4"/>
        <v>8</v>
      </c>
      <c r="Q23" t="str">
        <f t="shared" si="5"/>
        <v>$L$20:$L$28</v>
      </c>
      <c r="R23" s="73">
        <f t="shared" ca="1" si="6"/>
        <v>3</v>
      </c>
      <c r="S23" s="72">
        <f t="shared" ca="1" si="7"/>
        <v>83</v>
      </c>
      <c r="T23" t="str">
        <f t="shared" si="8"/>
        <v>$S$20:$S$28</v>
      </c>
      <c r="U23">
        <f t="shared" ca="1" si="9"/>
        <v>8</v>
      </c>
      <c r="V23" t="str">
        <f t="shared" si="10"/>
        <v>$U$20:$U$23</v>
      </c>
      <c r="W23" s="73">
        <f t="shared" ca="1" si="11"/>
        <v>8</v>
      </c>
      <c r="X23" s="102">
        <f t="shared" ca="1" si="12"/>
        <v>32</v>
      </c>
      <c r="Y23" t="str">
        <f t="shared" ca="1" si="13"/>
        <v>Шини</v>
      </c>
      <c r="Z23" s="104">
        <f t="shared" ca="1" si="14"/>
        <v>300</v>
      </c>
      <c r="AA23" s="104">
        <f t="shared" ca="1" si="15"/>
        <v>350</v>
      </c>
      <c r="AB23" s="105">
        <f t="shared" ca="1" si="16"/>
        <v>0.8571428571428571</v>
      </c>
      <c r="AC23" s="104">
        <f t="shared" ca="1" si="17"/>
        <v>50</v>
      </c>
      <c r="AD23" s="104">
        <f t="shared" ca="1" si="18"/>
        <v>0</v>
      </c>
      <c r="AF23" s="72"/>
      <c r="AK23" s="73"/>
      <c r="AM23" s="72"/>
      <c r="AR23" s="73"/>
    </row>
    <row r="24" spans="3:44" x14ac:dyDescent="0.3">
      <c r="C24" s="72" cm="1">
        <f t="array" ref="C24">IF(C23=-1,-1,
   IF(C23&lt;income_max,C23+1,
    IF(C23=income_max,income_total,
     IF(C23=income_total,"/1",
      IF(C23="/1",expenses_header,
       IF(C23&lt;expenses_max,C23+1,
        IF(C23=expenses_max,expenses_total,
         IF(C23=expenses_total,"/2",
          IF(C23="/2",savings_header,
           IF(C23&lt;savings_max,C23+1,
            IF(C23=savings_max,savings_total,-1
)))))))))))</f>
        <v>29</v>
      </c>
      <c r="D24" s="73">
        <f t="shared" si="0"/>
        <v>24</v>
      </c>
      <c r="E24" s="72" cm="1">
        <f t="array" ref="E24">1*OR(row_id=income_header_row,row_id=expenses_header,row_id=savings_header)</f>
        <v>0</v>
      </c>
      <c r="F24">
        <f t="shared" si="1"/>
        <v>1</v>
      </c>
      <c r="G24" cm="1">
        <f t="array" ref="G24">1*OR(row_id=income_total,row_id=expenses_total,row_id=savings_total)</f>
        <v>0</v>
      </c>
      <c r="H24" s="73">
        <f t="shared" si="2"/>
        <v>0</v>
      </c>
      <c r="I24" s="72" t="str" cm="1">
        <f t="array" ref="I24">IFERROR(INDEX('Планування бюджету'!$C:$C,header_row_id),"")</f>
        <v>Витрати</v>
      </c>
      <c r="J24" t="str" cm="1">
        <f t="array" ref="J24">IFERROR(INDEX('Планування бюджету'!$C:$C,row_id),"")</f>
        <v>Інструменти</v>
      </c>
      <c r="K24" s="90" cm="1">
        <f t="array" aca="1" ref="K24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0</v>
      </c>
      <c r="L24" s="73" cm="1">
        <f t="array" aca="1" ref="L24" ca="1">IF(OR(is_header,is_empty),"",
 INDEX('Планування бюджету'!$E:$BG,row_id,
 MATCH(IF(selected_period="Всього за рік", selected_year,DATE(selected_year,selected_period,1)),'Планування бюджету'!$E$9:$BG$9,0) ))</f>
        <v>0</v>
      </c>
      <c r="M24" s="72" cm="1">
        <f t="array" ref="M24">IF(is_cat,
    IF(header_row_id=income_header_row,MATCH(income_min,$C:$C,0),
     IF(header_row_id=expenses_header,MATCH(expenses_min,$C:$C,0),
      IF(header_row_id=savings_header,MATCH(savings_min,$C:$C,0),""))),"")</f>
        <v>20</v>
      </c>
      <c r="N24" s="73" cm="1">
        <f t="array" ref="N24">IF(is_cat,
    IF(header_row_id=income_header_row,MATCH(income_max,$C:$C,0),
     IF(header_row_id=expenses_header,MATCH(expenses_max,$C:$C,0),
      IF(header_row_id=savings_header,MATCH(savings_max,$C:$C,0),""))),"")</f>
        <v>28</v>
      </c>
      <c r="O24" t="str">
        <f t="shared" si="3"/>
        <v>$K$20:$K$28</v>
      </c>
      <c r="P24">
        <f t="shared" ca="1" si="4"/>
        <v>9</v>
      </c>
      <c r="Q24" t="str">
        <f t="shared" si="5"/>
        <v>$L$20:$L$28</v>
      </c>
      <c r="R24" s="73">
        <f t="shared" ca="1" si="6"/>
        <v>9</v>
      </c>
      <c r="S24" s="72">
        <f t="shared" ca="1" si="7"/>
        <v>99</v>
      </c>
      <c r="T24" t="str">
        <f t="shared" si="8"/>
        <v>$S$20:$S$28</v>
      </c>
      <c r="U24">
        <f t="shared" ca="1" si="9"/>
        <v>9</v>
      </c>
      <c r="V24" t="str">
        <f t="shared" si="10"/>
        <v>$U$20:$U$24</v>
      </c>
      <c r="W24" s="73">
        <f t="shared" ca="1" si="11"/>
        <v>9</v>
      </c>
      <c r="X24" s="102">
        <f t="shared" ca="1" si="12"/>
        <v>33</v>
      </c>
      <c r="Y24" t="str">
        <f t="shared" ca="1" si="13"/>
        <v>Дорожні знаки</v>
      </c>
      <c r="Z24" s="104">
        <f t="shared" ca="1" si="14"/>
        <v>300</v>
      </c>
      <c r="AA24" s="104">
        <f t="shared" ca="1" si="15"/>
        <v>300</v>
      </c>
      <c r="AB24" s="105">
        <f t="shared" ca="1" si="16"/>
        <v>1</v>
      </c>
      <c r="AC24" s="104">
        <f t="shared" ca="1" si="17"/>
        <v>0</v>
      </c>
      <c r="AD24" s="104">
        <f t="shared" ca="1" si="18"/>
        <v>0</v>
      </c>
      <c r="AF24" s="110"/>
      <c r="AG24" s="111"/>
      <c r="AH24" s="111"/>
      <c r="AI24" s="111"/>
      <c r="AJ24" s="111"/>
      <c r="AK24" s="112"/>
      <c r="AM24" s="110"/>
      <c r="AN24" s="111"/>
      <c r="AO24" s="111"/>
      <c r="AP24" s="111"/>
      <c r="AQ24" s="111"/>
      <c r="AR24" s="112"/>
    </row>
    <row r="25" spans="3:44" x14ac:dyDescent="0.3">
      <c r="C25" s="72" cm="1">
        <f t="array" ref="C25">IF(C24=-1,-1,
   IF(C24&lt;income_max,C24+1,
    IF(C24=income_max,income_total,
     IF(C24=income_total,"/1",
      IF(C24="/1",expenses_header,
       IF(C24&lt;expenses_max,C24+1,
        IF(C24=expenses_max,expenses_total,
         IF(C24=expenses_total,"/2",
          IF(C24="/2",savings_header,
           IF(C24&lt;savings_max,C24+1,
            IF(C24=savings_max,savings_total,-1
)))))))))))</f>
        <v>30</v>
      </c>
      <c r="D25" s="73">
        <f t="shared" si="0"/>
        <v>24</v>
      </c>
      <c r="E25" s="72" cm="1">
        <f t="array" ref="E25">1*OR(row_id=income_header_row,row_id=expenses_header,row_id=savings_header)</f>
        <v>0</v>
      </c>
      <c r="F25">
        <f t="shared" si="1"/>
        <v>1</v>
      </c>
      <c r="G25" cm="1">
        <f t="array" ref="G25">1*OR(row_id=income_total,row_id=expenses_total,row_id=savings_total)</f>
        <v>0</v>
      </c>
      <c r="H25" s="73">
        <f t="shared" si="2"/>
        <v>0</v>
      </c>
      <c r="I25" s="72" t="str" cm="1">
        <f t="array" ref="I25">IFERROR(INDEX('Планування бюджету'!$C:$C,header_row_id),"")</f>
        <v>Витрати</v>
      </c>
      <c r="J25" t="str" cm="1">
        <f t="array" ref="J25">IFERROR(INDEX('Планування бюджету'!$C:$C,row_id),"")</f>
        <v>Паливо</v>
      </c>
      <c r="K25" s="90" cm="1">
        <f t="array" aca="1" ref="K25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200</v>
      </c>
      <c r="L25" s="73" cm="1">
        <f t="array" aca="1" ref="L25" ca="1">IF(OR(is_header,is_empty),"",
 INDEX('Планування бюджету'!$E:$BG,row_id,
 MATCH(IF(selected_period="Всього за рік", selected_year,DATE(selected_year,selected_period,1)),'Планування бюджету'!$E$9:$BG$9,0) ))</f>
        <v>200</v>
      </c>
      <c r="M25" s="72" cm="1">
        <f t="array" ref="M25">IF(is_cat,
    IF(header_row_id=income_header_row,MATCH(income_min,$C:$C,0),
     IF(header_row_id=expenses_header,MATCH(expenses_min,$C:$C,0),
      IF(header_row_id=savings_header,MATCH(savings_min,$C:$C,0),""))),"")</f>
        <v>20</v>
      </c>
      <c r="N25" s="73" cm="1">
        <f t="array" ref="N25">IF(is_cat,
    IF(header_row_id=income_header_row,MATCH(income_max,$C:$C,0),
     IF(header_row_id=expenses_header,MATCH(expenses_max,$C:$C,0),
      IF(header_row_id=savings_header,MATCH(savings_max,$C:$C,0),""))),"")</f>
        <v>28</v>
      </c>
      <c r="O25" t="str">
        <f t="shared" si="3"/>
        <v>$K$20:$K$28</v>
      </c>
      <c r="P25">
        <f t="shared" ca="1" si="4"/>
        <v>7</v>
      </c>
      <c r="Q25" t="str">
        <f t="shared" si="5"/>
        <v>$L$20:$L$28</v>
      </c>
      <c r="R25" s="73">
        <f t="shared" ca="1" si="6"/>
        <v>6</v>
      </c>
      <c r="S25" s="72">
        <f t="shared" ca="1" si="7"/>
        <v>76</v>
      </c>
      <c r="T25" t="str">
        <f t="shared" si="8"/>
        <v>$S$20:$S$28</v>
      </c>
      <c r="U25">
        <f t="shared" ca="1" si="9"/>
        <v>7</v>
      </c>
      <c r="V25" t="str">
        <f t="shared" si="10"/>
        <v>$U$20:$U$25</v>
      </c>
      <c r="W25" s="73">
        <f t="shared" ca="1" si="11"/>
        <v>7</v>
      </c>
      <c r="X25" s="102">
        <f t="shared" ca="1" si="12"/>
        <v>31</v>
      </c>
      <c r="Y25" t="str">
        <f t="shared" ca="1" si="13"/>
        <v>Світлофори</v>
      </c>
      <c r="Z25" s="104">
        <f t="shared" ca="1" si="14"/>
        <v>223</v>
      </c>
      <c r="AA25" s="104">
        <f t="shared" ca="1" si="15"/>
        <v>300</v>
      </c>
      <c r="AB25" s="105">
        <f t="shared" ca="1" si="16"/>
        <v>0.74333333333333329</v>
      </c>
      <c r="AC25" s="104">
        <f t="shared" ca="1" si="17"/>
        <v>77</v>
      </c>
      <c r="AD25" s="104">
        <f t="shared" ca="1" si="18"/>
        <v>0</v>
      </c>
    </row>
    <row r="26" spans="3:44" x14ac:dyDescent="0.3">
      <c r="C26" s="72" cm="1">
        <f t="array" ref="C26">IF(C25=-1,-1,
   IF(C25&lt;income_max,C25+1,
    IF(C25=income_max,income_total,
     IF(C25=income_total,"/1",
      IF(C25="/1",expenses_header,
       IF(C25&lt;expenses_max,C25+1,
        IF(C25=expenses_max,expenses_total,
         IF(C25=expenses_total,"/2",
          IF(C25="/2",savings_header,
           IF(C25&lt;savings_max,C25+1,
            IF(C25=savings_max,savings_total,-1
)))))))))))</f>
        <v>31</v>
      </c>
      <c r="D26" s="73">
        <f t="shared" si="0"/>
        <v>24</v>
      </c>
      <c r="E26" s="72" cm="1">
        <f t="array" ref="E26">1*OR(row_id=income_header_row,row_id=expenses_header,row_id=savings_header)</f>
        <v>0</v>
      </c>
      <c r="F26">
        <f t="shared" si="1"/>
        <v>1</v>
      </c>
      <c r="G26" cm="1">
        <f t="array" ref="G26">1*OR(row_id=income_total,row_id=expenses_total,row_id=savings_total)</f>
        <v>0</v>
      </c>
      <c r="H26" s="73">
        <f t="shared" si="2"/>
        <v>0</v>
      </c>
      <c r="I26" s="72" t="str" cm="1">
        <f t="array" ref="I26">IFERROR(INDEX('Планування бюджету'!$C:$C,header_row_id),"")</f>
        <v>Витрати</v>
      </c>
      <c r="J26" t="str" cm="1">
        <f t="array" ref="J26">IFERROR(INDEX('Планування бюджету'!$C:$C,row_id),"")</f>
        <v>Форма</v>
      </c>
      <c r="K26" s="90" cm="1">
        <f t="array" aca="1" ref="K26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600</v>
      </c>
      <c r="L26" s="73" cm="1">
        <f t="array" aca="1" ref="L26" ca="1">IF(OR(is_header,is_empty),"",
 INDEX('Планування бюджету'!$E:$BG,row_id,
 MATCH(IF(selected_period="Всього за рік", selected_year,DATE(selected_year,selected_period,1)),'Планування бюджету'!$E$9:$BG$9,0) ))</f>
        <v>200</v>
      </c>
      <c r="M26" s="72" cm="1">
        <f t="array" ref="M26">IF(is_cat,
    IF(header_row_id=income_header_row,MATCH(income_min,$C:$C,0),
     IF(header_row_id=expenses_header,MATCH(expenses_min,$C:$C,0),
      IF(header_row_id=savings_header,MATCH(savings_min,$C:$C,0),""))),"")</f>
        <v>20</v>
      </c>
      <c r="N26" s="73" cm="1">
        <f t="array" ref="N26">IF(is_cat,
    IF(header_row_id=income_header_row,MATCH(income_max,$C:$C,0),
     IF(header_row_id=expenses_header,MATCH(expenses_max,$C:$C,0),
      IF(header_row_id=savings_header,MATCH(savings_max,$C:$C,0),""))),"")</f>
        <v>28</v>
      </c>
      <c r="O26" t="str">
        <f t="shared" si="3"/>
        <v>$K$20:$K$28</v>
      </c>
      <c r="P26">
        <f t="shared" ca="1" si="4"/>
        <v>2</v>
      </c>
      <c r="Q26" t="str">
        <f t="shared" si="5"/>
        <v>$L$20:$L$28</v>
      </c>
      <c r="R26" s="73">
        <f t="shared" ca="1" si="6"/>
        <v>6</v>
      </c>
      <c r="S26" s="72">
        <f t="shared" ca="1" si="7"/>
        <v>26</v>
      </c>
      <c r="T26" t="str">
        <f t="shared" si="8"/>
        <v>$S$20:$S$28</v>
      </c>
      <c r="U26">
        <f t="shared" ca="1" si="9"/>
        <v>2</v>
      </c>
      <c r="V26" t="str">
        <f t="shared" si="10"/>
        <v>$U$20:$U$26</v>
      </c>
      <c r="W26" s="73">
        <f t="shared" ca="1" si="11"/>
        <v>2</v>
      </c>
      <c r="X26" s="102">
        <f t="shared" ca="1" si="12"/>
        <v>26</v>
      </c>
      <c r="Y26" t="str">
        <f t="shared" ca="1" si="13"/>
        <v>Паливо</v>
      </c>
      <c r="Z26" s="104">
        <f t="shared" ca="1" si="14"/>
        <v>200</v>
      </c>
      <c r="AA26" s="104">
        <f t="shared" ca="1" si="15"/>
        <v>200</v>
      </c>
      <c r="AB26" s="105">
        <f t="shared" ca="1" si="16"/>
        <v>1</v>
      </c>
      <c r="AC26" s="104">
        <f t="shared" ca="1" si="17"/>
        <v>0</v>
      </c>
      <c r="AD26" s="104">
        <f t="shared" ca="1" si="18"/>
        <v>0</v>
      </c>
      <c r="AF26" s="107"/>
      <c r="AG26" s="108"/>
      <c r="AH26" s="108"/>
      <c r="AI26" s="108"/>
      <c r="AJ26" s="108"/>
      <c r="AK26" s="109"/>
      <c r="AM26" s="107"/>
      <c r="AN26" s="108"/>
      <c r="AO26" s="108"/>
      <c r="AP26" s="108"/>
      <c r="AQ26" s="108"/>
      <c r="AR26" s="109"/>
    </row>
    <row r="27" spans="3:44" x14ac:dyDescent="0.3">
      <c r="C27" s="72" cm="1">
        <f t="array" ref="C27">IF(C26=-1,-1,
   IF(C26&lt;income_max,C26+1,
    IF(C26=income_max,income_total,
     IF(C26=income_total,"/1",
      IF(C26="/1",expenses_header,
       IF(C26&lt;expenses_max,C26+1,
        IF(C26=expenses_max,expenses_total,
         IF(C26=expenses_total,"/2",
          IF(C26="/2",savings_header,
           IF(C26&lt;savings_max,C26+1,
            IF(C26=savings_max,savings_total,-1
)))))))))))</f>
        <v>32</v>
      </c>
      <c r="D27" s="73">
        <f t="shared" si="0"/>
        <v>24</v>
      </c>
      <c r="E27" s="72" cm="1">
        <f t="array" ref="E27">1*OR(row_id=income_header_row,row_id=expenses_header,row_id=savings_header)</f>
        <v>0</v>
      </c>
      <c r="F27">
        <f t="shared" si="1"/>
        <v>1</v>
      </c>
      <c r="G27" cm="1">
        <f t="array" ref="G27">1*OR(row_id=income_total,row_id=expenses_total,row_id=savings_total)</f>
        <v>0</v>
      </c>
      <c r="H27" s="73">
        <f t="shared" si="2"/>
        <v>0</v>
      </c>
      <c r="I27" s="72" t="str" cm="1">
        <f t="array" ref="I27">IFERROR(INDEX('Планування бюджету'!$C:$C,header_row_id),"")</f>
        <v>Витрати</v>
      </c>
      <c r="J27" t="str" cm="1">
        <f t="array" ref="J27">IFERROR(INDEX('Планування бюджету'!$C:$C,row_id),"")</f>
        <v>Арматура</v>
      </c>
      <c r="K27" s="90" cm="1">
        <f t="array" aca="1" ref="K27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500</v>
      </c>
      <c r="L27" s="73" cm="1">
        <f t="array" aca="1" ref="L27" ca="1">IF(OR(is_header,is_empty),"",
 INDEX('Планування бюджету'!$E:$BG,row_id,
 MATCH(IF(selected_period="Всього за рік", selected_year,DATE(selected_year,selected_period,1)),'Планування бюджету'!$E$9:$BG$9,0) ))</f>
        <v>50</v>
      </c>
      <c r="M27" s="72" cm="1">
        <f t="array" ref="M27">IF(is_cat,
    IF(header_row_id=income_header_row,MATCH(income_min,$C:$C,0),
     IF(header_row_id=expenses_header,MATCH(expenses_min,$C:$C,0),
      IF(header_row_id=savings_header,MATCH(savings_min,$C:$C,0),""))),"")</f>
        <v>20</v>
      </c>
      <c r="N27" s="73" cm="1">
        <f t="array" ref="N27">IF(is_cat,
    IF(header_row_id=income_header_row,MATCH(income_max,$C:$C,0),
     IF(header_row_id=expenses_header,MATCH(expenses_max,$C:$C,0),
      IF(header_row_id=savings_header,MATCH(savings_max,$C:$C,0),""))),"")</f>
        <v>28</v>
      </c>
      <c r="O27" t="str">
        <f t="shared" si="3"/>
        <v>$K$20:$K$28</v>
      </c>
      <c r="P27">
        <f t="shared" ca="1" si="4"/>
        <v>3</v>
      </c>
      <c r="Q27" t="str">
        <f t="shared" si="5"/>
        <v>$L$20:$L$28</v>
      </c>
      <c r="R27" s="73">
        <f t="shared" ca="1" si="6"/>
        <v>8</v>
      </c>
      <c r="S27" s="72">
        <f t="shared" ca="1" si="7"/>
        <v>38</v>
      </c>
      <c r="T27" t="str">
        <f t="shared" si="8"/>
        <v>$S$20:$S$28</v>
      </c>
      <c r="U27">
        <f t="shared" ca="1" si="9"/>
        <v>3</v>
      </c>
      <c r="V27" t="str">
        <f t="shared" si="10"/>
        <v>$U$20:$U$27</v>
      </c>
      <c r="W27" s="73">
        <f t="shared" ca="1" si="11"/>
        <v>3</v>
      </c>
      <c r="X27" s="102">
        <f t="shared" ca="1" si="12"/>
        <v>27</v>
      </c>
      <c r="Y27" t="str">
        <f t="shared" ca="1" si="13"/>
        <v>Пили</v>
      </c>
      <c r="Z27" s="104">
        <f t="shared" ca="1" si="14"/>
        <v>150</v>
      </c>
      <c r="AA27" s="104">
        <f t="shared" ca="1" si="15"/>
        <v>300</v>
      </c>
      <c r="AB27" s="105">
        <f t="shared" ca="1" si="16"/>
        <v>0.5</v>
      </c>
      <c r="AC27" s="104">
        <f t="shared" ca="1" si="17"/>
        <v>150</v>
      </c>
      <c r="AD27" s="104">
        <f t="shared" ca="1" si="18"/>
        <v>0</v>
      </c>
      <c r="AF27" s="72"/>
      <c r="AK27" s="73"/>
      <c r="AM27" s="72"/>
      <c r="AR27" s="73"/>
    </row>
    <row r="28" spans="3:44" x14ac:dyDescent="0.3">
      <c r="C28" s="72" cm="1">
        <f t="array" ref="C28">IF(C27=-1,-1,
   IF(C27&lt;income_max,C27+1,
    IF(C27=income_max,income_total,
     IF(C27=income_total,"/1",
      IF(C27="/1",expenses_header,
       IF(C27&lt;expenses_max,C27+1,
        IF(C27=expenses_max,expenses_total,
         IF(C27=expenses_total,"/2",
          IF(C27="/2",savings_header,
           IF(C27&lt;savings_max,C27+1,
            IF(C27=savings_max,savings_total,-1
)))))))))))</f>
        <v>33</v>
      </c>
      <c r="D28" s="73">
        <f t="shared" si="0"/>
        <v>24</v>
      </c>
      <c r="E28" s="72" cm="1">
        <f t="array" ref="E28">1*OR(row_id=income_header_row,row_id=expenses_header,row_id=savings_header)</f>
        <v>0</v>
      </c>
      <c r="F28">
        <f t="shared" si="1"/>
        <v>1</v>
      </c>
      <c r="G28" cm="1">
        <f t="array" ref="G28">1*OR(row_id=income_total,row_id=expenses_total,row_id=savings_total)</f>
        <v>0</v>
      </c>
      <c r="H28" s="73">
        <f t="shared" si="2"/>
        <v>0</v>
      </c>
      <c r="I28" s="72" t="str" cm="1">
        <f t="array" ref="I28">IFERROR(INDEX('Планування бюджету'!$C:$C,header_row_id),"")</f>
        <v>Витрати</v>
      </c>
      <c r="J28" t="str" cm="1">
        <f t="array" ref="J28">IFERROR(INDEX('Планування бюджету'!$C:$C,row_id),"")</f>
        <v>Дорожні знаки</v>
      </c>
      <c r="K28" s="90" cm="1">
        <f t="array" aca="1" ref="K28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300</v>
      </c>
      <c r="L28" s="73" cm="1">
        <f t="array" aca="1" ref="L28" ca="1">IF(OR(is_header,is_empty),"",
 INDEX('Планування бюджету'!$E:$BG,row_id,
 MATCH(IF(selected_period="Всього за рік", selected_year,DATE(selected_year,selected_period,1)),'Планування бюджету'!$E$9:$BG$9,0) ))</f>
        <v>300</v>
      </c>
      <c r="M28" s="72" cm="1">
        <f t="array" ref="M28">IF(is_cat,
    IF(header_row_id=income_header_row,MATCH(income_min,$C:$C,0),
     IF(header_row_id=expenses_header,MATCH(expenses_min,$C:$C,0),
      IF(header_row_id=savings_header,MATCH(savings_min,$C:$C,0),""))),"")</f>
        <v>20</v>
      </c>
      <c r="N28" s="73" cm="1">
        <f t="array" ref="N28">IF(is_cat,
    IF(header_row_id=income_header_row,MATCH(income_max,$C:$C,0),
     IF(header_row_id=expenses_header,MATCH(expenses_max,$C:$C,0),
      IF(header_row_id=savings_header,MATCH(savings_max,$C:$C,0),""))),"")</f>
        <v>28</v>
      </c>
      <c r="O28" t="str">
        <f t="shared" si="3"/>
        <v>$K$20:$K$28</v>
      </c>
      <c r="P28">
        <f t="shared" ca="1" si="4"/>
        <v>4</v>
      </c>
      <c r="Q28" t="str">
        <f t="shared" si="5"/>
        <v>$L$20:$L$28</v>
      </c>
      <c r="R28" s="73">
        <f t="shared" ca="1" si="6"/>
        <v>3</v>
      </c>
      <c r="S28" s="72">
        <f t="shared" ca="1" si="7"/>
        <v>43</v>
      </c>
      <c r="T28" t="str">
        <f t="shared" si="8"/>
        <v>$S$20:$S$28</v>
      </c>
      <c r="U28">
        <f t="shared" ca="1" si="9"/>
        <v>5</v>
      </c>
      <c r="V28" t="str">
        <f t="shared" si="10"/>
        <v>$U$20:$U$28</v>
      </c>
      <c r="W28" s="73">
        <f t="shared" ca="1" si="11"/>
        <v>5</v>
      </c>
      <c r="X28" s="102">
        <f t="shared" ca="1" si="12"/>
        <v>29</v>
      </c>
      <c r="Y28" t="str">
        <f t="shared" ca="1" si="13"/>
        <v>Інструменти</v>
      </c>
      <c r="Z28" s="104">
        <f t="shared" ca="1" si="14"/>
        <v>0</v>
      </c>
      <c r="AA28" s="104">
        <f t="shared" ca="1" si="15"/>
        <v>0</v>
      </c>
      <c r="AB28" s="105" t="str">
        <f t="shared" ca="1" si="16"/>
        <v>-</v>
      </c>
      <c r="AC28" s="104">
        <f t="shared" ca="1" si="17"/>
        <v>0</v>
      </c>
      <c r="AD28" s="104">
        <f t="shared" ca="1" si="18"/>
        <v>0</v>
      </c>
      <c r="AF28" s="72"/>
      <c r="AK28" s="73"/>
      <c r="AM28" s="72"/>
      <c r="AR28" s="73"/>
    </row>
    <row r="29" spans="3:44" x14ac:dyDescent="0.3">
      <c r="C29" s="72" cm="1">
        <f t="array" ref="C29">IF(C28=-1,-1,
   IF(C28&lt;income_max,C28+1,
    IF(C28=income_max,income_total,
     IF(C28=income_total,"/1",
      IF(C28="/1",expenses_header,
       IF(C28&lt;expenses_max,C28+1,
        IF(C28=expenses_max,expenses_total,
         IF(C28=expenses_total,"/2",
          IF(C28="/2",savings_header,
           IF(C28&lt;savings_max,C28+1,
            IF(C28=savings_max,savings_total,-1
)))))))))))</f>
        <v>36</v>
      </c>
      <c r="D29" s="73">
        <f t="shared" si="0"/>
        <v>24</v>
      </c>
      <c r="E29" s="72" cm="1">
        <f t="array" ref="E29">1*OR(row_id=income_header_row,row_id=expenses_header,row_id=savings_header)</f>
        <v>0</v>
      </c>
      <c r="F29">
        <f t="shared" si="1"/>
        <v>0</v>
      </c>
      <c r="G29" cm="1">
        <f t="array" ref="G29">1*OR(row_id=income_total,row_id=expenses_total,row_id=savings_total)</f>
        <v>1</v>
      </c>
      <c r="H29" s="73">
        <f t="shared" si="2"/>
        <v>0</v>
      </c>
      <c r="I29" s="72" t="str" cm="1">
        <f t="array" ref="I29">IFERROR(INDEX('Планування бюджету'!$C:$C,header_row_id),"")</f>
        <v>Витрати</v>
      </c>
      <c r="J29" t="str" cm="1">
        <f t="array" ref="J29">IFERROR(INDEX('Планування бюджету'!$C:$C,row_id),"")</f>
        <v>Всього</v>
      </c>
      <c r="K29" s="90" cm="1">
        <f t="array" aca="1" ref="K29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2973</v>
      </c>
      <c r="L29" s="73" cm="1">
        <f t="array" aca="1" ref="L29" ca="1">IF(OR(is_header,is_empty),"",
 INDEX('Планування бюджету'!$E:$BG,row_id,
 MATCH(IF(selected_period="Всього за рік", selected_year,DATE(selected_year,selected_period,1)),'Планування бюджету'!$E$9:$BG$9,0) ))</f>
        <v>2900</v>
      </c>
      <c r="M29" s="72" t="str" cm="1">
        <f t="array" ref="M29">IF(is_cat,
    IF(header_row_id=income_header_row,MATCH(income_min,$C:$C,0),
     IF(header_row_id=expenses_header,MATCH(expenses_min,$C:$C,0),
      IF(header_row_id=savings_header,MATCH(savings_min,$C:$C,0),""))),"")</f>
        <v/>
      </c>
      <c r="N29" s="73" t="str" cm="1">
        <f t="array" ref="N29">IF(is_cat,
    IF(header_row_id=income_header_row,MATCH(income_max,$C:$C,0),
     IF(header_row_id=expenses_header,MATCH(expenses_max,$C:$C,0),
      IF(header_row_id=savings_header,MATCH(savings_max,$C:$C,0),""))),"")</f>
        <v/>
      </c>
      <c r="O29" t="str">
        <f t="shared" si="3"/>
        <v/>
      </c>
      <c r="P29" t="str">
        <f t="shared" ca="1" si="4"/>
        <v/>
      </c>
      <c r="Q29" t="str">
        <f t="shared" si="5"/>
        <v/>
      </c>
      <c r="R29" s="73" t="str">
        <f t="shared" ca="1" si="6"/>
        <v/>
      </c>
      <c r="S29" s="72" t="str">
        <f t="shared" si="7"/>
        <v/>
      </c>
      <c r="T29" t="str">
        <f t="shared" si="8"/>
        <v/>
      </c>
      <c r="U29" t="str">
        <f t="shared" ca="1" si="9"/>
        <v/>
      </c>
      <c r="V29" t="str">
        <f t="shared" si="10"/>
        <v/>
      </c>
      <c r="W29" s="73" t="str">
        <f t="shared" ca="1" si="11"/>
        <v/>
      </c>
      <c r="X29" s="102">
        <f t="shared" si="12"/>
        <v>36</v>
      </c>
      <c r="Y29" t="str">
        <f t="shared" ca="1" si="13"/>
        <v>Всього</v>
      </c>
      <c r="Z29" s="104">
        <f t="shared" ca="1" si="14"/>
        <v>2973</v>
      </c>
      <c r="AA29" s="104">
        <f t="shared" ca="1" si="15"/>
        <v>2900</v>
      </c>
      <c r="AB29" s="105">
        <f t="shared" ca="1" si="16"/>
        <v>1.0251724137931035</v>
      </c>
      <c r="AC29" s="104">
        <f t="shared" ca="1" si="17"/>
        <v>0</v>
      </c>
      <c r="AD29" s="104">
        <f t="shared" ca="1" si="18"/>
        <v>-73</v>
      </c>
      <c r="AF29" s="72"/>
      <c r="AI29" s="125" t="str">
        <f ca="1">Калькулятор!I35</f>
        <v>Асфальт</v>
      </c>
      <c r="AJ29" s="126">
        <f ca="1">Калькулятор!J35</f>
        <v>700</v>
      </c>
      <c r="AK29" s="73"/>
      <c r="AM29" s="72"/>
      <c r="AP29" s="125" t="str">
        <f ca="1">Калькулятор!M35</f>
        <v>Навчання персоналу</v>
      </c>
      <c r="AQ29" s="126">
        <f ca="1">Калькулятор!N35</f>
        <v>800</v>
      </c>
      <c r="AR29" s="73"/>
    </row>
    <row r="30" spans="3:44" x14ac:dyDescent="0.3">
      <c r="C30" s="72" t="str" cm="1">
        <f t="array" ref="C30">IF(C29=-1,-1,
   IF(C29&lt;income_max,C29+1,
    IF(C29=income_max,income_total,
     IF(C29=income_total,"/1",
      IF(C29="/1",expenses_header,
       IF(C29&lt;expenses_max,C29+1,
        IF(C29=expenses_max,expenses_total,
         IF(C29=expenses_total,"/2",
          IF(C29="/2",savings_header,
           IF(C29&lt;savings_max,C29+1,
            IF(C29=savings_max,savings_total,-1
)))))))))))</f>
        <v>/2</v>
      </c>
      <c r="D30" s="73">
        <f t="shared" si="0"/>
        <v>-1</v>
      </c>
      <c r="E30" s="72" cm="1">
        <f t="array" ref="E30">1*OR(row_id=income_header_row,row_id=expenses_header,row_id=savings_header)</f>
        <v>0</v>
      </c>
      <c r="F30">
        <f t="shared" si="1"/>
        <v>0</v>
      </c>
      <c r="G30" cm="1">
        <f t="array" ref="G30">1*OR(row_id=income_total,row_id=expenses_total,row_id=savings_total)</f>
        <v>0</v>
      </c>
      <c r="H30" s="73">
        <f t="shared" si="2"/>
        <v>1</v>
      </c>
      <c r="I30" s="72" t="str" cm="1">
        <f t="array" ref="I30">IFERROR(INDEX('Планування бюджету'!$C:$C,header_row_id),"")</f>
        <v/>
      </c>
      <c r="J30" t="str" cm="1">
        <f t="array" ref="J30">IFERROR(INDEX('Планування бюджету'!$C:$C,row_id),"")</f>
        <v/>
      </c>
      <c r="K30" s="90" t="str" cm="1">
        <f t="array" ref="K30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30" s="73" t="str" cm="1">
        <f t="array" ref="L30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30" s="72" t="str" cm="1">
        <f t="array" ref="M30">IF(is_cat,
    IF(header_row_id=income_header_row,MATCH(income_min,$C:$C,0),
     IF(header_row_id=expenses_header,MATCH(expenses_min,$C:$C,0),
      IF(header_row_id=savings_header,MATCH(savings_min,$C:$C,0),""))),"")</f>
        <v/>
      </c>
      <c r="N30" s="73" t="str" cm="1">
        <f t="array" ref="N30">IF(is_cat,
    IF(header_row_id=income_header_row,MATCH(income_max,$C:$C,0),
     IF(header_row_id=expenses_header,MATCH(expenses_max,$C:$C,0),
      IF(header_row_id=savings_header,MATCH(savings_max,$C:$C,0),""))),"")</f>
        <v/>
      </c>
      <c r="O30" t="str">
        <f t="shared" si="3"/>
        <v/>
      </c>
      <c r="P30" t="str">
        <f t="shared" ca="1" si="4"/>
        <v/>
      </c>
      <c r="Q30" t="str">
        <f t="shared" si="5"/>
        <v/>
      </c>
      <c r="R30" s="73" t="str">
        <f t="shared" ca="1" si="6"/>
        <v/>
      </c>
      <c r="S30" s="72" t="str">
        <f t="shared" si="7"/>
        <v/>
      </c>
      <c r="T30" t="str">
        <f t="shared" si="8"/>
        <v/>
      </c>
      <c r="U30" t="str">
        <f t="shared" ca="1" si="9"/>
        <v/>
      </c>
      <c r="V30" t="str">
        <f t="shared" si="10"/>
        <v/>
      </c>
      <c r="W30" s="73" t="str">
        <f t="shared" ca="1" si="11"/>
        <v/>
      </c>
      <c r="X30" s="102" t="str">
        <f t="shared" si="12"/>
        <v>/2</v>
      </c>
      <c r="Y30" t="str">
        <f t="shared" si="13"/>
        <v/>
      </c>
      <c r="Z30" s="104" t="str">
        <f t="shared" si="14"/>
        <v/>
      </c>
      <c r="AA30" s="104" t="str">
        <f t="shared" si="15"/>
        <v/>
      </c>
      <c r="AB30" s="105" t="str">
        <f t="shared" si="16"/>
        <v/>
      </c>
      <c r="AC30" s="104" t="str">
        <f t="shared" si="17"/>
        <v/>
      </c>
      <c r="AD30" s="104" t="str">
        <f t="shared" si="18"/>
        <v/>
      </c>
      <c r="AF30" s="72"/>
      <c r="AI30" s="125" t="str">
        <f ca="1">Калькулятор!I36</f>
        <v>Форма</v>
      </c>
      <c r="AJ30" s="126">
        <f ca="1">Калькулятор!J36</f>
        <v>600</v>
      </c>
      <c r="AK30" s="73"/>
      <c r="AM30" s="72"/>
      <c r="AP30" s="125" t="str">
        <f ca="1">Калькулятор!M36</f>
        <v>Основні засоби</v>
      </c>
      <c r="AQ30" s="126">
        <f ca="1">Калькулятор!N36</f>
        <v>500</v>
      </c>
      <c r="AR30" s="73"/>
    </row>
    <row r="31" spans="3:44" x14ac:dyDescent="0.3">
      <c r="C31" s="72" cm="1">
        <f t="array" ref="C31">IF(C30=-1,-1,
   IF(C30&lt;income_max,C30+1,
    IF(C30=income_max,income_total,
     IF(C30=income_total,"/1",
      IF(C30="/1",expenses_header,
       IF(C30&lt;expenses_max,C30+1,
        IF(C30=expenses_max,expenses_total,
         IF(C30=expenses_total,"/2",
          IF(C30="/2",savings_header,
           IF(C30&lt;savings_max,C30+1,
            IF(C30=savings_max,savings_total,-1
)))))))))))</f>
        <v>39</v>
      </c>
      <c r="D31" s="73">
        <f t="shared" si="0"/>
        <v>39</v>
      </c>
      <c r="E31" s="72" cm="1">
        <f t="array" ref="E31">1*OR(row_id=income_header_row,row_id=expenses_header,row_id=savings_header)</f>
        <v>1</v>
      </c>
      <c r="F31">
        <f t="shared" si="1"/>
        <v>0</v>
      </c>
      <c r="G31" cm="1">
        <f t="array" ref="G31">1*OR(row_id=income_total,row_id=expenses_total,row_id=savings_total)</f>
        <v>0</v>
      </c>
      <c r="H31" s="73">
        <f t="shared" si="2"/>
        <v>0</v>
      </c>
      <c r="I31" s="72" t="str" cm="1">
        <f t="array" ref="I31">IFERROR(INDEX('Планування бюджету'!$C:$C,header_row_id),"")</f>
        <v>Збереження</v>
      </c>
      <c r="J31" t="str" cm="1">
        <f t="array" ref="J31">IFERROR(INDEX('Планування бюджету'!$C:$C,row_id),"")</f>
        <v>Збереження</v>
      </c>
      <c r="K31" s="90" t="str" cm="1">
        <f t="array" ref="K3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31" s="73" t="str" cm="1">
        <f t="array" ref="L31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31" s="72" t="str" cm="1">
        <f t="array" ref="M31">IF(is_cat,
    IF(header_row_id=income_header_row,MATCH(income_min,$C:$C,0),
     IF(header_row_id=expenses_header,MATCH(expenses_min,$C:$C,0),
      IF(header_row_id=savings_header,MATCH(savings_min,$C:$C,0),""))),"")</f>
        <v/>
      </c>
      <c r="N31" s="73" t="str" cm="1">
        <f t="array" ref="N31">IF(is_cat,
    IF(header_row_id=income_header_row,MATCH(income_max,$C:$C,0),
     IF(header_row_id=expenses_header,MATCH(expenses_max,$C:$C,0),
      IF(header_row_id=savings_header,MATCH(savings_max,$C:$C,0),""))),"")</f>
        <v/>
      </c>
      <c r="O31" t="str">
        <f t="shared" si="3"/>
        <v/>
      </c>
      <c r="P31" t="str">
        <f t="shared" ca="1" si="4"/>
        <v/>
      </c>
      <c r="Q31" t="str">
        <f t="shared" si="5"/>
        <v/>
      </c>
      <c r="R31" s="73" t="str">
        <f t="shared" ca="1" si="6"/>
        <v/>
      </c>
      <c r="S31" s="72" t="str">
        <f t="shared" si="7"/>
        <v/>
      </c>
      <c r="T31" t="str">
        <f t="shared" si="8"/>
        <v/>
      </c>
      <c r="U31" t="str">
        <f t="shared" ca="1" si="9"/>
        <v/>
      </c>
      <c r="V31" t="str">
        <f t="shared" si="10"/>
        <v/>
      </c>
      <c r="W31" s="73" t="str">
        <f t="shared" ca="1" si="11"/>
        <v/>
      </c>
      <c r="X31" s="102">
        <f t="shared" si="12"/>
        <v>39</v>
      </c>
      <c r="Y31" t="str">
        <f t="shared" ca="1" si="13"/>
        <v>Збереження</v>
      </c>
      <c r="Z31" s="104" t="str">
        <f t="shared" si="14"/>
        <v>Tracked</v>
      </c>
      <c r="AA31" s="104" t="str">
        <f t="shared" si="15"/>
        <v>Бюджет</v>
      </c>
      <c r="AB31" s="105" t="str">
        <f t="shared" si="16"/>
        <v>% Виконання</v>
      </c>
      <c r="AC31" s="104" t="str">
        <f t="shared" si="17"/>
        <v>Залишилось</v>
      </c>
      <c r="AD31" s="104" t="str">
        <f t="shared" si="18"/>
        <v>Надлишок</v>
      </c>
      <c r="AF31" s="72"/>
      <c r="AI31" s="125" t="str">
        <f ca="1">Калькулятор!I37</f>
        <v>Арматура</v>
      </c>
      <c r="AJ31" s="126">
        <f ca="1">Калькулятор!J37</f>
        <v>500</v>
      </c>
      <c r="AK31" s="73"/>
      <c r="AM31" s="72"/>
      <c r="AP31" s="125" t="str">
        <f ca="1">Калькулятор!M37</f>
        <v>Трактор</v>
      </c>
      <c r="AQ31" s="126">
        <f ca="1">Калькулятор!N37</f>
        <v>380</v>
      </c>
      <c r="AR31" s="73"/>
    </row>
    <row r="32" spans="3:44" x14ac:dyDescent="0.3">
      <c r="C32" s="72" cm="1">
        <f t="array" ref="C32">IF(C31=-1,-1,
   IF(C31&lt;income_max,C31+1,
    IF(C31=income_max,income_total,
     IF(C31=income_total,"/1",
      IF(C31="/1",expenses_header,
       IF(C31&lt;expenses_max,C31+1,
        IF(C31=expenses_max,expenses_total,
         IF(C31=expenses_total,"/2",
          IF(C31="/2",savings_header,
           IF(C31&lt;savings_max,C31+1,
            IF(C31=savings_max,savings_total,-1
)))))))))))</f>
        <v>40</v>
      </c>
      <c r="D32" s="73">
        <f t="shared" si="0"/>
        <v>39</v>
      </c>
      <c r="E32" s="72" cm="1">
        <f t="array" ref="E32">1*OR(row_id=income_header_row,row_id=expenses_header,row_id=savings_header)</f>
        <v>0</v>
      </c>
      <c r="F32">
        <f t="shared" si="1"/>
        <v>1</v>
      </c>
      <c r="G32" cm="1">
        <f t="array" ref="G32">1*OR(row_id=income_total,row_id=expenses_total,row_id=savings_total)</f>
        <v>0</v>
      </c>
      <c r="H32" s="73">
        <f t="shared" si="2"/>
        <v>0</v>
      </c>
      <c r="I32" s="72" t="str" cm="1">
        <f t="array" ref="I32">IFERROR(INDEX('Планування бюджету'!$C:$C,header_row_id),"")</f>
        <v>Збереження</v>
      </c>
      <c r="J32" t="str" cm="1">
        <f t="array" ref="J32">IFERROR(INDEX('Планування бюджету'!$C:$C,row_id),"")</f>
        <v>Навчання персоналу</v>
      </c>
      <c r="K32" s="90" cm="1">
        <f t="array" aca="1" ref="K32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800</v>
      </c>
      <c r="L32" s="73" cm="1">
        <f t="array" aca="1" ref="L32" ca="1">IF(OR(is_header,is_empty),"",
 INDEX('Планування бюджету'!$E:$BG,row_id,
 MATCH(IF(selected_period="Всього за рік", selected_year,DATE(selected_year,selected_period,1)),'Планування бюджету'!$E$9:$BG$9,0) ))</f>
        <v>1000</v>
      </c>
      <c r="M32" s="72" cm="1">
        <f t="array" ref="M32">IF(is_cat,
    IF(header_row_id=income_header_row,MATCH(income_min,$C:$C,0),
     IF(header_row_id=expenses_header,MATCH(expenses_min,$C:$C,0),
      IF(header_row_id=savings_header,MATCH(savings_min,$C:$C,0),""))),"")</f>
        <v>32</v>
      </c>
      <c r="N32" s="73" cm="1">
        <f t="array" ref="N32">IF(is_cat,
    IF(header_row_id=income_header_row,MATCH(income_max,$C:$C,0),
     IF(header_row_id=expenses_header,MATCH(expenses_max,$C:$C,0),
      IF(header_row_id=savings_header,MATCH(savings_max,$C:$C,0),""))),"")</f>
        <v>36</v>
      </c>
      <c r="O32" t="str">
        <f t="shared" si="3"/>
        <v>$K$32:$K$36</v>
      </c>
      <c r="P32">
        <f t="shared" ca="1" si="4"/>
        <v>1</v>
      </c>
      <c r="Q32" t="str">
        <f t="shared" si="5"/>
        <v>$L$32:$L$36</v>
      </c>
      <c r="R32" s="73">
        <f t="shared" ca="1" si="6"/>
        <v>1</v>
      </c>
      <c r="S32" s="72">
        <f t="shared" ca="1" si="7"/>
        <v>11</v>
      </c>
      <c r="T32" t="str">
        <f t="shared" si="8"/>
        <v>$S$32:$S$36</v>
      </c>
      <c r="U32">
        <f t="shared" ca="1" si="9"/>
        <v>1</v>
      </c>
      <c r="V32" t="str">
        <f t="shared" si="10"/>
        <v>$U$32:$U$32</v>
      </c>
      <c r="W32" s="73">
        <f t="shared" ca="1" si="11"/>
        <v>1</v>
      </c>
      <c r="X32" s="102">
        <f t="shared" ca="1" si="12"/>
        <v>40</v>
      </c>
      <c r="Y32" t="str">
        <f t="shared" ca="1" si="13"/>
        <v>Навчання персоналу</v>
      </c>
      <c r="Z32" s="104">
        <f t="shared" ca="1" si="14"/>
        <v>800</v>
      </c>
      <c r="AA32" s="104">
        <f t="shared" ca="1" si="15"/>
        <v>1000</v>
      </c>
      <c r="AB32" s="105">
        <f t="shared" ca="1" si="16"/>
        <v>0.8</v>
      </c>
      <c r="AC32" s="104">
        <f t="shared" ca="1" si="17"/>
        <v>200</v>
      </c>
      <c r="AD32" s="104">
        <f t="shared" ca="1" si="18"/>
        <v>0</v>
      </c>
      <c r="AF32" s="72"/>
      <c r="AI32" s="125" t="str">
        <f ca="1">Калькулятор!I38</f>
        <v>Шини</v>
      </c>
      <c r="AJ32" s="126">
        <f ca="1">Калькулятор!J38</f>
        <v>300</v>
      </c>
      <c r="AK32" s="73"/>
      <c r="AM32" s="72"/>
      <c r="AP32" s="125" t="str">
        <f ca="1">Калькулятор!M38</f>
        <v>Автогрейдер</v>
      </c>
      <c r="AQ32" s="126">
        <f ca="1">Калькулятор!N38</f>
        <v>150</v>
      </c>
      <c r="AR32" s="73"/>
    </row>
    <row r="33" spans="3:44" x14ac:dyDescent="0.3">
      <c r="C33" s="72" cm="1">
        <f t="array" ref="C33">IF(C32=-1,-1,
   IF(C32&lt;income_max,C32+1,
    IF(C32=income_max,income_total,
     IF(C32=income_total,"/1",
      IF(C32="/1",expenses_header,
       IF(C32&lt;expenses_max,C32+1,
        IF(C32=expenses_max,expenses_total,
         IF(C32=expenses_total,"/2",
          IF(C32="/2",savings_header,
           IF(C32&lt;savings_max,C32+1,
            IF(C32=savings_max,savings_total,-1
)))))))))))</f>
        <v>41</v>
      </c>
      <c r="D33" s="73">
        <f t="shared" si="0"/>
        <v>39</v>
      </c>
      <c r="E33" s="72" cm="1">
        <f t="array" ref="E33">1*OR(row_id=income_header_row,row_id=expenses_header,row_id=savings_header)</f>
        <v>0</v>
      </c>
      <c r="F33">
        <f t="shared" si="1"/>
        <v>1</v>
      </c>
      <c r="G33" cm="1">
        <f t="array" ref="G33">1*OR(row_id=income_total,row_id=expenses_total,row_id=savings_total)</f>
        <v>0</v>
      </c>
      <c r="H33" s="73">
        <f t="shared" si="2"/>
        <v>0</v>
      </c>
      <c r="I33" s="72" t="str" cm="1">
        <f t="array" ref="I33">IFERROR(INDEX('Планування бюджету'!$C:$C,header_row_id),"")</f>
        <v>Збереження</v>
      </c>
      <c r="J33" t="str" cm="1">
        <f t="array" ref="J33">IFERROR(INDEX('Планування бюджету'!$C:$C,row_id),"")</f>
        <v>Трактор</v>
      </c>
      <c r="K33" s="90" cm="1">
        <f t="array" aca="1" ref="K33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380</v>
      </c>
      <c r="L33" s="73" cm="1">
        <f t="array" aca="1" ref="L33" ca="1">IF(OR(is_header,is_empty),"",
 INDEX('Планування бюджету'!$E:$BG,row_id,
 MATCH(IF(selected_period="Всього за рік", selected_year,DATE(selected_year,selected_period,1)),'Планування бюджету'!$E$9:$BG$9,0) ))</f>
        <v>400</v>
      </c>
      <c r="M33" s="72" cm="1">
        <f t="array" ref="M33">IF(is_cat,
    IF(header_row_id=income_header_row,MATCH(income_min,$C:$C,0),
     IF(header_row_id=expenses_header,MATCH(expenses_min,$C:$C,0),
      IF(header_row_id=savings_header,MATCH(savings_min,$C:$C,0),""))),"")</f>
        <v>32</v>
      </c>
      <c r="N33" s="73" cm="1">
        <f t="array" ref="N33">IF(is_cat,
    IF(header_row_id=income_header_row,MATCH(income_max,$C:$C,0),
     IF(header_row_id=expenses_header,MATCH(expenses_max,$C:$C,0),
      IF(header_row_id=savings_header,MATCH(savings_max,$C:$C,0),""))),"")</f>
        <v>36</v>
      </c>
      <c r="O33" t="str">
        <f t="shared" si="3"/>
        <v>$K$32:$K$36</v>
      </c>
      <c r="P33">
        <f t="shared" ca="1" si="4"/>
        <v>3</v>
      </c>
      <c r="Q33" t="str">
        <f t="shared" si="5"/>
        <v>$L$32:$L$36</v>
      </c>
      <c r="R33" s="73">
        <f t="shared" ca="1" si="6"/>
        <v>2</v>
      </c>
      <c r="S33" s="72">
        <f t="shared" ca="1" si="7"/>
        <v>32</v>
      </c>
      <c r="T33" t="str">
        <f t="shared" si="8"/>
        <v>$S$32:$S$36</v>
      </c>
      <c r="U33">
        <f t="shared" ca="1" si="9"/>
        <v>3</v>
      </c>
      <c r="V33" t="str">
        <f t="shared" si="10"/>
        <v>$U$32:$U$33</v>
      </c>
      <c r="W33" s="73">
        <f t="shared" ca="1" si="11"/>
        <v>3</v>
      </c>
      <c r="X33" s="102">
        <f t="shared" ca="1" si="12"/>
        <v>42</v>
      </c>
      <c r="Y33" t="str">
        <f t="shared" ca="1" si="13"/>
        <v>Основні засоби</v>
      </c>
      <c r="Z33" s="104">
        <f t="shared" ca="1" si="14"/>
        <v>500</v>
      </c>
      <c r="AA33" s="104">
        <f t="shared" ca="1" si="15"/>
        <v>100</v>
      </c>
      <c r="AB33" s="105">
        <f t="shared" ca="1" si="16"/>
        <v>5</v>
      </c>
      <c r="AC33" s="104">
        <f t="shared" ca="1" si="17"/>
        <v>0</v>
      </c>
      <c r="AD33" s="104">
        <f t="shared" ca="1" si="18"/>
        <v>-400</v>
      </c>
      <c r="AF33" s="72"/>
      <c r="AI33" s="125" t="str">
        <f ca="1">Калькулятор!I39</f>
        <v>Дорожні знаки</v>
      </c>
      <c r="AJ33" s="126">
        <f ca="1">Калькулятор!J39</f>
        <v>300</v>
      </c>
      <c r="AK33" s="73"/>
      <c r="AM33" s="72"/>
      <c r="AP33" s="125" t="str">
        <f ca="1">Калькулятор!M39</f>
        <v/>
      </c>
      <c r="AQ33" s="126" t="str">
        <f ca="1">Калькулятор!N39</f>
        <v/>
      </c>
      <c r="AR33" s="73"/>
    </row>
    <row r="34" spans="3:44" x14ac:dyDescent="0.3">
      <c r="C34" s="72" cm="1">
        <f t="array" ref="C34">IF(C33=-1,-1,
   IF(C33&lt;income_max,C33+1,
    IF(C33=income_max,income_total,
     IF(C33=income_total,"/1",
      IF(C33="/1",expenses_header,
       IF(C33&lt;expenses_max,C33+1,
        IF(C33=expenses_max,expenses_total,
         IF(C33=expenses_total,"/2",
          IF(C33="/2",savings_header,
           IF(C33&lt;savings_max,C33+1,
            IF(C33=savings_max,savings_total,-1
)))))))))))</f>
        <v>42</v>
      </c>
      <c r="D34" s="73">
        <f t="shared" si="0"/>
        <v>39</v>
      </c>
      <c r="E34" s="72" cm="1">
        <f t="array" ref="E34">1*OR(row_id=income_header_row,row_id=expenses_header,row_id=savings_header)</f>
        <v>0</v>
      </c>
      <c r="F34">
        <f t="shared" si="1"/>
        <v>1</v>
      </c>
      <c r="G34" cm="1">
        <f t="array" ref="G34">1*OR(row_id=income_total,row_id=expenses_total,row_id=savings_total)</f>
        <v>0</v>
      </c>
      <c r="H34" s="73">
        <f t="shared" si="2"/>
        <v>0</v>
      </c>
      <c r="I34" s="72" t="str" cm="1">
        <f t="array" ref="I34">IFERROR(INDEX('Планування бюджету'!$C:$C,header_row_id),"")</f>
        <v>Збереження</v>
      </c>
      <c r="J34" t="str" cm="1">
        <f t="array" ref="J34">IFERROR(INDEX('Планування бюджету'!$C:$C,row_id),"")</f>
        <v>Автогрейдер</v>
      </c>
      <c r="K34" s="90" cm="1">
        <f t="array" aca="1" ref="K34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150</v>
      </c>
      <c r="L34" s="73" cm="1">
        <f t="array" aca="1" ref="L34" ca="1">IF(OR(is_header,is_empty),"",
 INDEX('Планування бюджету'!$E:$BG,row_id,
 MATCH(IF(selected_period="Всього за рік", selected_year,DATE(selected_year,selected_period,1)),'Планування бюджету'!$E$9:$BG$9,0) ))</f>
        <v>150</v>
      </c>
      <c r="M34" s="72" cm="1">
        <f t="array" ref="M34">IF(is_cat,
    IF(header_row_id=income_header_row,MATCH(income_min,$C:$C,0),
     IF(header_row_id=expenses_header,MATCH(expenses_min,$C:$C,0),
      IF(header_row_id=savings_header,MATCH(savings_min,$C:$C,0),""))),"")</f>
        <v>32</v>
      </c>
      <c r="N34" s="73" cm="1">
        <f t="array" ref="N34">IF(is_cat,
    IF(header_row_id=income_header_row,MATCH(income_max,$C:$C,0),
     IF(header_row_id=expenses_header,MATCH(expenses_max,$C:$C,0),
      IF(header_row_id=savings_header,MATCH(savings_max,$C:$C,0),""))),"")</f>
        <v>36</v>
      </c>
      <c r="O34" t="str">
        <f t="shared" si="3"/>
        <v>$K$32:$K$36</v>
      </c>
      <c r="P34">
        <f t="shared" ca="1" si="4"/>
        <v>4</v>
      </c>
      <c r="Q34" t="str">
        <f t="shared" si="5"/>
        <v>$L$32:$L$36</v>
      </c>
      <c r="R34" s="73">
        <f t="shared" ca="1" si="6"/>
        <v>3</v>
      </c>
      <c r="S34" s="72">
        <f t="shared" ca="1" si="7"/>
        <v>43</v>
      </c>
      <c r="T34" t="str">
        <f t="shared" si="8"/>
        <v>$S$32:$S$36</v>
      </c>
      <c r="U34">
        <f t="shared" ca="1" si="9"/>
        <v>4</v>
      </c>
      <c r="V34" t="str">
        <f t="shared" si="10"/>
        <v>$U$32:$U$34</v>
      </c>
      <c r="W34" s="73">
        <f t="shared" ca="1" si="11"/>
        <v>4</v>
      </c>
      <c r="X34" s="102">
        <f t="shared" ca="1" si="12"/>
        <v>43</v>
      </c>
      <c r="Y34" t="str">
        <f t="shared" ca="1" si="13"/>
        <v>Трактор</v>
      </c>
      <c r="Z34" s="104">
        <f t="shared" ca="1" si="14"/>
        <v>380</v>
      </c>
      <c r="AA34" s="104">
        <f t="shared" ca="1" si="15"/>
        <v>400</v>
      </c>
      <c r="AB34" s="105">
        <f t="shared" ca="1" si="16"/>
        <v>0.95</v>
      </c>
      <c r="AC34" s="104">
        <f t="shared" ca="1" si="17"/>
        <v>20</v>
      </c>
      <c r="AD34" s="104">
        <f t="shared" ca="1" si="18"/>
        <v>0</v>
      </c>
      <c r="AF34" s="72"/>
      <c r="AI34" s="125" t="str">
        <f ca="1">Калькулятор!I40</f>
        <v>Інше</v>
      </c>
      <c r="AJ34" s="126">
        <f ca="1">Калькулятор!J40</f>
        <v>573</v>
      </c>
      <c r="AK34" s="73"/>
      <c r="AM34" s="72"/>
      <c r="AP34" s="125" t="str">
        <f ca="1">Калькулятор!M40</f>
        <v/>
      </c>
      <c r="AQ34" s="126" t="str">
        <f ca="1">Калькулятор!N40</f>
        <v/>
      </c>
      <c r="AR34" s="73"/>
    </row>
    <row r="35" spans="3:44" x14ac:dyDescent="0.3">
      <c r="C35" s="72" cm="1">
        <f t="array" ref="C35">IF(C34=-1,-1,
   IF(C34&lt;income_max,C34+1,
    IF(C34=income_max,income_total,
     IF(C34=income_total,"/1",
      IF(C34="/1",expenses_header,
       IF(C34&lt;expenses_max,C34+1,
        IF(C34=expenses_max,expenses_total,
         IF(C34=expenses_total,"/2",
          IF(C34="/2",savings_header,
           IF(C34&lt;savings_max,C34+1,
            IF(C34=savings_max,savings_total,-1
)))))))))))</f>
        <v>43</v>
      </c>
      <c r="D35" s="73">
        <f t="shared" si="0"/>
        <v>39</v>
      </c>
      <c r="E35" s="72" cm="1">
        <f t="array" ref="E35">1*OR(row_id=income_header_row,row_id=expenses_header,row_id=savings_header)</f>
        <v>0</v>
      </c>
      <c r="F35">
        <f t="shared" si="1"/>
        <v>1</v>
      </c>
      <c r="G35" cm="1">
        <f t="array" ref="G35">1*OR(row_id=income_total,row_id=expenses_total,row_id=savings_total)</f>
        <v>0</v>
      </c>
      <c r="H35" s="73">
        <f t="shared" si="2"/>
        <v>0</v>
      </c>
      <c r="I35" s="72" t="str" cm="1">
        <f t="array" ref="I35">IFERROR(INDEX('Планування бюджету'!$C:$C,header_row_id),"")</f>
        <v>Збереження</v>
      </c>
      <c r="J35" t="str" cm="1">
        <f t="array" ref="J35">IFERROR(INDEX('Планування бюджету'!$C:$C,row_id),"")</f>
        <v>Ексакаватор</v>
      </c>
      <c r="K35" s="90" cm="1">
        <f t="array" aca="1" ref="K35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0</v>
      </c>
      <c r="L35" s="73" cm="1">
        <f t="array" aca="1" ref="L35" ca="1">IF(OR(is_header,is_empty),"",
 INDEX('Планування бюджету'!$E:$BG,row_id,
 MATCH(IF(selected_period="Всього за рік", selected_year,DATE(selected_year,selected_period,1)),'Планування бюджету'!$E$9:$BG$9,0) ))</f>
        <v>0</v>
      </c>
      <c r="M35" s="72" cm="1">
        <f t="array" ref="M35">IF(is_cat,
    IF(header_row_id=income_header_row,MATCH(income_min,$C:$C,0),
     IF(header_row_id=expenses_header,MATCH(expenses_min,$C:$C,0),
      IF(header_row_id=savings_header,MATCH(savings_min,$C:$C,0),""))),"")</f>
        <v>32</v>
      </c>
      <c r="N35" s="73" cm="1">
        <f t="array" ref="N35">IF(is_cat,
    IF(header_row_id=income_header_row,MATCH(income_max,$C:$C,0),
     IF(header_row_id=expenses_header,MATCH(expenses_max,$C:$C,0),
      IF(header_row_id=savings_header,MATCH(savings_max,$C:$C,0),""))),"")</f>
        <v>36</v>
      </c>
      <c r="O35" t="str">
        <f t="shared" si="3"/>
        <v>$K$32:$K$36</v>
      </c>
      <c r="P35">
        <f t="shared" ca="1" si="4"/>
        <v>5</v>
      </c>
      <c r="Q35" t="str">
        <f t="shared" si="5"/>
        <v>$L$32:$L$36</v>
      </c>
      <c r="R35" s="73">
        <f t="shared" ca="1" si="6"/>
        <v>5</v>
      </c>
      <c r="S35" s="72">
        <f t="shared" ca="1" si="7"/>
        <v>55</v>
      </c>
      <c r="T35" t="str">
        <f t="shared" si="8"/>
        <v>$S$32:$S$36</v>
      </c>
      <c r="U35">
        <f t="shared" ca="1" si="9"/>
        <v>5</v>
      </c>
      <c r="V35" t="str">
        <f t="shared" si="10"/>
        <v>$U$32:$U$35</v>
      </c>
      <c r="W35" s="73">
        <f t="shared" ca="1" si="11"/>
        <v>5</v>
      </c>
      <c r="X35" s="102">
        <f t="shared" ca="1" si="12"/>
        <v>44</v>
      </c>
      <c r="Y35" t="str">
        <f t="shared" ca="1" si="13"/>
        <v>Автогрейдер</v>
      </c>
      <c r="Z35" s="104">
        <f t="shared" ca="1" si="14"/>
        <v>150</v>
      </c>
      <c r="AA35" s="104">
        <f t="shared" ca="1" si="15"/>
        <v>150</v>
      </c>
      <c r="AB35" s="105">
        <f t="shared" ca="1" si="16"/>
        <v>1</v>
      </c>
      <c r="AC35" s="104">
        <f t="shared" ca="1" si="17"/>
        <v>0</v>
      </c>
      <c r="AD35" s="104">
        <f t="shared" ca="1" si="18"/>
        <v>0</v>
      </c>
      <c r="AF35" s="72"/>
      <c r="AI35" s="127" t="str">
        <f>Калькулятор!I41</f>
        <v>Всього</v>
      </c>
      <c r="AJ35" s="128">
        <f ca="1">Калькулятор!J41</f>
        <v>2973</v>
      </c>
      <c r="AK35" s="73"/>
      <c r="AM35" s="72"/>
      <c r="AP35" s="127" t="str">
        <f>Калькулятор!M41</f>
        <v>Всього</v>
      </c>
      <c r="AQ35" s="128">
        <f ca="1">Калькулятор!N41</f>
        <v>1830</v>
      </c>
      <c r="AR35" s="73"/>
    </row>
    <row r="36" spans="3:44" x14ac:dyDescent="0.3">
      <c r="C36" s="72" cm="1">
        <f t="array" ref="C36">IF(C35=-1,-1,
   IF(C35&lt;income_max,C35+1,
    IF(C35=income_max,income_total,
     IF(C35=income_total,"/1",
      IF(C35="/1",expenses_header,
       IF(C35&lt;expenses_max,C35+1,
        IF(C35=expenses_max,expenses_total,
         IF(C35=expenses_total,"/2",
          IF(C35="/2",savings_header,
           IF(C35&lt;savings_max,C35+1,
            IF(C35=savings_max,savings_total,-1
)))))))))))</f>
        <v>44</v>
      </c>
      <c r="D36" s="73">
        <f t="shared" si="0"/>
        <v>39</v>
      </c>
      <c r="E36" s="72" cm="1">
        <f t="array" ref="E36">1*OR(row_id=income_header_row,row_id=expenses_header,row_id=savings_header)</f>
        <v>0</v>
      </c>
      <c r="F36">
        <f t="shared" si="1"/>
        <v>1</v>
      </c>
      <c r="G36" cm="1">
        <f t="array" ref="G36">1*OR(row_id=income_total,row_id=expenses_total,row_id=savings_total)</f>
        <v>0</v>
      </c>
      <c r="H36" s="73">
        <f t="shared" si="2"/>
        <v>0</v>
      </c>
      <c r="I36" s="72" t="str" cm="1">
        <f t="array" ref="I36">IFERROR(INDEX('Планування бюджету'!$C:$C,header_row_id),"")</f>
        <v>Збереження</v>
      </c>
      <c r="J36" t="str" cm="1">
        <f t="array" ref="J36">IFERROR(INDEX('Планування бюджету'!$C:$C,row_id),"")</f>
        <v>Основні засоби</v>
      </c>
      <c r="K36" s="90" cm="1">
        <f t="array" aca="1" ref="K36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500</v>
      </c>
      <c r="L36" s="73" cm="1">
        <f t="array" aca="1" ref="L36" ca="1">IF(OR(is_header,is_empty),"",
 INDEX('Планування бюджету'!$E:$BG,row_id,
 MATCH(IF(selected_period="Всього за рік", selected_year,DATE(selected_year,selected_period,1)),'Планування бюджету'!$E$9:$BG$9,0) ))</f>
        <v>100</v>
      </c>
      <c r="M36" s="72" cm="1">
        <f t="array" ref="M36">IF(is_cat,
    IF(header_row_id=income_header_row,MATCH(income_min,$C:$C,0),
     IF(header_row_id=expenses_header,MATCH(expenses_min,$C:$C,0),
      IF(header_row_id=savings_header,MATCH(savings_min,$C:$C,0),""))),"")</f>
        <v>32</v>
      </c>
      <c r="N36" s="73" cm="1">
        <f t="array" ref="N36">IF(is_cat,
    IF(header_row_id=income_header_row,MATCH(income_max,$C:$C,0),
     IF(header_row_id=expenses_header,MATCH(expenses_max,$C:$C,0),
      IF(header_row_id=savings_header,MATCH(savings_max,$C:$C,0),""))),"")</f>
        <v>36</v>
      </c>
      <c r="O36" t="str">
        <f t="shared" si="3"/>
        <v>$K$32:$K$36</v>
      </c>
      <c r="P36">
        <f t="shared" ca="1" si="4"/>
        <v>2</v>
      </c>
      <c r="Q36" t="str">
        <f t="shared" si="5"/>
        <v>$L$32:$L$36</v>
      </c>
      <c r="R36" s="73">
        <f t="shared" ca="1" si="6"/>
        <v>4</v>
      </c>
      <c r="S36" s="72">
        <f t="shared" ca="1" si="7"/>
        <v>24</v>
      </c>
      <c r="T36" t="str">
        <f t="shared" si="8"/>
        <v>$S$32:$S$36</v>
      </c>
      <c r="U36">
        <f t="shared" ca="1" si="9"/>
        <v>2</v>
      </c>
      <c r="V36" t="str">
        <f t="shared" si="10"/>
        <v>$U$32:$U$36</v>
      </c>
      <c r="W36" s="73">
        <f t="shared" ca="1" si="11"/>
        <v>2</v>
      </c>
      <c r="X36" s="102">
        <f t="shared" ca="1" si="12"/>
        <v>41</v>
      </c>
      <c r="Y36" t="str">
        <f t="shared" ca="1" si="13"/>
        <v>Ексакаватор</v>
      </c>
      <c r="Z36" s="104">
        <f t="shared" ca="1" si="14"/>
        <v>0</v>
      </c>
      <c r="AA36" s="104">
        <f t="shared" ca="1" si="15"/>
        <v>0</v>
      </c>
      <c r="AB36" s="105" t="str">
        <f t="shared" ca="1" si="16"/>
        <v>-</v>
      </c>
      <c r="AC36" s="104">
        <f t="shared" ca="1" si="17"/>
        <v>0</v>
      </c>
      <c r="AD36" s="104">
        <f t="shared" ca="1" si="18"/>
        <v>0</v>
      </c>
      <c r="AF36" s="72"/>
      <c r="AK36" s="73"/>
      <c r="AM36" s="72"/>
      <c r="AR36" s="73"/>
    </row>
    <row r="37" spans="3:44" x14ac:dyDescent="0.3">
      <c r="C37" s="72" cm="1">
        <f t="array" ref="C37">IF(C36=-1,-1,
   IF(C36&lt;income_max,C36+1,
    IF(C36=income_max,income_total,
     IF(C36=income_total,"/1",
      IF(C36="/1",expenses_header,
       IF(C36&lt;expenses_max,C36+1,
        IF(C36=expenses_max,expenses_total,
         IF(C36=expenses_total,"/2",
          IF(C36="/2",savings_header,
           IF(C36&lt;savings_max,C36+1,
            IF(C36=savings_max,savings_total,-1
)))))))))))</f>
        <v>51</v>
      </c>
      <c r="D37" s="73">
        <f t="shared" si="0"/>
        <v>39</v>
      </c>
      <c r="E37" s="72" cm="1">
        <f t="array" ref="E37">1*OR(row_id=income_header_row,row_id=expenses_header,row_id=savings_header)</f>
        <v>0</v>
      </c>
      <c r="F37">
        <f t="shared" si="1"/>
        <v>0</v>
      </c>
      <c r="G37" cm="1">
        <f t="array" ref="G37">1*OR(row_id=income_total,row_id=expenses_total,row_id=savings_total)</f>
        <v>1</v>
      </c>
      <c r="H37" s="73">
        <f t="shared" si="2"/>
        <v>0</v>
      </c>
      <c r="I37" s="72" t="str" cm="1">
        <f t="array" ref="I37">IFERROR(INDEX('Планування бюджету'!$C:$C,header_row_id),"")</f>
        <v>Збереження</v>
      </c>
      <c r="J37" t="str" cm="1">
        <f t="array" ref="J37">IFERROR(INDEX('Планування бюджету'!$C:$C,row_id),"")</f>
        <v>Всього</v>
      </c>
      <c r="K37" s="90" cm="1">
        <f t="array" aca="1" ref="K37" ca="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>1830</v>
      </c>
      <c r="L37" s="73" cm="1">
        <f t="array" aca="1" ref="L37" ca="1">IF(OR(is_header,is_empty),"",
 INDEX('Планування бюджету'!$E:$BG,row_id,
 MATCH(IF(selected_period="Всього за рік", selected_year,DATE(selected_year,selected_period,1)),'Планування бюджету'!$E$9:$BG$9,0) ))</f>
        <v>1650</v>
      </c>
      <c r="M37" s="72" t="str" cm="1">
        <f t="array" ref="M37">IF(is_cat,
    IF(header_row_id=income_header_row,MATCH(income_min,$C:$C,0),
     IF(header_row_id=expenses_header,MATCH(expenses_min,$C:$C,0),
      IF(header_row_id=savings_header,MATCH(savings_min,$C:$C,0),""))),"")</f>
        <v/>
      </c>
      <c r="N37" s="73" t="str" cm="1">
        <f t="array" ref="N37">IF(is_cat,
    IF(header_row_id=income_header_row,MATCH(income_max,$C:$C,0),
     IF(header_row_id=expenses_header,MATCH(expenses_max,$C:$C,0),
      IF(header_row_id=savings_header,MATCH(savings_max,$C:$C,0),""))),"")</f>
        <v/>
      </c>
      <c r="O37" t="str">
        <f t="shared" si="3"/>
        <v/>
      </c>
      <c r="P37" t="str">
        <f t="shared" ca="1" si="4"/>
        <v/>
      </c>
      <c r="Q37" t="str">
        <f t="shared" si="5"/>
        <v/>
      </c>
      <c r="R37" s="73" t="str">
        <f t="shared" ca="1" si="6"/>
        <v/>
      </c>
      <c r="S37" s="72" t="str">
        <f t="shared" si="7"/>
        <v/>
      </c>
      <c r="T37" t="str">
        <f t="shared" si="8"/>
        <v/>
      </c>
      <c r="U37" t="str">
        <f t="shared" ca="1" si="9"/>
        <v/>
      </c>
      <c r="V37" t="str">
        <f t="shared" si="10"/>
        <v/>
      </c>
      <c r="W37" s="73" t="str">
        <f t="shared" ca="1" si="11"/>
        <v/>
      </c>
      <c r="X37" s="102">
        <f t="shared" si="12"/>
        <v>51</v>
      </c>
      <c r="Y37" t="str">
        <f t="shared" ca="1" si="13"/>
        <v>Всього</v>
      </c>
      <c r="Z37" s="104">
        <f t="shared" ca="1" si="14"/>
        <v>1830</v>
      </c>
      <c r="AA37" s="104">
        <f t="shared" ca="1" si="15"/>
        <v>1650</v>
      </c>
      <c r="AB37" s="105">
        <f t="shared" ca="1" si="16"/>
        <v>1.1090909090909091</v>
      </c>
      <c r="AC37" s="104">
        <f t="shared" ca="1" si="17"/>
        <v>0</v>
      </c>
      <c r="AD37" s="104">
        <f t="shared" ca="1" si="18"/>
        <v>-180</v>
      </c>
      <c r="AF37" s="110"/>
      <c r="AG37" s="111"/>
      <c r="AH37" s="111"/>
      <c r="AI37" s="111"/>
      <c r="AJ37" s="111"/>
      <c r="AK37" s="112"/>
      <c r="AM37" s="110"/>
      <c r="AN37" s="111"/>
      <c r="AO37" s="111"/>
      <c r="AP37" s="111"/>
      <c r="AQ37" s="111"/>
      <c r="AR37" s="112"/>
    </row>
    <row r="38" spans="3:44" x14ac:dyDescent="0.3">
      <c r="C38" s="72" cm="1">
        <f t="array" ref="C38">IF(C37=-1,-1,
   IF(C37&lt;income_max,C37+1,
    IF(C37=income_max,income_total,
     IF(C37=income_total,"/1",
      IF(C37="/1",expenses_header,
       IF(C37&lt;expenses_max,C37+1,
        IF(C37=expenses_max,expenses_total,
         IF(C37=expenses_total,"/2",
          IF(C37="/2",savings_header,
           IF(C37&lt;savings_max,C37+1,
            IF(C37=savings_max,savings_total,-1
)))))))))))</f>
        <v>-1</v>
      </c>
      <c r="D38" s="73">
        <f t="shared" si="0"/>
        <v>-1</v>
      </c>
      <c r="E38" s="72" cm="1">
        <f t="array" ref="E38">1*OR(row_id=income_header_row,row_id=expenses_header,row_id=savings_header)</f>
        <v>0</v>
      </c>
      <c r="F38">
        <f t="shared" si="1"/>
        <v>0</v>
      </c>
      <c r="G38" cm="1">
        <f t="array" ref="G38">1*OR(row_id=income_total,row_id=expenses_total,row_id=savings_total)</f>
        <v>0</v>
      </c>
      <c r="H38" s="73">
        <f t="shared" si="2"/>
        <v>1</v>
      </c>
      <c r="I38" s="72" t="str" cm="1">
        <f t="array" ref="I38">IFERROR(INDEX('Планування бюджету'!$C:$C,header_row_id),"")</f>
        <v/>
      </c>
      <c r="J38" t="str" cm="1">
        <f t="array" ref="J38">IFERROR(INDEX('Планування бюджету'!$C:$C,row_id),"")</f>
        <v/>
      </c>
      <c r="K38" s="90" t="str" cm="1">
        <f t="array" ref="K38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38" s="73" t="str" cm="1">
        <f t="array" ref="L38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38" s="72" t="str" cm="1">
        <f t="array" ref="M38">IF(is_cat,
    IF(header_row_id=income_header_row,MATCH(income_min,$C:$C,0),
     IF(header_row_id=expenses_header,MATCH(expenses_min,$C:$C,0),
      IF(header_row_id=savings_header,MATCH(savings_min,$C:$C,0),""))),"")</f>
        <v/>
      </c>
      <c r="N38" s="73" t="str" cm="1">
        <f t="array" ref="N38">IF(is_cat,
    IF(header_row_id=income_header_row,MATCH(income_max,$C:$C,0),
     IF(header_row_id=expenses_header,MATCH(expenses_max,$C:$C,0),
      IF(header_row_id=savings_header,MATCH(savings_max,$C:$C,0),""))),"")</f>
        <v/>
      </c>
      <c r="O38" t="str">
        <f t="shared" si="3"/>
        <v/>
      </c>
      <c r="P38" t="str">
        <f t="shared" ca="1" si="4"/>
        <v/>
      </c>
      <c r="Q38" t="str">
        <f t="shared" si="5"/>
        <v/>
      </c>
      <c r="R38" s="73" t="str">
        <f t="shared" ca="1" si="6"/>
        <v/>
      </c>
      <c r="S38" s="72" t="str">
        <f t="shared" si="7"/>
        <v/>
      </c>
      <c r="T38" t="str">
        <f t="shared" si="8"/>
        <v/>
      </c>
      <c r="U38" t="str">
        <f t="shared" ca="1" si="9"/>
        <v/>
      </c>
      <c r="V38" t="str">
        <f t="shared" si="10"/>
        <v/>
      </c>
      <c r="W38" s="73" t="str">
        <f t="shared" ca="1" si="11"/>
        <v/>
      </c>
      <c r="X38" s="102">
        <f t="shared" si="12"/>
        <v>-1</v>
      </c>
      <c r="Y38" t="str">
        <f t="shared" si="13"/>
        <v/>
      </c>
      <c r="Z38" s="100" t="str">
        <f t="shared" si="14"/>
        <v/>
      </c>
      <c r="AA38" s="100" t="str">
        <f t="shared" si="15"/>
        <v/>
      </c>
      <c r="AB38" s="105" t="str">
        <f t="shared" si="16"/>
        <v/>
      </c>
      <c r="AC38" s="100" t="str">
        <f t="shared" si="17"/>
        <v/>
      </c>
      <c r="AD38" s="100" t="str">
        <f t="shared" si="18"/>
        <v/>
      </c>
    </row>
    <row r="39" spans="3:44" x14ac:dyDescent="0.3">
      <c r="C39" s="72" cm="1">
        <f t="array" ref="C39">IF(C38=-1,-1,
   IF(C38&lt;income_max,C38+1,
    IF(C38=income_max,income_total,
     IF(C38=income_total,"/1",
      IF(C38="/1",expenses_header,
       IF(C38&lt;expenses_max,C38+1,
        IF(C38=expenses_max,expenses_total,
         IF(C38=expenses_total,"/2",
          IF(C38="/2",savings_header,
           IF(C38&lt;savings_max,C38+1,
            IF(C38=savings_max,savings_total,-1
)))))))))))</f>
        <v>-1</v>
      </c>
      <c r="D39" s="73">
        <f t="shared" si="0"/>
        <v>-1</v>
      </c>
      <c r="E39" s="72" cm="1">
        <f t="array" ref="E39">1*OR(row_id=income_header_row,row_id=expenses_header,row_id=savings_header)</f>
        <v>0</v>
      </c>
      <c r="F39">
        <f t="shared" si="1"/>
        <v>0</v>
      </c>
      <c r="G39" cm="1">
        <f t="array" ref="G39">1*OR(row_id=income_total,row_id=expenses_total,row_id=savings_total)</f>
        <v>0</v>
      </c>
      <c r="H39" s="73">
        <f t="shared" si="2"/>
        <v>1</v>
      </c>
      <c r="I39" s="72" t="str" cm="1">
        <f t="array" ref="I39">IFERROR(INDEX('Планування бюджету'!$C:$C,header_row_id),"")</f>
        <v/>
      </c>
      <c r="J39" t="str" cm="1">
        <f t="array" ref="J39">IFERROR(INDEX('Планування бюджету'!$C:$C,row_id),"")</f>
        <v/>
      </c>
      <c r="K39" s="90" t="str" cm="1">
        <f t="array" ref="K39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39" s="73" t="str" cm="1">
        <f t="array" ref="L39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39" s="72" t="str" cm="1">
        <f t="array" ref="M39">IF(is_cat,
    IF(header_row_id=income_header_row,MATCH(income_min,$C:$C,0),
     IF(header_row_id=expenses_header,MATCH(expenses_min,$C:$C,0),
      IF(header_row_id=savings_header,MATCH(savings_min,$C:$C,0),""))),"")</f>
        <v/>
      </c>
      <c r="N39" s="73" t="str" cm="1">
        <f t="array" ref="N39">IF(is_cat,
    IF(header_row_id=income_header_row,MATCH(income_max,$C:$C,0),
     IF(header_row_id=expenses_header,MATCH(expenses_max,$C:$C,0),
      IF(header_row_id=savings_header,MATCH(savings_max,$C:$C,0),""))),"")</f>
        <v/>
      </c>
      <c r="O39" t="str">
        <f t="shared" si="3"/>
        <v/>
      </c>
      <c r="P39" t="str">
        <f t="shared" ca="1" si="4"/>
        <v/>
      </c>
      <c r="Q39" t="str">
        <f t="shared" si="5"/>
        <v/>
      </c>
      <c r="R39" s="73" t="str">
        <f t="shared" ca="1" si="6"/>
        <v/>
      </c>
      <c r="S39" s="72" t="str">
        <f t="shared" si="7"/>
        <v/>
      </c>
      <c r="T39" t="str">
        <f t="shared" si="8"/>
        <v/>
      </c>
      <c r="U39" t="str">
        <f t="shared" ca="1" si="9"/>
        <v/>
      </c>
      <c r="V39" t="str">
        <f t="shared" si="10"/>
        <v/>
      </c>
      <c r="W39" s="73" t="str">
        <f t="shared" ca="1" si="11"/>
        <v/>
      </c>
      <c r="X39" s="102">
        <f t="shared" si="12"/>
        <v>-1</v>
      </c>
      <c r="Y39" t="str">
        <f t="shared" si="13"/>
        <v/>
      </c>
      <c r="Z39" s="100" t="str">
        <f t="shared" si="14"/>
        <v/>
      </c>
      <c r="AA39" s="100" t="str">
        <f t="shared" si="15"/>
        <v/>
      </c>
      <c r="AB39" s="105" t="str">
        <f t="shared" si="16"/>
        <v/>
      </c>
      <c r="AC39" s="100" t="str">
        <f t="shared" si="17"/>
        <v/>
      </c>
      <c r="AD39" s="100" t="str">
        <f t="shared" si="18"/>
        <v/>
      </c>
    </row>
    <row r="40" spans="3:44" x14ac:dyDescent="0.3">
      <c r="C40" s="72" cm="1">
        <f t="array" ref="C40">IF(C39=-1,-1,
   IF(C39&lt;income_max,C39+1,
    IF(C39=income_max,income_total,
     IF(C39=income_total,"/1",
      IF(C39="/1",expenses_header,
       IF(C39&lt;expenses_max,C39+1,
        IF(C39=expenses_max,expenses_total,
         IF(C39=expenses_total,"/2",
          IF(C39="/2",savings_header,
           IF(C39&lt;savings_max,C39+1,
            IF(C39=savings_max,savings_total,-1
)))))))))))</f>
        <v>-1</v>
      </c>
      <c r="D40" s="73">
        <f t="shared" si="0"/>
        <v>-1</v>
      </c>
      <c r="E40" s="72" cm="1">
        <f t="array" ref="E40">1*OR(row_id=income_header_row,row_id=expenses_header,row_id=savings_header)</f>
        <v>0</v>
      </c>
      <c r="F40">
        <f t="shared" si="1"/>
        <v>0</v>
      </c>
      <c r="G40" cm="1">
        <f t="array" ref="G40">1*OR(row_id=income_total,row_id=expenses_total,row_id=savings_total)</f>
        <v>0</v>
      </c>
      <c r="H40" s="73">
        <f t="shared" si="2"/>
        <v>1</v>
      </c>
      <c r="I40" s="72" t="str" cm="1">
        <f t="array" ref="I40">IFERROR(INDEX('Планування бюджету'!$C:$C,header_row_id),"")</f>
        <v/>
      </c>
      <c r="K40" s="90" t="str" cm="1">
        <f t="array" ref="K40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0" s="73" t="str" cm="1">
        <f t="array" ref="L40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0" s="72" t="str" cm="1">
        <f t="array" ref="M40">IF(is_cat,
    IF(header_row_id=income_header_row,MATCH(income_min,$C:$C,0),
     IF(header_row_id=expenses_header,MATCH(expenses_min,$C:$C,0),
      IF(header_row_id=savings_header,MATCH(savings_min,$C:$C,0),""))),"")</f>
        <v/>
      </c>
      <c r="N40" s="73" t="str" cm="1">
        <f t="array" ref="N40">IF(is_cat,
    IF(header_row_id=income_header_row,MATCH(income_max,$C:$C,0),
     IF(header_row_id=expenses_header,MATCH(expenses_max,$C:$C,0),
      IF(header_row_id=savings_header,MATCH(savings_max,$C:$C,0),""))),"")</f>
        <v/>
      </c>
      <c r="O40" t="str">
        <f t="shared" si="3"/>
        <v/>
      </c>
      <c r="P40" t="str">
        <f t="shared" ca="1" si="4"/>
        <v/>
      </c>
      <c r="Q40" t="str">
        <f t="shared" si="5"/>
        <v/>
      </c>
      <c r="R40" s="73" t="str">
        <f t="shared" ca="1" si="6"/>
        <v/>
      </c>
      <c r="S40" s="72" t="str">
        <f t="shared" si="7"/>
        <v/>
      </c>
      <c r="T40" t="str">
        <f t="shared" si="8"/>
        <v/>
      </c>
      <c r="U40" t="str">
        <f t="shared" ca="1" si="9"/>
        <v/>
      </c>
      <c r="V40" t="str">
        <f t="shared" si="10"/>
        <v/>
      </c>
      <c r="W40" s="73" t="str">
        <f t="shared" ca="1" si="11"/>
        <v/>
      </c>
      <c r="X40" s="102">
        <f t="shared" si="12"/>
        <v>-1</v>
      </c>
      <c r="Y40" t="str">
        <f t="shared" si="13"/>
        <v/>
      </c>
      <c r="Z40" s="100" t="str">
        <f t="shared" si="14"/>
        <v/>
      </c>
      <c r="AA40" s="100" t="str">
        <f t="shared" si="15"/>
        <v/>
      </c>
      <c r="AB40" s="105" t="str">
        <f t="shared" si="16"/>
        <v/>
      </c>
      <c r="AC40" s="100" t="str">
        <f t="shared" si="17"/>
        <v/>
      </c>
      <c r="AD40" s="100" t="str">
        <f t="shared" si="18"/>
        <v/>
      </c>
    </row>
    <row r="41" spans="3:44" x14ac:dyDescent="0.3">
      <c r="C41" s="72" cm="1">
        <f t="array" ref="C41">IF(C40=-1,-1,
   IF(C40&lt;income_max,C40+1,
    IF(C40=income_max,income_total,
     IF(C40=income_total,"/1",
      IF(C40="/1",expenses_header,
       IF(C40&lt;expenses_max,C40+1,
        IF(C40=expenses_max,expenses_total,
         IF(C40=expenses_total,"/2",
          IF(C40="/2",savings_header,
           IF(C40&lt;savings_max,C40+1,
            IF(C40=savings_max,savings_total,-1
)))))))))))</f>
        <v>-1</v>
      </c>
      <c r="D41" s="73">
        <f t="shared" si="0"/>
        <v>-1</v>
      </c>
      <c r="E41" s="72" cm="1">
        <f t="array" ref="E41">1*OR(row_id=income_header_row,row_id=expenses_header,row_id=savings_header)</f>
        <v>0</v>
      </c>
      <c r="F41">
        <f t="shared" si="1"/>
        <v>0</v>
      </c>
      <c r="G41" cm="1">
        <f t="array" ref="G41">1*OR(row_id=income_total,row_id=expenses_total,row_id=savings_total)</f>
        <v>0</v>
      </c>
      <c r="H41" s="73">
        <f t="shared" si="2"/>
        <v>1</v>
      </c>
      <c r="I41" s="72" t="str" cm="1">
        <f t="array" ref="I41">IFERROR(INDEX('Планування бюджету'!$C:$C,header_row_id),"")</f>
        <v/>
      </c>
      <c r="J41" t="str" cm="1">
        <f t="array" ref="J41">IFERROR(INDEX('Планування бюджету'!$C:$C,row_id),"")</f>
        <v/>
      </c>
      <c r="K41" s="90" t="str" cm="1">
        <f t="array" ref="K41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1" s="73" t="str" cm="1">
        <f t="array" ref="L41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1" s="72" t="str" cm="1">
        <f t="array" ref="M41">IF(is_cat,
    IF(header_row_id=income_header_row,MATCH(income_min,$C:$C,0),
     IF(header_row_id=expenses_header,MATCH(expenses_min,$C:$C,0),
      IF(header_row_id=savings_header,MATCH(savings_min,$C:$C,0),""))),"")</f>
        <v/>
      </c>
      <c r="N41" s="73" t="str" cm="1">
        <f t="array" ref="N41">IF(is_cat,
    IF(header_row_id=income_header_row,MATCH(income_max,$C:$C,0),
     IF(header_row_id=expenses_header,MATCH(expenses_max,$C:$C,0),
      IF(header_row_id=savings_header,MATCH(savings_max,$C:$C,0),""))),"")</f>
        <v/>
      </c>
      <c r="O41" t="str">
        <f t="shared" si="3"/>
        <v/>
      </c>
      <c r="P41" t="str">
        <f t="shared" ca="1" si="4"/>
        <v/>
      </c>
      <c r="Q41" t="str">
        <f t="shared" si="5"/>
        <v/>
      </c>
      <c r="R41" s="73" t="str">
        <f t="shared" ca="1" si="6"/>
        <v/>
      </c>
      <c r="S41" s="72" t="str">
        <f t="shared" si="7"/>
        <v/>
      </c>
      <c r="T41" t="str">
        <f t="shared" si="8"/>
        <v/>
      </c>
      <c r="U41" t="str">
        <f t="shared" ca="1" si="9"/>
        <v/>
      </c>
      <c r="V41" t="str">
        <f t="shared" si="10"/>
        <v/>
      </c>
      <c r="W41" s="73" t="str">
        <f t="shared" ca="1" si="11"/>
        <v/>
      </c>
      <c r="X41" s="102">
        <f t="shared" si="12"/>
        <v>-1</v>
      </c>
      <c r="Y41" t="str">
        <f t="shared" si="13"/>
        <v/>
      </c>
      <c r="Z41" s="100" t="str">
        <f t="shared" si="14"/>
        <v/>
      </c>
      <c r="AA41" s="100" t="str">
        <f t="shared" si="15"/>
        <v/>
      </c>
      <c r="AB41" s="105" t="str">
        <f t="shared" si="16"/>
        <v/>
      </c>
      <c r="AC41" s="100" t="str">
        <f t="shared" si="17"/>
        <v/>
      </c>
      <c r="AD41" s="100" t="str">
        <f t="shared" si="18"/>
        <v/>
      </c>
    </row>
    <row r="42" spans="3:44" x14ac:dyDescent="0.3">
      <c r="C42" s="72" cm="1">
        <f t="array" ref="C42">IF(C41=-1,-1,
   IF(C41&lt;income_max,C41+1,
    IF(C41=income_max,income_total,
     IF(C41=income_total,"/1",
      IF(C41="/1",expenses_header,
       IF(C41&lt;expenses_max,C41+1,
        IF(C41=expenses_max,expenses_total,
         IF(C41=expenses_total,"/2",
          IF(C41="/2",savings_header,
           IF(C41&lt;savings_max,C41+1,
            IF(C41=savings_max,savings_total,-1
)))))))))))</f>
        <v>-1</v>
      </c>
      <c r="D42" s="73">
        <f t="shared" si="0"/>
        <v>-1</v>
      </c>
      <c r="E42" s="72" cm="1">
        <f t="array" ref="E42">1*OR(row_id=income_header_row,row_id=expenses_header,row_id=savings_header)</f>
        <v>0</v>
      </c>
      <c r="F42">
        <f t="shared" si="1"/>
        <v>0</v>
      </c>
      <c r="G42" cm="1">
        <f t="array" ref="G42">1*OR(row_id=income_total,row_id=expenses_total,row_id=savings_total)</f>
        <v>0</v>
      </c>
      <c r="H42" s="73">
        <f t="shared" si="2"/>
        <v>1</v>
      </c>
      <c r="I42" s="72" t="str" cm="1">
        <f t="array" ref="I42">IFERROR(INDEX('Планування бюджету'!$C:$C,header_row_id),"")</f>
        <v/>
      </c>
      <c r="K42" s="90" t="str" cm="1">
        <f t="array" ref="K42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2" s="73" t="str" cm="1">
        <f t="array" ref="L42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2" s="72" t="str" cm="1">
        <f t="array" ref="M42">IF(is_cat,
    IF(header_row_id=income_header_row,MATCH(income_min,$C:$C,0),
     IF(header_row_id=expenses_header,MATCH(expenses_min,$C:$C,0),
      IF(header_row_id=savings_header,MATCH(savings_min,$C:$C,0),""))),"")</f>
        <v/>
      </c>
      <c r="N42" s="73" t="str" cm="1">
        <f t="array" ref="N42">IF(is_cat,
    IF(header_row_id=income_header_row,MATCH(income_max,$C:$C,0),
     IF(header_row_id=expenses_header,MATCH(expenses_max,$C:$C,0),
      IF(header_row_id=savings_header,MATCH(savings_max,$C:$C,0),""))),"")</f>
        <v/>
      </c>
      <c r="O42" t="str">
        <f t="shared" si="3"/>
        <v/>
      </c>
      <c r="P42" t="str">
        <f t="shared" ca="1" si="4"/>
        <v/>
      </c>
      <c r="Q42" t="str">
        <f t="shared" si="5"/>
        <v/>
      </c>
      <c r="R42" s="73" t="str">
        <f t="shared" ca="1" si="6"/>
        <v/>
      </c>
      <c r="S42" s="72" t="str">
        <f t="shared" si="7"/>
        <v/>
      </c>
      <c r="T42" t="str">
        <f t="shared" si="8"/>
        <v/>
      </c>
      <c r="U42" t="str">
        <f t="shared" ca="1" si="9"/>
        <v/>
      </c>
      <c r="V42" t="str">
        <f t="shared" si="10"/>
        <v/>
      </c>
      <c r="W42" s="73" t="str">
        <f t="shared" ca="1" si="11"/>
        <v/>
      </c>
      <c r="X42" s="102">
        <f t="shared" si="12"/>
        <v>-1</v>
      </c>
      <c r="Y42" t="str">
        <f t="shared" si="13"/>
        <v/>
      </c>
      <c r="Z42" s="100" t="str">
        <f t="shared" si="14"/>
        <v/>
      </c>
      <c r="AA42" s="100" t="str">
        <f t="shared" si="15"/>
        <v/>
      </c>
      <c r="AB42" s="105" t="str">
        <f t="shared" si="16"/>
        <v/>
      </c>
      <c r="AC42" s="100" t="str">
        <f t="shared" si="17"/>
        <v/>
      </c>
      <c r="AD42" s="100" t="str">
        <f t="shared" si="18"/>
        <v/>
      </c>
    </row>
    <row r="43" spans="3:44" x14ac:dyDescent="0.3">
      <c r="C43" s="72" cm="1">
        <f t="array" ref="C43">IF(C42=-1,-1,
   IF(C42&lt;income_max,C42+1,
    IF(C42=income_max,income_total,
     IF(C42=income_total,"/1",
      IF(C42="/1",expenses_header,
       IF(C42&lt;expenses_max,C42+1,
        IF(C42=expenses_max,expenses_total,
         IF(C42=expenses_total,"/2",
          IF(C42="/2",savings_header,
           IF(C42&lt;savings_max,C42+1,
            IF(C42=savings_max,savings_total,-1
)))))))))))</f>
        <v>-1</v>
      </c>
      <c r="D43" s="73">
        <f t="shared" si="0"/>
        <v>-1</v>
      </c>
      <c r="E43" s="72" cm="1">
        <f t="array" ref="E43">1*OR(row_id=income_header_row,row_id=expenses_header,row_id=savings_header)</f>
        <v>0</v>
      </c>
      <c r="F43">
        <f t="shared" si="1"/>
        <v>0</v>
      </c>
      <c r="G43" cm="1">
        <f t="array" ref="G43">1*OR(row_id=income_total,row_id=expenses_total,row_id=savings_total)</f>
        <v>0</v>
      </c>
      <c r="H43" s="73">
        <f t="shared" si="2"/>
        <v>1</v>
      </c>
      <c r="I43" s="72" t="str" cm="1">
        <f t="array" ref="I43">IFERROR(INDEX('Планування бюджету'!$C:$C,header_row_id),"")</f>
        <v/>
      </c>
      <c r="J43" t="str" cm="1">
        <f t="array" ref="J43">IFERROR(INDEX('Планування бюджету'!$C:$C,row_id),"")</f>
        <v/>
      </c>
      <c r="K43" s="90" t="str" cm="1">
        <f t="array" ref="K43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3" s="73" t="str" cm="1">
        <f t="array" ref="L43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3" s="72" t="str" cm="1">
        <f t="array" ref="M43">IF(is_cat,
    IF(header_row_id=income_header_row,MATCH(income_min,$C:$C,0),
     IF(header_row_id=expenses_header,MATCH(expenses_min,$C:$C,0),
      IF(header_row_id=savings_header,MATCH(savings_min,$C:$C,0),""))),"")</f>
        <v/>
      </c>
      <c r="N43" s="73" t="str" cm="1">
        <f t="array" ref="N43">IF(is_cat,
    IF(header_row_id=income_header_row,MATCH(income_max,$C:$C,0),
     IF(header_row_id=expenses_header,MATCH(expenses_max,$C:$C,0),
      IF(header_row_id=savings_header,MATCH(savings_max,$C:$C,0),""))),"")</f>
        <v/>
      </c>
      <c r="O43" t="str">
        <f t="shared" si="3"/>
        <v/>
      </c>
      <c r="P43" t="str">
        <f t="shared" ca="1" si="4"/>
        <v/>
      </c>
      <c r="Q43" t="str">
        <f t="shared" si="5"/>
        <v/>
      </c>
      <c r="R43" s="73" t="str">
        <f t="shared" ca="1" si="6"/>
        <v/>
      </c>
      <c r="S43" s="72" t="str">
        <f t="shared" si="7"/>
        <v/>
      </c>
      <c r="T43" t="str">
        <f t="shared" si="8"/>
        <v/>
      </c>
      <c r="U43" t="str">
        <f t="shared" ca="1" si="9"/>
        <v/>
      </c>
      <c r="V43" t="str">
        <f t="shared" si="10"/>
        <v/>
      </c>
      <c r="W43" s="73" t="str">
        <f t="shared" ca="1" si="11"/>
        <v/>
      </c>
      <c r="X43" s="102">
        <f t="shared" si="12"/>
        <v>-1</v>
      </c>
      <c r="Y43" t="str">
        <f t="shared" si="13"/>
        <v/>
      </c>
      <c r="Z43" s="100" t="str">
        <f t="shared" si="14"/>
        <v/>
      </c>
      <c r="AA43" s="100" t="str">
        <f t="shared" si="15"/>
        <v/>
      </c>
      <c r="AB43" s="105" t="str">
        <f t="shared" si="16"/>
        <v/>
      </c>
      <c r="AC43" s="100" t="str">
        <f t="shared" si="17"/>
        <v/>
      </c>
      <c r="AD43" s="100" t="str">
        <f t="shared" si="18"/>
        <v/>
      </c>
    </row>
    <row r="44" spans="3:44" x14ac:dyDescent="0.3">
      <c r="C44" s="72" cm="1">
        <f t="array" ref="C44">IF(C43=-1,-1,
   IF(C43&lt;income_max,C43+1,
    IF(C43=income_max,income_total,
     IF(C43=income_total,"/1",
      IF(C43="/1",expenses_header,
       IF(C43&lt;expenses_max,C43+1,
        IF(C43=expenses_max,expenses_total,
         IF(C43=expenses_total,"/2",
          IF(C43="/2",savings_header,
           IF(C43&lt;savings_max,C43+1,
            IF(C43=savings_max,savings_total,-1
)))))))))))</f>
        <v>-1</v>
      </c>
      <c r="D44" s="73">
        <f t="shared" si="0"/>
        <v>-1</v>
      </c>
      <c r="E44" s="72" cm="1">
        <f t="array" ref="E44">1*OR(row_id=income_header_row,row_id=expenses_header,row_id=savings_header)</f>
        <v>0</v>
      </c>
      <c r="F44">
        <f t="shared" si="1"/>
        <v>0</v>
      </c>
      <c r="G44" cm="1">
        <f t="array" ref="G44">1*OR(row_id=income_total,row_id=expenses_total,row_id=savings_total)</f>
        <v>0</v>
      </c>
      <c r="H44" s="73">
        <f t="shared" si="2"/>
        <v>1</v>
      </c>
      <c r="I44" s="72" t="str" cm="1">
        <f t="array" ref="I44">IFERROR(INDEX('Планування бюджету'!$C:$C,header_row_id),"")</f>
        <v/>
      </c>
      <c r="K44" s="90" t="str" cm="1">
        <f t="array" ref="K44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4" s="73" t="str" cm="1">
        <f t="array" ref="L44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4" s="72" t="str" cm="1">
        <f t="array" ref="M44">IF(is_cat,
    IF(header_row_id=income_header_row,MATCH(income_min,$C:$C,0),
     IF(header_row_id=expenses_header,MATCH(expenses_min,$C:$C,0),
      IF(header_row_id=savings_header,MATCH(savings_min,$C:$C,0),""))),"")</f>
        <v/>
      </c>
      <c r="N44" s="73" t="str" cm="1">
        <f t="array" ref="N44">IF(is_cat,
    IF(header_row_id=income_header_row,MATCH(income_max,$C:$C,0),
     IF(header_row_id=expenses_header,MATCH(expenses_max,$C:$C,0),
      IF(header_row_id=savings_header,MATCH(savings_max,$C:$C,0),""))),"")</f>
        <v/>
      </c>
      <c r="O44" t="str">
        <f t="shared" si="3"/>
        <v/>
      </c>
      <c r="P44" t="str">
        <f t="shared" ca="1" si="4"/>
        <v/>
      </c>
      <c r="Q44" t="str">
        <f t="shared" si="5"/>
        <v/>
      </c>
      <c r="R44" s="73" t="str">
        <f t="shared" ca="1" si="6"/>
        <v/>
      </c>
      <c r="S44" s="72" t="str">
        <f t="shared" si="7"/>
        <v/>
      </c>
      <c r="T44" t="str">
        <f t="shared" si="8"/>
        <v/>
      </c>
      <c r="U44" t="str">
        <f t="shared" ca="1" si="9"/>
        <v/>
      </c>
      <c r="V44" t="str">
        <f t="shared" si="10"/>
        <v/>
      </c>
      <c r="W44" s="73" t="str">
        <f t="shared" ca="1" si="11"/>
        <v/>
      </c>
      <c r="X44" s="102">
        <f t="shared" si="12"/>
        <v>-1</v>
      </c>
      <c r="Y44" t="str">
        <f t="shared" si="13"/>
        <v/>
      </c>
      <c r="Z44" s="100" t="str">
        <f t="shared" si="14"/>
        <v/>
      </c>
      <c r="AA44" s="100" t="str">
        <f t="shared" si="15"/>
        <v/>
      </c>
      <c r="AB44" s="105" t="str">
        <f t="shared" si="16"/>
        <v/>
      </c>
      <c r="AC44" s="100" t="str">
        <f t="shared" si="17"/>
        <v/>
      </c>
      <c r="AD44" s="100" t="str">
        <f t="shared" si="18"/>
        <v/>
      </c>
    </row>
    <row r="45" spans="3:44" x14ac:dyDescent="0.3">
      <c r="C45" s="72" cm="1">
        <f t="array" ref="C45">IF(C44=-1,-1,
   IF(C44&lt;income_max,C44+1,
    IF(C44=income_max,income_total,
     IF(C44=income_total,"/1",
      IF(C44="/1",expenses_header,
       IF(C44&lt;expenses_max,C44+1,
        IF(C44=expenses_max,expenses_total,
         IF(C44=expenses_total,"/2",
          IF(C44="/2",savings_header,
           IF(C44&lt;savings_max,C44+1,
            IF(C44=savings_max,savings_total,-1
)))))))))))</f>
        <v>-1</v>
      </c>
      <c r="D45" s="73">
        <f t="shared" si="0"/>
        <v>-1</v>
      </c>
      <c r="E45" s="72" cm="1">
        <f t="array" ref="E45">1*OR(row_id=income_header_row,row_id=expenses_header,row_id=savings_header)</f>
        <v>0</v>
      </c>
      <c r="F45">
        <f t="shared" si="1"/>
        <v>0</v>
      </c>
      <c r="G45" cm="1">
        <f t="array" ref="G45">1*OR(row_id=income_total,row_id=expenses_total,row_id=savings_total)</f>
        <v>0</v>
      </c>
      <c r="H45" s="73">
        <f t="shared" si="2"/>
        <v>1</v>
      </c>
      <c r="I45" s="72" t="str" cm="1">
        <f t="array" ref="I45">IFERROR(INDEX('Планування бюджету'!$C:$C,header_row_id),"")</f>
        <v/>
      </c>
      <c r="J45" t="str" cm="1">
        <f t="array" ref="J45">IFERROR(INDEX('Планування бюджету'!$C:$C,row_id),"")</f>
        <v/>
      </c>
      <c r="K45" s="90" t="str" cm="1">
        <f t="array" ref="K45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5" s="73" t="str" cm="1">
        <f t="array" ref="L45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5" s="72" t="str" cm="1">
        <f t="array" ref="M45">IF(is_cat,
    IF(header_row_id=income_header_row,MATCH(income_min,$C:$C,0),
     IF(header_row_id=expenses_header,MATCH(expenses_min,$C:$C,0),
      IF(header_row_id=savings_header,MATCH(savings_min,$C:$C,0),""))),"")</f>
        <v/>
      </c>
      <c r="N45" s="73" t="str" cm="1">
        <f t="array" ref="N45">IF(is_cat,
    IF(header_row_id=income_header_row,MATCH(income_max,$C:$C,0),
     IF(header_row_id=expenses_header,MATCH(expenses_max,$C:$C,0),
      IF(header_row_id=savings_header,MATCH(savings_max,$C:$C,0),""))),"")</f>
        <v/>
      </c>
      <c r="O45" t="str">
        <f t="shared" si="3"/>
        <v/>
      </c>
      <c r="P45" t="str">
        <f t="shared" ca="1" si="4"/>
        <v/>
      </c>
      <c r="Q45" t="str">
        <f t="shared" si="5"/>
        <v/>
      </c>
      <c r="R45" s="73" t="str">
        <f t="shared" ca="1" si="6"/>
        <v/>
      </c>
      <c r="S45" s="72" t="str">
        <f t="shared" si="7"/>
        <v/>
      </c>
      <c r="T45" t="str">
        <f t="shared" si="8"/>
        <v/>
      </c>
      <c r="U45" t="str">
        <f t="shared" ca="1" si="9"/>
        <v/>
      </c>
      <c r="V45" t="str">
        <f t="shared" si="10"/>
        <v/>
      </c>
      <c r="W45" s="73" t="str">
        <f t="shared" ca="1" si="11"/>
        <v/>
      </c>
      <c r="X45" s="102">
        <f t="shared" si="12"/>
        <v>-1</v>
      </c>
      <c r="Y45" t="str">
        <f t="shared" si="13"/>
        <v/>
      </c>
      <c r="Z45" s="100" t="str">
        <f t="shared" si="14"/>
        <v/>
      </c>
      <c r="AA45" s="100" t="str">
        <f t="shared" si="15"/>
        <v/>
      </c>
      <c r="AB45" s="105" t="str">
        <f t="shared" si="16"/>
        <v/>
      </c>
      <c r="AC45" s="100" t="str">
        <f t="shared" si="17"/>
        <v/>
      </c>
      <c r="AD45" s="100" t="str">
        <f t="shared" si="18"/>
        <v/>
      </c>
    </row>
    <row r="46" spans="3:44" x14ac:dyDescent="0.3">
      <c r="C46" s="72" cm="1">
        <f t="array" ref="C46">IF(C45=-1,-1,
   IF(C45&lt;income_max,C45+1,
    IF(C45=income_max,income_total,
     IF(C45=income_total,"/1",
      IF(C45="/1",expenses_header,
       IF(C45&lt;expenses_max,C45+1,
        IF(C45=expenses_max,expenses_total,
         IF(C45=expenses_total,"/2",
          IF(C45="/2",savings_header,
           IF(C45&lt;savings_max,C45+1,
            IF(C45=savings_max,savings_total,-1
)))))))))))</f>
        <v>-1</v>
      </c>
      <c r="D46" s="73">
        <f t="shared" si="0"/>
        <v>-1</v>
      </c>
      <c r="E46" s="72" cm="1">
        <f t="array" ref="E46">1*OR(row_id=income_header_row,row_id=expenses_header,row_id=savings_header)</f>
        <v>0</v>
      </c>
      <c r="F46">
        <f t="shared" si="1"/>
        <v>0</v>
      </c>
      <c r="G46" cm="1">
        <f t="array" ref="G46">1*OR(row_id=income_total,row_id=expenses_total,row_id=savings_total)</f>
        <v>0</v>
      </c>
      <c r="H46" s="73">
        <f t="shared" si="2"/>
        <v>1</v>
      </c>
      <c r="I46" s="72" t="str" cm="1">
        <f t="array" ref="I46">IFERROR(INDEX('Планування бюджету'!$C:$C,header_row_id),"")</f>
        <v/>
      </c>
      <c r="K46" s="90" t="str" cm="1">
        <f t="array" ref="K46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6" s="73" t="str" cm="1">
        <f t="array" ref="L46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6" s="72" t="str" cm="1">
        <f t="array" ref="M46">IF(is_cat,
    IF(header_row_id=income_header_row,MATCH(income_min,$C:$C,0),
     IF(header_row_id=expenses_header,MATCH(expenses_min,$C:$C,0),
      IF(header_row_id=savings_header,MATCH(savings_min,$C:$C,0),""))),"")</f>
        <v/>
      </c>
      <c r="N46" s="73" t="str" cm="1">
        <f t="array" ref="N46">IF(is_cat,
    IF(header_row_id=income_header_row,MATCH(income_max,$C:$C,0),
     IF(header_row_id=expenses_header,MATCH(expenses_max,$C:$C,0),
      IF(header_row_id=savings_header,MATCH(savings_max,$C:$C,0),""))),"")</f>
        <v/>
      </c>
      <c r="O46" t="str">
        <f t="shared" si="3"/>
        <v/>
      </c>
      <c r="P46" t="str">
        <f t="shared" ca="1" si="4"/>
        <v/>
      </c>
      <c r="Q46" t="str">
        <f t="shared" si="5"/>
        <v/>
      </c>
      <c r="R46" s="73" t="str">
        <f t="shared" ca="1" si="6"/>
        <v/>
      </c>
      <c r="S46" s="72" t="str">
        <f t="shared" si="7"/>
        <v/>
      </c>
      <c r="T46" t="str">
        <f t="shared" si="8"/>
        <v/>
      </c>
      <c r="U46" t="str">
        <f t="shared" ca="1" si="9"/>
        <v/>
      </c>
      <c r="V46" t="str">
        <f t="shared" si="10"/>
        <v/>
      </c>
      <c r="W46" s="73" t="str">
        <f t="shared" ca="1" si="11"/>
        <v/>
      </c>
      <c r="X46" s="102">
        <f t="shared" si="12"/>
        <v>-1</v>
      </c>
      <c r="Y46" t="str">
        <f t="shared" si="13"/>
        <v/>
      </c>
      <c r="Z46" s="100" t="str">
        <f t="shared" si="14"/>
        <v/>
      </c>
      <c r="AA46" s="100" t="str">
        <f t="shared" si="15"/>
        <v/>
      </c>
      <c r="AB46" s="105" t="str">
        <f t="shared" si="16"/>
        <v/>
      </c>
      <c r="AC46" s="100" t="str">
        <f t="shared" si="17"/>
        <v/>
      </c>
      <c r="AD46" s="100" t="str">
        <f t="shared" si="18"/>
        <v/>
      </c>
    </row>
    <row r="47" spans="3:44" x14ac:dyDescent="0.3">
      <c r="C47" s="72" cm="1">
        <f t="array" ref="C47">IF(C46=-1,-1,
   IF(C46&lt;income_max,C46+1,
    IF(C46=income_max,income_total,
     IF(C46=income_total,"/1",
      IF(C46="/1",expenses_header,
       IF(C46&lt;expenses_max,C46+1,
        IF(C46=expenses_max,expenses_total,
         IF(C46=expenses_total,"/2",
          IF(C46="/2",savings_header,
           IF(C46&lt;savings_max,C46+1,
            IF(C46=savings_max,savings_total,-1
)))))))))))</f>
        <v>-1</v>
      </c>
      <c r="D47" s="73">
        <f t="shared" si="0"/>
        <v>-1</v>
      </c>
      <c r="E47" s="72" cm="1">
        <f t="array" ref="E47">1*OR(row_id=income_header_row,row_id=expenses_header,row_id=savings_header)</f>
        <v>0</v>
      </c>
      <c r="F47">
        <f t="shared" si="1"/>
        <v>0</v>
      </c>
      <c r="G47" cm="1">
        <f t="array" ref="G47">1*OR(row_id=income_total,row_id=expenses_total,row_id=savings_total)</f>
        <v>0</v>
      </c>
      <c r="H47" s="73">
        <f t="shared" si="2"/>
        <v>1</v>
      </c>
      <c r="I47" s="72" t="str" cm="1">
        <f t="array" ref="I47">IFERROR(INDEX('Планування бюджету'!$C:$C,header_row_id),"")</f>
        <v/>
      </c>
      <c r="J47" t="str" cm="1">
        <f t="array" ref="J47">IFERROR(INDEX('Планування бюджету'!$C:$C,row_id),"")</f>
        <v/>
      </c>
      <c r="K47" s="90" t="str" cm="1">
        <f t="array" ref="K47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7" s="73" t="str" cm="1">
        <f t="array" ref="L47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7" s="72" t="str" cm="1">
        <f t="array" ref="M47">IF(is_cat,
    IF(header_row_id=income_header_row,MATCH(income_min,$C:$C,0),
     IF(header_row_id=expenses_header,MATCH(expenses_min,$C:$C,0),
      IF(header_row_id=savings_header,MATCH(savings_min,$C:$C,0),""))),"")</f>
        <v/>
      </c>
      <c r="N47" s="73" t="str" cm="1">
        <f t="array" ref="N47">IF(is_cat,
    IF(header_row_id=income_header_row,MATCH(income_max,$C:$C,0),
     IF(header_row_id=expenses_header,MATCH(expenses_max,$C:$C,0),
      IF(header_row_id=savings_header,MATCH(savings_max,$C:$C,0),""))),"")</f>
        <v/>
      </c>
      <c r="O47" t="str">
        <f t="shared" si="3"/>
        <v/>
      </c>
      <c r="P47" t="str">
        <f t="shared" ca="1" si="4"/>
        <v/>
      </c>
      <c r="Q47" t="str">
        <f t="shared" si="5"/>
        <v/>
      </c>
      <c r="R47" s="73" t="str">
        <f t="shared" ca="1" si="6"/>
        <v/>
      </c>
      <c r="S47" s="72" t="str">
        <f t="shared" si="7"/>
        <v/>
      </c>
      <c r="T47" t="str">
        <f t="shared" si="8"/>
        <v/>
      </c>
      <c r="U47" t="str">
        <f t="shared" ca="1" si="9"/>
        <v/>
      </c>
      <c r="V47" t="str">
        <f t="shared" si="10"/>
        <v/>
      </c>
      <c r="W47" s="73" t="str">
        <f t="shared" ca="1" si="11"/>
        <v/>
      </c>
      <c r="X47" s="102">
        <f t="shared" si="12"/>
        <v>-1</v>
      </c>
      <c r="Y47" t="str">
        <f t="shared" si="13"/>
        <v/>
      </c>
      <c r="Z47" s="100" t="str">
        <f t="shared" si="14"/>
        <v/>
      </c>
      <c r="AA47" s="100" t="str">
        <f t="shared" si="15"/>
        <v/>
      </c>
      <c r="AB47" s="105" t="str">
        <f t="shared" si="16"/>
        <v/>
      </c>
      <c r="AC47" s="100" t="str">
        <f t="shared" si="17"/>
        <v/>
      </c>
      <c r="AD47" s="100" t="str">
        <f t="shared" si="18"/>
        <v/>
      </c>
    </row>
    <row r="48" spans="3:44" x14ac:dyDescent="0.3">
      <c r="C48" s="72" cm="1">
        <f t="array" ref="C48">IF(C47=-1,-1,
   IF(C47&lt;income_max,C47+1,
    IF(C47=income_max,income_total,
     IF(C47=income_total,"/1",
      IF(C47="/1",expenses_header,
       IF(C47&lt;expenses_max,C47+1,
        IF(C47=expenses_max,expenses_total,
         IF(C47=expenses_total,"/2",
          IF(C47="/2",savings_header,
           IF(C47&lt;savings_max,C47+1,
            IF(C47=savings_max,savings_total,-1
)))))))))))</f>
        <v>-1</v>
      </c>
      <c r="D48" s="73">
        <f t="shared" si="0"/>
        <v>-1</v>
      </c>
      <c r="E48" s="72" cm="1">
        <f t="array" ref="E48">1*OR(row_id=income_header_row,row_id=expenses_header,row_id=savings_header)</f>
        <v>0</v>
      </c>
      <c r="F48">
        <f t="shared" si="1"/>
        <v>0</v>
      </c>
      <c r="G48" cm="1">
        <f t="array" ref="G48">1*OR(row_id=income_total,row_id=expenses_total,row_id=savings_total)</f>
        <v>0</v>
      </c>
      <c r="H48" s="73">
        <f t="shared" si="2"/>
        <v>1</v>
      </c>
      <c r="I48" s="72" t="str" cm="1">
        <f t="array" ref="I48">IFERROR(INDEX('Планування бюджету'!$C:$C,header_row_id),"")</f>
        <v/>
      </c>
      <c r="K48" s="90" t="str" cm="1">
        <f t="array" ref="K48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8" s="73" t="str" cm="1">
        <f t="array" ref="L48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8" s="72" t="str" cm="1">
        <f t="array" ref="M48">IF(is_cat,
    IF(header_row_id=income_header_row,MATCH(income_min,$C:$C,0),
     IF(header_row_id=expenses_header,MATCH(expenses_min,$C:$C,0),
      IF(header_row_id=savings_header,MATCH(savings_min,$C:$C,0),""))),"")</f>
        <v/>
      </c>
      <c r="N48" s="73" t="str" cm="1">
        <f t="array" ref="N48">IF(is_cat,
    IF(header_row_id=income_header_row,MATCH(income_max,$C:$C,0),
     IF(header_row_id=expenses_header,MATCH(expenses_max,$C:$C,0),
      IF(header_row_id=savings_header,MATCH(savings_max,$C:$C,0),""))),"")</f>
        <v/>
      </c>
      <c r="O48" t="str">
        <f t="shared" si="3"/>
        <v/>
      </c>
      <c r="P48" t="str">
        <f t="shared" ca="1" si="4"/>
        <v/>
      </c>
      <c r="Q48" t="str">
        <f t="shared" si="5"/>
        <v/>
      </c>
      <c r="R48" s="73" t="str">
        <f t="shared" ca="1" si="6"/>
        <v/>
      </c>
      <c r="S48" s="72" t="str">
        <f t="shared" si="7"/>
        <v/>
      </c>
      <c r="T48" t="str">
        <f t="shared" si="8"/>
        <v/>
      </c>
      <c r="U48" t="str">
        <f t="shared" ca="1" si="9"/>
        <v/>
      </c>
      <c r="V48" t="str">
        <f t="shared" si="10"/>
        <v/>
      </c>
      <c r="W48" s="73" t="str">
        <f t="shared" ca="1" si="11"/>
        <v/>
      </c>
      <c r="X48" s="102">
        <f t="shared" si="12"/>
        <v>-1</v>
      </c>
      <c r="Y48" t="str">
        <f t="shared" si="13"/>
        <v/>
      </c>
      <c r="Z48" s="100" t="str">
        <f t="shared" si="14"/>
        <v/>
      </c>
      <c r="AA48" s="100" t="str">
        <f t="shared" si="15"/>
        <v/>
      </c>
      <c r="AB48" s="105" t="str">
        <f t="shared" si="16"/>
        <v/>
      </c>
      <c r="AC48" s="100" t="str">
        <f t="shared" si="17"/>
        <v/>
      </c>
      <c r="AD48" s="100" t="str">
        <f t="shared" si="18"/>
        <v/>
      </c>
    </row>
    <row r="49" spans="3:30" x14ac:dyDescent="0.3">
      <c r="C49" s="72" cm="1">
        <f t="array" ref="C49">IF(C48=-1,-1,
   IF(C48&lt;income_max,C48+1,
    IF(C48=income_max,income_total,
     IF(C48=income_total,"/1",
      IF(C48="/1",expenses_header,
       IF(C48&lt;expenses_max,C48+1,
        IF(C48=expenses_max,expenses_total,
         IF(C48=expenses_total,"/2",
          IF(C48="/2",savings_header,
           IF(C48&lt;savings_max,C48+1,
            IF(C48=savings_max,savings_total,-1
)))))))))))</f>
        <v>-1</v>
      </c>
      <c r="D49" s="73" t="b">
        <v>1</v>
      </c>
      <c r="E49" s="72" cm="1">
        <f t="array" ref="E49">1*OR(row_id=income_header_row,row_id=expenses_header,row_id=savings_header)</f>
        <v>0</v>
      </c>
      <c r="F49">
        <f t="shared" si="1"/>
        <v>0</v>
      </c>
      <c r="G49" cm="1">
        <f t="array" ref="G49">1*OR(row_id=income_total,row_id=expenses_total,row_id=savings_total)</f>
        <v>0</v>
      </c>
      <c r="H49" s="73">
        <f t="shared" si="2"/>
        <v>1</v>
      </c>
      <c r="I49" s="72" cm="1">
        <f t="array" ref="I49">IFERROR(INDEX('Планування бюджету'!$C:$C,header_row_id),"")</f>
        <v>0</v>
      </c>
      <c r="J49" t="str" cm="1">
        <f t="array" ref="J49">IFERROR(INDEX('Планування бюджету'!$C:$C,row_id),"")</f>
        <v/>
      </c>
      <c r="K49" s="90" t="str" cm="1">
        <f t="array" ref="K49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49" s="73" t="str" cm="1">
        <f t="array" ref="L49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49" s="72" t="str" cm="1">
        <f t="array" ref="M49">IF(is_cat,
    IF(header_row_id=income_header_row,MATCH(income_min,$C:$C,0),
     IF(header_row_id=expenses_header,MATCH(expenses_min,$C:$C,0),
      IF(header_row_id=savings_header,MATCH(savings_min,$C:$C,0),""))),"")</f>
        <v/>
      </c>
      <c r="N49" s="73" t="str" cm="1">
        <f t="array" ref="N49">IF(is_cat,
    IF(header_row_id=income_header_row,MATCH(income_max,$C:$C,0),
     IF(header_row_id=expenses_header,MATCH(expenses_max,$C:$C,0),
      IF(header_row_id=savings_header,MATCH(savings_max,$C:$C,0),""))),"")</f>
        <v/>
      </c>
      <c r="O49" t="str">
        <f t="shared" si="3"/>
        <v/>
      </c>
      <c r="P49" t="str">
        <f t="shared" ca="1" si="4"/>
        <v/>
      </c>
      <c r="Q49" t="str">
        <f t="shared" si="5"/>
        <v/>
      </c>
      <c r="R49" s="73" t="str">
        <f t="shared" ca="1" si="6"/>
        <v/>
      </c>
      <c r="S49" s="72" t="str">
        <f t="shared" si="7"/>
        <v/>
      </c>
      <c r="T49" t="str">
        <f t="shared" si="8"/>
        <v/>
      </c>
      <c r="U49" t="str">
        <f t="shared" ca="1" si="9"/>
        <v/>
      </c>
      <c r="V49" t="str">
        <f t="shared" si="10"/>
        <v/>
      </c>
      <c r="W49" s="73" t="str">
        <f t="shared" ca="1" si="11"/>
        <v/>
      </c>
      <c r="X49" s="102">
        <f t="shared" si="12"/>
        <v>-1</v>
      </c>
      <c r="Y49" t="str">
        <f t="shared" si="13"/>
        <v/>
      </c>
      <c r="Z49" s="100" t="str">
        <f t="shared" si="14"/>
        <v/>
      </c>
      <c r="AA49" s="100" t="str">
        <f t="shared" si="15"/>
        <v/>
      </c>
      <c r="AB49" s="105" t="str">
        <f t="shared" si="16"/>
        <v/>
      </c>
      <c r="AC49" s="100" t="str">
        <f t="shared" si="17"/>
        <v/>
      </c>
      <c r="AD49" s="100" t="str">
        <f t="shared" si="18"/>
        <v/>
      </c>
    </row>
    <row r="50" spans="3:30" x14ac:dyDescent="0.3">
      <c r="C50" s="72" cm="1">
        <f t="array" ref="C50">IF(C49=-1,-1,
   IF(C49&lt;income_max,C49+1,
    IF(C49=income_max,income_total,
     IF(C49=income_total,"/1",
      IF(C49="/1",expenses_header,
       IF(C49&lt;expenses_max,C49+1,
        IF(C49=expenses_max,expenses_total,
         IF(C49=expenses_total,"/2",
          IF(C49="/2",savings_header,
           IF(C49&lt;savings_max,C49+1,
            IF(C49=savings_max,savings_total,-1
)))))))))))</f>
        <v>-1</v>
      </c>
      <c r="D50" s="73" t="b">
        <v>1</v>
      </c>
      <c r="E50" s="72" cm="1">
        <f t="array" ref="E50">1*OR(row_id=income_header_row,row_id=expenses_header,row_id=savings_header)</f>
        <v>0</v>
      </c>
      <c r="F50">
        <f t="shared" si="1"/>
        <v>0</v>
      </c>
      <c r="G50" cm="1">
        <f t="array" ref="G50">1*OR(row_id=income_total,row_id=expenses_total,row_id=savings_total)</f>
        <v>0</v>
      </c>
      <c r="H50" s="73">
        <f t="shared" si="2"/>
        <v>1</v>
      </c>
      <c r="I50" s="72" cm="1">
        <f t="array" ref="I50">IFERROR(INDEX('Планування бюджету'!$C:$C,header_row_id),"")</f>
        <v>0</v>
      </c>
      <c r="K50" s="90" t="str" cm="1">
        <f t="array" ref="K50">IF(OR(is_header,is_empty),"",
  IF(is_total,
    IF(selected_period="Всього за рік",
       SUM(Tracking[Сума] * (Tracking[Тип]=type) * (YEAR(Tracking[Період])=selected_year) ),
       SUM(Tracking[Сума] * (Tracking[Тип]=type) * (YEAR(Tracking[Період])=selected_year) * (MONTH(Tracking[Період])=selected_period) )),
 IF(selected_period="Всього за рік",
        SUM(Tracking[Сума] * (Tracking[Тип]=type) *(Tracking[Категорія]=item) * (YEAR(Tracking[Період])=selected_year) ),
        SUM(Tracking[Сума] * (Tracking[Тип]=type) *(Tracking[Категорія]=item) * (YEAR(Tracking[Період])=selected_year) * (MONTH(Tracking[Період])=selected_period) ))
)
)</f>
        <v/>
      </c>
      <c r="L50" s="73" t="str" cm="1">
        <f t="array" ref="L50">IF(OR(is_header,is_empty),"",
 INDEX('Планування бюджету'!$E:$BG,row_id,
 MATCH(IF(selected_period="Всього за рік", selected_year,DATE(selected_year,selected_period,1)),'Планування бюджету'!$E$9:$BG$9,0) ))</f>
        <v/>
      </c>
      <c r="M50" s="72" t="str" cm="1">
        <f t="array" ref="M50">IF(is_cat,
    IF(header_row_id=income_header_row,MATCH(income_min,$C:$C,0),
     IF(header_row_id=expenses_header,MATCH(expenses_min,$C:$C,0),
      IF(header_row_id=savings_header,MATCH(savings_min,$C:$C,0),""))),"")</f>
        <v/>
      </c>
      <c r="N50" s="73" t="str" cm="1">
        <f t="array" ref="N50">IF(is_cat,
    IF(header_row_id=income_header_row,MATCH(income_max,$C:$C,0),
     IF(header_row_id=expenses_header,MATCH(expenses_max,$C:$C,0),
      IF(header_row_id=savings_header,MATCH(savings_max,$C:$C,0),""))),"")</f>
        <v/>
      </c>
      <c r="O50" t="str">
        <f t="shared" si="3"/>
        <v/>
      </c>
      <c r="P50" t="str">
        <f t="shared" ca="1" si="4"/>
        <v/>
      </c>
      <c r="Q50" t="str">
        <f t="shared" si="5"/>
        <v/>
      </c>
      <c r="R50" s="73" t="str">
        <f t="shared" ca="1" si="6"/>
        <v/>
      </c>
      <c r="S50" s="72" t="str">
        <f t="shared" si="7"/>
        <v/>
      </c>
      <c r="T50" t="str">
        <f t="shared" si="8"/>
        <v/>
      </c>
      <c r="U50" t="str">
        <f t="shared" ca="1" si="9"/>
        <v/>
      </c>
      <c r="V50" t="str">
        <f t="shared" si="10"/>
        <v/>
      </c>
      <c r="W50" s="73" t="str">
        <f t="shared" ca="1" si="11"/>
        <v/>
      </c>
      <c r="X50" s="102">
        <f t="shared" si="12"/>
        <v>-1</v>
      </c>
      <c r="Y50" t="str">
        <f t="shared" si="13"/>
        <v/>
      </c>
      <c r="Z50" s="100" t="str">
        <f t="shared" si="14"/>
        <v/>
      </c>
      <c r="AA50" s="100" t="str">
        <f t="shared" si="15"/>
        <v/>
      </c>
      <c r="AB50" s="105" t="str">
        <f t="shared" si="16"/>
        <v/>
      </c>
      <c r="AC50" s="100" t="str">
        <f t="shared" si="17"/>
        <v/>
      </c>
      <c r="AD50" s="100" t="str">
        <f t="shared" si="18"/>
        <v/>
      </c>
    </row>
    <row r="51" spans="3:30" x14ac:dyDescent="0.3">
      <c r="D51" t="b">
        <v>0</v>
      </c>
    </row>
    <row r="52" spans="3:30" x14ac:dyDescent="0.3">
      <c r="D52" t="b">
        <v>0</v>
      </c>
    </row>
  </sheetData>
  <mergeCells count="6">
    <mergeCell ref="Y11:AD11"/>
    <mergeCell ref="AF11:AR11"/>
    <mergeCell ref="AQ5:AR5"/>
    <mergeCell ref="AQ6:AR6"/>
    <mergeCell ref="AQ7:AR7"/>
    <mergeCell ref="AQ8:AR8"/>
  </mergeCells>
  <conditionalFormatting sqref="Y13:AD266">
    <cfRule type="expression" dxfId="31" priority="32" stopIfTrue="1">
      <formula>row_id=savings_header</formula>
    </cfRule>
    <cfRule type="expression" dxfId="30" priority="33" stopIfTrue="1">
      <formula>row_id=income_header_row</formula>
    </cfRule>
    <cfRule type="expression" dxfId="29" priority="34" stopIfTrue="1">
      <formula>row_id=expenses_header</formula>
    </cfRule>
  </conditionalFormatting>
  <conditionalFormatting sqref="AA31">
    <cfRule type="expression" dxfId="28" priority="39">
      <formula>is_total</formula>
    </cfRule>
  </conditionalFormatting>
  <conditionalFormatting sqref="Y13:AD37 AB14:AB50">
    <cfRule type="expression" dxfId="27" priority="35" stopIfTrue="1">
      <formula>is_total</formula>
    </cfRule>
  </conditionalFormatting>
  <conditionalFormatting sqref="AB13:AB50">
    <cfRule type="expression" dxfId="26" priority="36" stopIfTrue="1">
      <formula>AND(OR(is_cat, is_total), out_budget &gt; 0, percent_completed &gt;=1, header_row_id=savings_header)</formula>
    </cfRule>
    <cfRule type="expression" dxfId="25" priority="37" stopIfTrue="1">
      <formula>AND(OR(is_cat, is_total), out_budget &gt; 0, percent_completed &gt;=1, header_row_id=income_header_row)</formula>
    </cfRule>
    <cfRule type="expression" dxfId="24" priority="38" stopIfTrue="1">
      <formula>AND(OR(is_cat, is_total), out_budget &gt; 0, percent_completed &gt;=1, header_row_id=expenses_header)</formula>
    </cfRule>
    <cfRule type="dataBar" priority="42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{79CC81FB-64C0-48C8-9EB1-5A2993D61D67}</x14:id>
        </ext>
      </extLst>
    </cfRule>
  </conditionalFormatting>
  <conditionalFormatting sqref="AH16">
    <cfRule type="expression" dxfId="23" priority="31">
      <formula>AI16&lt;&gt;""</formula>
    </cfRule>
  </conditionalFormatting>
  <conditionalFormatting sqref="AH17">
    <cfRule type="expression" dxfId="22" priority="30">
      <formula>AI17&lt;&gt;""</formula>
    </cfRule>
  </conditionalFormatting>
  <conditionalFormatting sqref="AH18">
    <cfRule type="expression" dxfId="21" priority="29">
      <formula>AI18&lt;&gt;""</formula>
    </cfRule>
  </conditionalFormatting>
  <conditionalFormatting sqref="AH19">
    <cfRule type="expression" dxfId="20" priority="28">
      <formula>AI19&lt;&gt;""</formula>
    </cfRule>
  </conditionalFormatting>
  <conditionalFormatting sqref="AH20">
    <cfRule type="expression" dxfId="19" priority="27">
      <formula>AI20&lt;&gt;""</formula>
    </cfRule>
  </conditionalFormatting>
  <conditionalFormatting sqref="AH21">
    <cfRule type="expression" dxfId="18" priority="26">
      <formula>AI21&lt;&gt;""</formula>
    </cfRule>
  </conditionalFormatting>
  <conditionalFormatting sqref="AH29">
    <cfRule type="expression" dxfId="17" priority="25">
      <formula>AI29&lt;&gt;""</formula>
    </cfRule>
  </conditionalFormatting>
  <conditionalFormatting sqref="AH30">
    <cfRule type="expression" dxfId="16" priority="24">
      <formula>AI30&lt;&gt;""</formula>
    </cfRule>
  </conditionalFormatting>
  <conditionalFormatting sqref="AH31">
    <cfRule type="expression" dxfId="15" priority="23">
      <formula>AI31&lt;&gt;""</formula>
    </cfRule>
  </conditionalFormatting>
  <conditionalFormatting sqref="AH32">
    <cfRule type="expression" dxfId="14" priority="22">
      <formula>AI32&lt;&gt;""</formula>
    </cfRule>
  </conditionalFormatting>
  <conditionalFormatting sqref="AH33">
    <cfRule type="expression" dxfId="13" priority="21">
      <formula>AI33&lt;&gt;""</formula>
    </cfRule>
  </conditionalFormatting>
  <conditionalFormatting sqref="AH34">
    <cfRule type="expression" dxfId="12" priority="20">
      <formula>AI34&lt;&gt;""</formula>
    </cfRule>
  </conditionalFormatting>
  <conditionalFormatting sqref="AO33">
    <cfRule type="expression" dxfId="11" priority="13">
      <formula>AP33&lt;&gt;""</formula>
    </cfRule>
  </conditionalFormatting>
  <conditionalFormatting sqref="AO34">
    <cfRule type="expression" dxfId="10" priority="11">
      <formula>AP34&lt;&gt;""</formula>
    </cfRule>
  </conditionalFormatting>
  <conditionalFormatting sqref="AO32">
    <cfRule type="expression" dxfId="9" priority="10">
      <formula>AP32&lt;&gt;""</formula>
    </cfRule>
  </conditionalFormatting>
  <conditionalFormatting sqref="AO31">
    <cfRule type="expression" dxfId="8" priority="9">
      <formula>AP31&lt;&gt;""</formula>
    </cfRule>
  </conditionalFormatting>
  <conditionalFormatting sqref="AO29">
    <cfRule type="expression" dxfId="7" priority="8">
      <formula>AP29&lt;&gt;""</formula>
    </cfRule>
  </conditionalFormatting>
  <conditionalFormatting sqref="AO30">
    <cfRule type="expression" dxfId="6" priority="7">
      <formula>AP30&lt;&gt;""</formula>
    </cfRule>
  </conditionalFormatting>
  <conditionalFormatting sqref="AO16">
    <cfRule type="expression" dxfId="5" priority="6">
      <formula>AP16&lt;&gt;""</formula>
    </cfRule>
  </conditionalFormatting>
  <conditionalFormatting sqref="AO17">
    <cfRule type="expression" dxfId="4" priority="5">
      <formula>AP17&lt;&gt;""</formula>
    </cfRule>
  </conditionalFormatting>
  <conditionalFormatting sqref="AO18">
    <cfRule type="expression" dxfId="3" priority="4">
      <formula>AP18&lt;&gt;""</formula>
    </cfRule>
  </conditionalFormatting>
  <conditionalFormatting sqref="AO19">
    <cfRule type="expression" dxfId="2" priority="3">
      <formula>AP19&lt;&gt;""</formula>
    </cfRule>
  </conditionalFormatting>
  <conditionalFormatting sqref="AO20">
    <cfRule type="expression" dxfId="1" priority="2">
      <formula>AP20&lt;&gt;""</formula>
    </cfRule>
  </conditionalFormatting>
  <conditionalFormatting sqref="AO21">
    <cfRule type="expression" dxfId="0" priority="1">
      <formula>AP21&lt;&gt;""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4" name="Check Box 6">
              <controlPr defaultSize="0" autoFill="0" autoLine="0" autoPict="0">
                <anchor moveWithCells="1">
                  <from>
                    <xdr:col>41</xdr:col>
                    <xdr:colOff>723900</xdr:colOff>
                    <xdr:row>12</xdr:row>
                    <xdr:rowOff>106680</xdr:rowOff>
                  </from>
                  <to>
                    <xdr:col>43</xdr:col>
                    <xdr:colOff>289560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Check Box 7">
              <controlPr defaultSize="0" autoFill="0" autoLine="0" autoPict="0">
                <anchor moveWithCells="1">
                  <from>
                    <xdr:col>41</xdr:col>
                    <xdr:colOff>723900</xdr:colOff>
                    <xdr:row>13</xdr:row>
                    <xdr:rowOff>106680</xdr:rowOff>
                  </from>
                  <to>
                    <xdr:col>43</xdr:col>
                    <xdr:colOff>198120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Check Box 8">
              <controlPr defaultSize="0" autoFill="0" autoLine="0" autoPict="0">
                <anchor moveWithCells="1">
                  <from>
                    <xdr:col>41</xdr:col>
                    <xdr:colOff>723900</xdr:colOff>
                    <xdr:row>14</xdr:row>
                    <xdr:rowOff>106680</xdr:rowOff>
                  </from>
                  <to>
                    <xdr:col>43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Check Box 9">
              <controlPr defaultSize="0" autoFill="0" autoLine="0" autoPict="0">
                <anchor moveWithCells="1">
                  <from>
                    <xdr:col>39</xdr:col>
                    <xdr:colOff>975360</xdr:colOff>
                    <xdr:row>12</xdr:row>
                    <xdr:rowOff>106680</xdr:rowOff>
                  </from>
                  <to>
                    <xdr:col>41</xdr:col>
                    <xdr:colOff>441960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CC81FB-64C0-48C8-9EB1-5A2993D61D6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AB13:AB50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788E81-7F43-4CD1-AD2D-60A553F1402F}">
          <x14:formula1>
            <xm:f>'Випадаючі дані'!$C$7:$C$11</xm:f>
          </x14:formula1>
          <xm:sqref>AQ6:AR6</xm:sqref>
        </x14:dataValidation>
        <x14:dataValidation type="list" allowBlank="1" showInputMessage="1" showErrorMessage="1" xr:uid="{E82DE2F1-FC97-4C54-835A-58F81574B396}">
          <x14:formula1>
            <xm:f>'Випадаючі дані'!$E$7:$E$20</xm:f>
          </x14:formula1>
          <xm:sqref>AQ8:AR8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5347-C381-486D-AD54-F1472F6933B4}">
  <dimension ref="C1:E20"/>
  <sheetViews>
    <sheetView workbookViewId="0"/>
  </sheetViews>
  <sheetFormatPr defaultRowHeight="14.4" x14ac:dyDescent="0.3"/>
  <cols>
    <col min="2" max="2" width="10.5546875" bestFit="1" customWidth="1"/>
    <col min="3" max="3" width="32.44140625" customWidth="1"/>
    <col min="5" max="5" width="30.33203125" customWidth="1"/>
    <col min="6" max="6" width="12.109375" bestFit="1" customWidth="1"/>
  </cols>
  <sheetData>
    <row r="1" spans="3:5" s="61" customFormat="1" x14ac:dyDescent="0.3"/>
    <row r="2" spans="3:5" s="61" customFormat="1" ht="31.2" x14ac:dyDescent="0.6">
      <c r="C2" s="62" t="s">
        <v>27</v>
      </c>
    </row>
    <row r="3" spans="3:5" s="61" customFormat="1" x14ac:dyDescent="0.3"/>
    <row r="6" spans="3:5" ht="15.6" x14ac:dyDescent="0.3">
      <c r="C6" s="63" t="s">
        <v>28</v>
      </c>
      <c r="E6" s="63" t="s">
        <v>30</v>
      </c>
    </row>
    <row r="7" spans="3:5" ht="15.6" x14ac:dyDescent="0.3">
      <c r="C7" s="64" t="s">
        <v>29</v>
      </c>
      <c r="E7" s="64" t="s">
        <v>31</v>
      </c>
    </row>
    <row r="8" spans="3:5" ht="15.6" x14ac:dyDescent="0.3">
      <c r="C8" s="64">
        <f>starting_year</f>
        <v>2024</v>
      </c>
      <c r="E8" s="64" t="s">
        <v>32</v>
      </c>
    </row>
    <row r="9" spans="3:5" ht="15.6" x14ac:dyDescent="0.3">
      <c r="C9" s="64">
        <f>C8+1</f>
        <v>2025</v>
      </c>
      <c r="E9" s="66">
        <v>44562</v>
      </c>
    </row>
    <row r="10" spans="3:5" ht="15.6" x14ac:dyDescent="0.3">
      <c r="C10" s="64">
        <f>C9+1</f>
        <v>2026</v>
      </c>
      <c r="E10" s="66">
        <v>44593</v>
      </c>
    </row>
    <row r="11" spans="3:5" ht="15.6" x14ac:dyDescent="0.3">
      <c r="C11" s="65">
        <f>C10+1</f>
        <v>2027</v>
      </c>
      <c r="E11" s="66">
        <v>44621</v>
      </c>
    </row>
    <row r="12" spans="3:5" ht="15.6" x14ac:dyDescent="0.3">
      <c r="E12" s="66">
        <v>44652</v>
      </c>
    </row>
    <row r="13" spans="3:5" ht="15.6" x14ac:dyDescent="0.3">
      <c r="E13" s="66">
        <v>44682</v>
      </c>
    </row>
    <row r="14" spans="3:5" ht="15.6" x14ac:dyDescent="0.3">
      <c r="E14" s="66">
        <v>44713</v>
      </c>
    </row>
    <row r="15" spans="3:5" ht="15.6" x14ac:dyDescent="0.3">
      <c r="E15" s="66">
        <v>44743</v>
      </c>
    </row>
    <row r="16" spans="3:5" ht="15.6" x14ac:dyDescent="0.3">
      <c r="E16" s="66">
        <v>44774</v>
      </c>
    </row>
    <row r="17" spans="5:5" ht="15.6" x14ac:dyDescent="0.3">
      <c r="E17" s="66">
        <v>44805</v>
      </c>
    </row>
    <row r="18" spans="5:5" ht="15.6" x14ac:dyDescent="0.3">
      <c r="E18" s="66">
        <v>44835</v>
      </c>
    </row>
    <row r="19" spans="5:5" ht="15.6" x14ac:dyDescent="0.3">
      <c r="E19" s="66">
        <v>44866</v>
      </c>
    </row>
    <row r="20" spans="5:5" ht="15.6" x14ac:dyDescent="0.3">
      <c r="E20" s="70">
        <v>44896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38</vt:i4>
      </vt:variant>
    </vt:vector>
  </HeadingPairs>
  <TitlesOfParts>
    <vt:vector size="44" baseType="lpstr">
      <vt:lpstr>Налаштування</vt:lpstr>
      <vt:lpstr>Планування бюджету</vt:lpstr>
      <vt:lpstr>Відслідковування бюджету</vt:lpstr>
      <vt:lpstr>Калькулятор</vt:lpstr>
      <vt:lpstr>Dashboard</vt:lpstr>
      <vt:lpstr>Випадаючі дані</vt:lpstr>
      <vt:lpstr>budget</vt:lpstr>
      <vt:lpstr>Dashboard!budget_range</vt:lpstr>
      <vt:lpstr>Dashboard!budget_rank</vt:lpstr>
      <vt:lpstr>Калькулятор!cc_budget</vt:lpstr>
      <vt:lpstr>Калькулятор!cc_delta</vt:lpstr>
      <vt:lpstr>Калькулятор!cc_in_focus</vt:lpstr>
      <vt:lpstr>Калькулятор!cc_month</vt:lpstr>
      <vt:lpstr>Калькулятор!cc_show_remaning_budget</vt:lpstr>
      <vt:lpstr>Калькулятор!cc_show_type</vt:lpstr>
      <vt:lpstr>Калькулятор!cc_tracked</vt:lpstr>
      <vt:lpstr>Калькулятор!cc_type</vt:lpstr>
      <vt:lpstr>Dashboard!comb_rank</vt:lpstr>
      <vt:lpstr>Dashboard!comb_rank_norm</vt:lpstr>
      <vt:lpstr>Dashboard!comb_rank_norm_run_range</vt:lpstr>
      <vt:lpstr>Dashboard!comb_rank_range</vt:lpstr>
      <vt:lpstr>Dashboard!comb_rank_unique</vt:lpstr>
      <vt:lpstr>Dashboard!header_row_id</vt:lpstr>
      <vt:lpstr>is_cat</vt:lpstr>
      <vt:lpstr>is_empty</vt:lpstr>
      <vt:lpstr>Dashboard!is_header</vt:lpstr>
      <vt:lpstr>is_total</vt:lpstr>
      <vt:lpstr>item</vt:lpstr>
      <vt:lpstr>Dashboard!out_budget</vt:lpstr>
      <vt:lpstr>Dashboard!out_tracked</vt:lpstr>
      <vt:lpstr>Dashboard!percent_completed</vt:lpstr>
      <vt:lpstr>Dashboard!row_id</vt:lpstr>
      <vt:lpstr>selected_period</vt:lpstr>
      <vt:lpstr>selected_period_display</vt:lpstr>
      <vt:lpstr>selected_year</vt:lpstr>
      <vt:lpstr>shift_late_income_starting_day</vt:lpstr>
      <vt:lpstr>shift_late_income_status</vt:lpstr>
      <vt:lpstr>Dashboard!sort_max</vt:lpstr>
      <vt:lpstr>Dashboard!sort_min</vt:lpstr>
      <vt:lpstr>starting_year</vt:lpstr>
      <vt:lpstr>tracked</vt:lpstr>
      <vt:lpstr>Dashboard!tracked_range</vt:lpstr>
      <vt:lpstr>Dashboard!tracked_rank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Pozho</dc:creator>
  <cp:lastModifiedBy>User</cp:lastModifiedBy>
  <dcterms:created xsi:type="dcterms:W3CDTF">2015-06-05T18:19:34Z</dcterms:created>
  <dcterms:modified xsi:type="dcterms:W3CDTF">2024-09-25T11:38:19Z</dcterms:modified>
</cp:coreProperties>
</file>