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256" windowHeight="13176" firstSheet="9" activeTab="10"/>
  </bookViews>
  <sheets>
    <sheet name="Assumptions" sheetId="9" r:id="rId1"/>
    <sheet name="No DAC" sheetId="34" r:id="rId2"/>
    <sheet name="Zero 43" sheetId="18" r:id="rId3"/>
    <sheet name="Zero 101" sheetId="27" r:id="rId4"/>
    <sheet name="Zero 162" sheetId="28" r:id="rId5"/>
    <sheet name="Neg_43" sheetId="29" r:id="rId6"/>
    <sheet name="Neg_101" sheetId="30" r:id="rId7"/>
    <sheet name="Neg_162" sheetId="31" r:id="rId8"/>
    <sheet name="Neg_162 (100yr)" sheetId="39" r:id="rId9"/>
    <sheet name="Overall" sheetId="42" r:id="rId10"/>
    <sheet name="DAC Capacity 43_101_162" sheetId="40" r:id="rId11"/>
  </sheets>
  <externalReferences>
    <externalReference r:id="rId12"/>
    <externalReference r:id="rId13"/>
  </externalReferences>
  <definedNames>
    <definedName name="_xlnm._FilterDatabase" localSheetId="6" hidden="1">Neg_101!$B$4:$N$4</definedName>
    <definedName name="_xlnm._FilterDatabase" localSheetId="7" hidden="1">Neg_162!$B$4:$N$4</definedName>
    <definedName name="_xlnm._FilterDatabase" localSheetId="8" hidden="1">'Neg_162 (100yr)'!$B$4:$N$4</definedName>
    <definedName name="_xlnm._FilterDatabase" localSheetId="5" hidden="1">Neg_43!$B$4:$N$4</definedName>
    <definedName name="_xlnm._FilterDatabase" localSheetId="1" hidden="1">'No DAC'!$B$4:$N$4</definedName>
    <definedName name="_xlnm._FilterDatabase" localSheetId="9" hidden="1">Overall!$B$4:$N$4</definedName>
    <definedName name="_xlnm._FilterDatabase" localSheetId="3" hidden="1">'Zero 101'!$B$4:$N$4</definedName>
    <definedName name="_xlnm._FilterDatabase" localSheetId="4" hidden="1">'Zero 162'!$B$4:$N$4</definedName>
    <definedName name="_xlnm._FilterDatabase" localSheetId="2" hidden="1">'Zero 43'!$B$4:$N$4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9" l="1"/>
  <c r="E15" i="9"/>
  <c r="E14" i="9"/>
  <c r="E13" i="9"/>
  <c r="E12" i="9"/>
  <c r="E11" i="9"/>
  <c r="E10" i="9"/>
  <c r="C116" i="9" l="1"/>
  <c r="C115" i="9"/>
  <c r="C114" i="9"/>
  <c r="R51" i="40" l="1"/>
  <c r="R52" i="40"/>
  <c r="R53" i="40"/>
  <c r="R54" i="40"/>
  <c r="R50" i="40"/>
  <c r="R49" i="40"/>
  <c r="R91" i="40" l="1"/>
  <c r="R92" i="40"/>
  <c r="R47" i="40"/>
  <c r="K50" i="40"/>
  <c r="J50" i="40"/>
  <c r="I50" i="40"/>
  <c r="H50" i="40"/>
  <c r="G50" i="40"/>
  <c r="F50" i="40"/>
  <c r="K49" i="40"/>
  <c r="J49" i="40"/>
  <c r="I49" i="40"/>
  <c r="H49" i="40"/>
  <c r="G49" i="40"/>
  <c r="F49" i="40"/>
  <c r="R48" i="40"/>
  <c r="K48" i="40"/>
  <c r="J48" i="40"/>
  <c r="I48" i="40"/>
  <c r="H48" i="40"/>
  <c r="G48" i="40"/>
  <c r="F48" i="40"/>
  <c r="J47" i="40"/>
  <c r="I47" i="40"/>
  <c r="H47" i="40"/>
  <c r="G47" i="40"/>
  <c r="F47" i="40"/>
  <c r="G90" i="42"/>
  <c r="H90" i="42"/>
  <c r="I90" i="42"/>
  <c r="J90" i="42"/>
  <c r="K90" i="42"/>
  <c r="L90" i="42"/>
  <c r="S90" i="42"/>
  <c r="G91" i="42"/>
  <c r="H91" i="42"/>
  <c r="I91" i="42"/>
  <c r="J91" i="42"/>
  <c r="K91" i="42"/>
  <c r="L91" i="42"/>
  <c r="S91" i="42"/>
  <c r="G92" i="42"/>
  <c r="H92" i="42"/>
  <c r="I92" i="42"/>
  <c r="J92" i="42"/>
  <c r="K92" i="42"/>
  <c r="L92" i="42"/>
  <c r="S92" i="42"/>
  <c r="G93" i="42"/>
  <c r="H93" i="42"/>
  <c r="I93" i="42"/>
  <c r="J93" i="42"/>
  <c r="K93" i="42"/>
  <c r="L93" i="42"/>
  <c r="S93" i="42"/>
  <c r="G94" i="42"/>
  <c r="H94" i="42"/>
  <c r="I94" i="42"/>
  <c r="J94" i="42"/>
  <c r="K94" i="42"/>
  <c r="L94" i="42"/>
  <c r="S94" i="42"/>
  <c r="G95" i="42"/>
  <c r="H95" i="42"/>
  <c r="I95" i="42"/>
  <c r="J95" i="42"/>
  <c r="K95" i="42"/>
  <c r="L95" i="42"/>
  <c r="S95" i="42"/>
  <c r="G96" i="42"/>
  <c r="H96" i="42"/>
  <c r="I96" i="42"/>
  <c r="J96" i="42"/>
  <c r="K96" i="42"/>
  <c r="L96" i="42"/>
  <c r="S96" i="42"/>
  <c r="I126" i="42"/>
  <c r="J126" i="42"/>
  <c r="K126" i="42"/>
  <c r="I127" i="42"/>
  <c r="J127" i="42"/>
  <c r="K127" i="42"/>
  <c r="I128" i="42"/>
  <c r="J128" i="42"/>
  <c r="K128" i="42"/>
  <c r="I129" i="42"/>
  <c r="J129" i="42"/>
  <c r="K129" i="42"/>
  <c r="I130" i="42"/>
  <c r="J130" i="42"/>
  <c r="K130" i="42"/>
  <c r="I131" i="42"/>
  <c r="J131" i="42"/>
  <c r="K131" i="42"/>
  <c r="I132" i="42"/>
  <c r="J132" i="42"/>
  <c r="K132" i="42"/>
  <c r="I133" i="42"/>
  <c r="J133" i="42"/>
  <c r="K133" i="42"/>
  <c r="I134" i="42"/>
  <c r="J134" i="42"/>
  <c r="K134" i="42"/>
  <c r="I135" i="42"/>
  <c r="J135" i="42"/>
  <c r="K135" i="42"/>
  <c r="I136" i="42"/>
  <c r="J136" i="42"/>
  <c r="K136" i="42"/>
  <c r="I137" i="42"/>
  <c r="J137" i="42"/>
  <c r="K137" i="42"/>
  <c r="I138" i="42"/>
  <c r="J138" i="42"/>
  <c r="K138" i="42"/>
  <c r="I139" i="42"/>
  <c r="J139" i="42"/>
  <c r="K139" i="42"/>
  <c r="I140" i="42"/>
  <c r="J140" i="42"/>
  <c r="K140" i="42"/>
  <c r="I141" i="42"/>
  <c r="J141" i="42"/>
  <c r="K141" i="42"/>
  <c r="I142" i="42"/>
  <c r="J142" i="42"/>
  <c r="K142" i="42"/>
  <c r="I143" i="42"/>
  <c r="J143" i="42"/>
  <c r="K143" i="42"/>
  <c r="I144" i="42"/>
  <c r="J144" i="42"/>
  <c r="K144" i="42"/>
  <c r="I145" i="42"/>
  <c r="J145" i="42"/>
  <c r="K145" i="42"/>
  <c r="I146" i="42"/>
  <c r="J146" i="42"/>
  <c r="K146" i="42"/>
  <c r="I147" i="42"/>
  <c r="J147" i="42"/>
  <c r="K147" i="42"/>
  <c r="I148" i="42"/>
  <c r="J148" i="42"/>
  <c r="K148" i="42"/>
  <c r="I149" i="42"/>
  <c r="J149" i="42"/>
  <c r="K149" i="42"/>
  <c r="I150" i="42"/>
  <c r="J150" i="42"/>
  <c r="K150" i="42"/>
  <c r="I151" i="42"/>
  <c r="J151" i="42"/>
  <c r="K151" i="42"/>
  <c r="I152" i="42"/>
  <c r="J152" i="42"/>
  <c r="K152" i="42"/>
  <c r="I153" i="42"/>
  <c r="J153" i="42"/>
  <c r="K153" i="42"/>
  <c r="I154" i="42"/>
  <c r="J154" i="42"/>
  <c r="K154" i="42"/>
  <c r="I155" i="42"/>
  <c r="J155" i="42"/>
  <c r="K155" i="42"/>
  <c r="I156" i="42"/>
  <c r="J156" i="42"/>
  <c r="K156" i="42"/>
  <c r="I157" i="42"/>
  <c r="J157" i="42"/>
  <c r="K157" i="42"/>
  <c r="I158" i="42"/>
  <c r="J158" i="42"/>
  <c r="K158" i="42"/>
  <c r="I159" i="42"/>
  <c r="J159" i="42"/>
  <c r="K159" i="42"/>
  <c r="I160" i="42"/>
  <c r="J160" i="42"/>
  <c r="K160" i="42"/>
  <c r="I161" i="42"/>
  <c r="J161" i="42"/>
  <c r="K161" i="42"/>
  <c r="I162" i="42"/>
  <c r="J162" i="42"/>
  <c r="K162" i="42"/>
  <c r="I163" i="42"/>
  <c r="J163" i="42"/>
  <c r="K163" i="42"/>
  <c r="I164" i="42"/>
  <c r="J164" i="42"/>
  <c r="K164" i="42"/>
  <c r="I165" i="42"/>
  <c r="J165" i="42"/>
  <c r="K165" i="42"/>
  <c r="I166" i="42"/>
  <c r="J166" i="42"/>
  <c r="K166" i="42"/>
  <c r="I167" i="42"/>
  <c r="J167" i="42"/>
  <c r="K167" i="42"/>
  <c r="I168" i="42"/>
  <c r="J168" i="42"/>
  <c r="K168" i="42"/>
  <c r="I169" i="42"/>
  <c r="J169" i="42"/>
  <c r="K169" i="42"/>
  <c r="I170" i="42"/>
  <c r="J170" i="42"/>
  <c r="K170" i="42"/>
  <c r="I171" i="42"/>
  <c r="J171" i="42"/>
  <c r="K171" i="42"/>
  <c r="I172" i="42"/>
  <c r="J172" i="42"/>
  <c r="K172" i="42"/>
  <c r="I173" i="42"/>
  <c r="J173" i="42"/>
  <c r="K173" i="42"/>
  <c r="I174" i="42"/>
  <c r="J174" i="42"/>
  <c r="K174" i="42"/>
  <c r="I175" i="42"/>
  <c r="J175" i="42"/>
  <c r="K175" i="42"/>
  <c r="I176" i="42"/>
  <c r="J176" i="42"/>
  <c r="K176" i="42"/>
  <c r="I177" i="42"/>
  <c r="J177" i="42"/>
  <c r="K177" i="42"/>
  <c r="I178" i="42"/>
  <c r="J178" i="42"/>
  <c r="K178" i="42"/>
  <c r="I179" i="42"/>
  <c r="J179" i="42"/>
  <c r="K179" i="42"/>
  <c r="I180" i="42"/>
  <c r="J180" i="42"/>
  <c r="K180" i="42"/>
  <c r="I181" i="42"/>
  <c r="J181" i="42"/>
  <c r="K181" i="42"/>
  <c r="I182" i="42"/>
  <c r="J182" i="42"/>
  <c r="K182" i="42"/>
  <c r="I183" i="42"/>
  <c r="J183" i="42"/>
  <c r="K183" i="42"/>
  <c r="I184" i="42"/>
  <c r="J184" i="42"/>
  <c r="K184" i="42"/>
  <c r="I185" i="42"/>
  <c r="J185" i="42"/>
  <c r="K185" i="42"/>
  <c r="I186" i="42"/>
  <c r="J186" i="42"/>
  <c r="K186" i="42"/>
  <c r="I187" i="42"/>
  <c r="J187" i="42"/>
  <c r="K187" i="42"/>
  <c r="I188" i="42"/>
  <c r="J188" i="42"/>
  <c r="K188" i="42"/>
  <c r="L125" i="42"/>
  <c r="K125" i="42"/>
  <c r="J125" i="42"/>
  <c r="I125" i="42"/>
  <c r="H125" i="42"/>
  <c r="G125" i="42"/>
  <c r="L124" i="42"/>
  <c r="K124" i="42"/>
  <c r="J124" i="42"/>
  <c r="I124" i="42"/>
  <c r="H124" i="42"/>
  <c r="G124" i="42"/>
  <c r="L123" i="42"/>
  <c r="K123" i="42"/>
  <c r="J123" i="42"/>
  <c r="I123" i="42"/>
  <c r="H123" i="42"/>
  <c r="G123" i="42"/>
  <c r="L122" i="42"/>
  <c r="K122" i="42"/>
  <c r="J122" i="42"/>
  <c r="I122" i="42"/>
  <c r="H122" i="42"/>
  <c r="G122" i="42"/>
  <c r="L121" i="42"/>
  <c r="K121" i="42"/>
  <c r="J121" i="42"/>
  <c r="I121" i="42"/>
  <c r="H121" i="42"/>
  <c r="G121" i="42"/>
  <c r="L120" i="42"/>
  <c r="K120" i="42"/>
  <c r="J120" i="42"/>
  <c r="I120" i="42"/>
  <c r="H120" i="42"/>
  <c r="G120" i="42"/>
  <c r="L119" i="42"/>
  <c r="K119" i="42"/>
  <c r="J119" i="42"/>
  <c r="I119" i="42"/>
  <c r="H119" i="42"/>
  <c r="G119" i="42"/>
  <c r="L118" i="42"/>
  <c r="K118" i="42"/>
  <c r="J118" i="42"/>
  <c r="I118" i="42"/>
  <c r="H118" i="42"/>
  <c r="G118" i="42"/>
  <c r="L117" i="42"/>
  <c r="K117" i="42"/>
  <c r="J117" i="42"/>
  <c r="I117" i="42"/>
  <c r="H117" i="42"/>
  <c r="G117" i="42"/>
  <c r="L116" i="42"/>
  <c r="K116" i="42"/>
  <c r="J116" i="42"/>
  <c r="I116" i="42"/>
  <c r="H116" i="42"/>
  <c r="G116" i="42"/>
  <c r="L115" i="42"/>
  <c r="K115" i="42"/>
  <c r="J115" i="42"/>
  <c r="I115" i="42"/>
  <c r="H115" i="42"/>
  <c r="G115" i="42"/>
  <c r="L114" i="42"/>
  <c r="K114" i="42"/>
  <c r="J114" i="42"/>
  <c r="I114" i="42"/>
  <c r="H114" i="42"/>
  <c r="G114" i="42"/>
  <c r="L113" i="42"/>
  <c r="K113" i="42"/>
  <c r="J113" i="42"/>
  <c r="I113" i="42"/>
  <c r="H113" i="42"/>
  <c r="G113" i="42"/>
  <c r="L112" i="42"/>
  <c r="K112" i="42"/>
  <c r="J112" i="42"/>
  <c r="I112" i="42"/>
  <c r="H112" i="42"/>
  <c r="G112" i="42"/>
  <c r="L111" i="42"/>
  <c r="K111" i="42"/>
  <c r="J111" i="42"/>
  <c r="I111" i="42"/>
  <c r="H111" i="42"/>
  <c r="G111" i="42"/>
  <c r="L110" i="42"/>
  <c r="K110" i="42"/>
  <c r="J110" i="42"/>
  <c r="I110" i="42"/>
  <c r="H110" i="42"/>
  <c r="G110" i="42"/>
  <c r="L109" i="42"/>
  <c r="K109" i="42"/>
  <c r="J109" i="42"/>
  <c r="I109" i="42"/>
  <c r="H109" i="42"/>
  <c r="G109" i="42"/>
  <c r="L108" i="42"/>
  <c r="K108" i="42"/>
  <c r="J108" i="42"/>
  <c r="I108" i="42"/>
  <c r="H108" i="42"/>
  <c r="G108" i="42"/>
  <c r="L107" i="42"/>
  <c r="K107" i="42"/>
  <c r="J107" i="42"/>
  <c r="I107" i="42"/>
  <c r="H107" i="42"/>
  <c r="G107" i="42"/>
  <c r="L106" i="42"/>
  <c r="K106" i="42"/>
  <c r="J106" i="42"/>
  <c r="I106" i="42"/>
  <c r="H106" i="42"/>
  <c r="G106" i="42"/>
  <c r="L105" i="42"/>
  <c r="K105" i="42"/>
  <c r="J105" i="42"/>
  <c r="I105" i="42"/>
  <c r="H105" i="42"/>
  <c r="G105" i="42"/>
  <c r="L104" i="42"/>
  <c r="K104" i="42"/>
  <c r="J104" i="42"/>
  <c r="I104" i="42"/>
  <c r="H104" i="42"/>
  <c r="G104" i="42"/>
  <c r="L103" i="42"/>
  <c r="K103" i="42"/>
  <c r="J103" i="42"/>
  <c r="I103" i="42"/>
  <c r="H103" i="42"/>
  <c r="G103" i="42"/>
  <c r="L102" i="42"/>
  <c r="K102" i="42"/>
  <c r="J102" i="42"/>
  <c r="I102" i="42"/>
  <c r="H102" i="42"/>
  <c r="G102" i="42"/>
  <c r="L101" i="42"/>
  <c r="K101" i="42"/>
  <c r="J101" i="42"/>
  <c r="I101" i="42"/>
  <c r="H101" i="42"/>
  <c r="G101" i="42"/>
  <c r="L100" i="42"/>
  <c r="K100" i="42"/>
  <c r="J100" i="42"/>
  <c r="I100" i="42"/>
  <c r="H100" i="42"/>
  <c r="G100" i="42"/>
  <c r="L99" i="42"/>
  <c r="K99" i="42"/>
  <c r="J99" i="42"/>
  <c r="I99" i="42"/>
  <c r="H99" i="42"/>
  <c r="G99" i="42"/>
  <c r="L98" i="42"/>
  <c r="K98" i="42"/>
  <c r="J98" i="42"/>
  <c r="I98" i="42"/>
  <c r="H98" i="42"/>
  <c r="G98" i="42"/>
  <c r="L97" i="42"/>
  <c r="K97" i="42"/>
  <c r="J97" i="42"/>
  <c r="I97" i="42"/>
  <c r="H97" i="42"/>
  <c r="G97" i="42"/>
  <c r="P47" i="40" l="1"/>
  <c r="S188" i="42"/>
  <c r="L188" i="42"/>
  <c r="H188" i="42"/>
  <c r="G188" i="42"/>
  <c r="S187" i="42"/>
  <c r="L187" i="42"/>
  <c r="H187" i="42"/>
  <c r="G187" i="42"/>
  <c r="S186" i="42"/>
  <c r="L186" i="42"/>
  <c r="H186" i="42"/>
  <c r="G186" i="42"/>
  <c r="S185" i="42"/>
  <c r="L185" i="42"/>
  <c r="H185" i="42"/>
  <c r="G185" i="42"/>
  <c r="S184" i="42"/>
  <c r="L184" i="42"/>
  <c r="H184" i="42"/>
  <c r="G184" i="42"/>
  <c r="S183" i="42"/>
  <c r="L183" i="42"/>
  <c r="H183" i="42"/>
  <c r="G183" i="42"/>
  <c r="S182" i="42"/>
  <c r="L182" i="42"/>
  <c r="H182" i="42"/>
  <c r="G182" i="42"/>
  <c r="S181" i="42"/>
  <c r="L181" i="42"/>
  <c r="H181" i="42"/>
  <c r="G181" i="42"/>
  <c r="S180" i="42"/>
  <c r="L180" i="42"/>
  <c r="H180" i="42"/>
  <c r="G180" i="42"/>
  <c r="S179" i="42"/>
  <c r="L179" i="42"/>
  <c r="H179" i="42"/>
  <c r="G179" i="42"/>
  <c r="S178" i="42"/>
  <c r="L178" i="42"/>
  <c r="H178" i="42"/>
  <c r="G178" i="42"/>
  <c r="S177" i="42"/>
  <c r="L177" i="42"/>
  <c r="H177" i="42"/>
  <c r="G177" i="42"/>
  <c r="S176" i="42"/>
  <c r="L176" i="42"/>
  <c r="H176" i="42"/>
  <c r="G176" i="42"/>
  <c r="S175" i="42"/>
  <c r="L175" i="42"/>
  <c r="H175" i="42"/>
  <c r="G175" i="42"/>
  <c r="S174" i="42"/>
  <c r="L174" i="42"/>
  <c r="H174" i="42"/>
  <c r="G174" i="42"/>
  <c r="S173" i="42"/>
  <c r="L173" i="42"/>
  <c r="H173" i="42"/>
  <c r="G173" i="42"/>
  <c r="S172" i="42"/>
  <c r="L172" i="42"/>
  <c r="H172" i="42"/>
  <c r="G172" i="42"/>
  <c r="S171" i="42"/>
  <c r="L171" i="42"/>
  <c r="H171" i="42"/>
  <c r="G171" i="42"/>
  <c r="S170" i="42"/>
  <c r="L170" i="42"/>
  <c r="H170" i="42"/>
  <c r="G170" i="42"/>
  <c r="S169" i="42"/>
  <c r="L169" i="42"/>
  <c r="H169" i="42"/>
  <c r="G169" i="42"/>
  <c r="S168" i="42"/>
  <c r="L168" i="42"/>
  <c r="H168" i="42"/>
  <c r="G168" i="42"/>
  <c r="S167" i="42"/>
  <c r="L167" i="42"/>
  <c r="H167" i="42"/>
  <c r="G167" i="42"/>
  <c r="S166" i="42"/>
  <c r="L166" i="42"/>
  <c r="H166" i="42"/>
  <c r="G166" i="42"/>
  <c r="S165" i="42"/>
  <c r="L165" i="42"/>
  <c r="H165" i="42"/>
  <c r="G165" i="42"/>
  <c r="S164" i="42"/>
  <c r="L164" i="42"/>
  <c r="H164" i="42"/>
  <c r="G164" i="42"/>
  <c r="S163" i="42"/>
  <c r="L163" i="42"/>
  <c r="H163" i="42"/>
  <c r="G163" i="42"/>
  <c r="S162" i="42"/>
  <c r="L162" i="42"/>
  <c r="H162" i="42"/>
  <c r="G162" i="42"/>
  <c r="S161" i="42"/>
  <c r="L161" i="42"/>
  <c r="H161" i="42"/>
  <c r="G161" i="42"/>
  <c r="S160" i="42"/>
  <c r="L160" i="42"/>
  <c r="H160" i="42"/>
  <c r="G160" i="42"/>
  <c r="S159" i="42"/>
  <c r="L159" i="42"/>
  <c r="H159" i="42"/>
  <c r="G159" i="42"/>
  <c r="S158" i="42"/>
  <c r="L158" i="42"/>
  <c r="H158" i="42"/>
  <c r="G158" i="42"/>
  <c r="S157" i="42"/>
  <c r="L157" i="42"/>
  <c r="H157" i="42"/>
  <c r="G157" i="42"/>
  <c r="S156" i="42"/>
  <c r="L156" i="42"/>
  <c r="H156" i="42"/>
  <c r="G156" i="42"/>
  <c r="S155" i="42"/>
  <c r="L155" i="42"/>
  <c r="H155" i="42"/>
  <c r="G155" i="42"/>
  <c r="S154" i="42"/>
  <c r="L154" i="42"/>
  <c r="H154" i="42"/>
  <c r="G154" i="42"/>
  <c r="S153" i="42"/>
  <c r="L153" i="42"/>
  <c r="H153" i="42"/>
  <c r="G153" i="42"/>
  <c r="S152" i="42"/>
  <c r="L152" i="42"/>
  <c r="H152" i="42"/>
  <c r="G152" i="42"/>
  <c r="S151" i="42"/>
  <c r="L151" i="42"/>
  <c r="H151" i="42"/>
  <c r="G151" i="42"/>
  <c r="S150" i="42"/>
  <c r="L150" i="42"/>
  <c r="H150" i="42"/>
  <c r="G150" i="42"/>
  <c r="S149" i="42"/>
  <c r="L149" i="42"/>
  <c r="H149" i="42"/>
  <c r="G149" i="42"/>
  <c r="S148" i="42"/>
  <c r="L148" i="42"/>
  <c r="H148" i="42"/>
  <c r="G148" i="42"/>
  <c r="S147" i="42"/>
  <c r="L147" i="42"/>
  <c r="H147" i="42"/>
  <c r="G147" i="42"/>
  <c r="S146" i="42"/>
  <c r="L146" i="42"/>
  <c r="H146" i="42"/>
  <c r="G146" i="42"/>
  <c r="S145" i="42"/>
  <c r="L145" i="42"/>
  <c r="H145" i="42"/>
  <c r="G145" i="42"/>
  <c r="S144" i="42"/>
  <c r="L144" i="42"/>
  <c r="H144" i="42"/>
  <c r="G144" i="42"/>
  <c r="S143" i="42"/>
  <c r="L143" i="42"/>
  <c r="H143" i="42"/>
  <c r="G143" i="42"/>
  <c r="S142" i="42"/>
  <c r="L142" i="42"/>
  <c r="H142" i="42"/>
  <c r="G142" i="42"/>
  <c r="S141" i="42"/>
  <c r="L141" i="42"/>
  <c r="H141" i="42"/>
  <c r="G141" i="42"/>
  <c r="S140" i="42"/>
  <c r="L140" i="42"/>
  <c r="H140" i="42"/>
  <c r="G140" i="42"/>
  <c r="S139" i="42"/>
  <c r="L139" i="42"/>
  <c r="H139" i="42"/>
  <c r="G139" i="42"/>
  <c r="S138" i="42"/>
  <c r="L138" i="42"/>
  <c r="H138" i="42"/>
  <c r="G138" i="42"/>
  <c r="S137" i="42"/>
  <c r="L137" i="42"/>
  <c r="H137" i="42"/>
  <c r="G137" i="42"/>
  <c r="S136" i="42"/>
  <c r="L136" i="42"/>
  <c r="H136" i="42"/>
  <c r="G136" i="42"/>
  <c r="S135" i="42"/>
  <c r="L135" i="42"/>
  <c r="H135" i="42"/>
  <c r="G135" i="42"/>
  <c r="S134" i="42"/>
  <c r="L134" i="42"/>
  <c r="H134" i="42"/>
  <c r="G134" i="42"/>
  <c r="S133" i="42"/>
  <c r="L133" i="42"/>
  <c r="H133" i="42"/>
  <c r="G133" i="42"/>
  <c r="S132" i="42"/>
  <c r="L132" i="42"/>
  <c r="H132" i="42"/>
  <c r="G132" i="42"/>
  <c r="S131" i="42"/>
  <c r="L131" i="42"/>
  <c r="H131" i="42"/>
  <c r="G131" i="42"/>
  <c r="S130" i="42"/>
  <c r="L130" i="42"/>
  <c r="H130" i="42"/>
  <c r="G130" i="42"/>
  <c r="S129" i="42"/>
  <c r="L129" i="42"/>
  <c r="H129" i="42"/>
  <c r="G129" i="42"/>
  <c r="S128" i="42"/>
  <c r="L128" i="42"/>
  <c r="H128" i="42"/>
  <c r="G128" i="42"/>
  <c r="S127" i="42"/>
  <c r="L127" i="42"/>
  <c r="H127" i="42"/>
  <c r="G127" i="42"/>
  <c r="S126" i="42"/>
  <c r="L126" i="42"/>
  <c r="H126" i="42"/>
  <c r="G126" i="42"/>
  <c r="S125" i="42"/>
  <c r="S124" i="42"/>
  <c r="S123" i="42"/>
  <c r="S122" i="42"/>
  <c r="S121" i="42"/>
  <c r="S120" i="42"/>
  <c r="S119" i="42"/>
  <c r="S118" i="42"/>
  <c r="S117" i="42"/>
  <c r="S116" i="42"/>
  <c r="S115" i="42"/>
  <c r="S114" i="42"/>
  <c r="S113" i="42"/>
  <c r="S112" i="42"/>
  <c r="S111" i="42"/>
  <c r="S110" i="42"/>
  <c r="S109" i="42"/>
  <c r="S108" i="42"/>
  <c r="S107" i="42"/>
  <c r="S106" i="42"/>
  <c r="S105" i="42"/>
  <c r="S104" i="42"/>
  <c r="S103" i="42"/>
  <c r="S102" i="42"/>
  <c r="S101" i="42"/>
  <c r="S100" i="42"/>
  <c r="S99" i="42"/>
  <c r="S98" i="42"/>
  <c r="S97" i="42"/>
  <c r="S47" i="42"/>
  <c r="S48" i="42"/>
  <c r="S49" i="42"/>
  <c r="S50" i="42"/>
  <c r="S51" i="42"/>
  <c r="S52" i="42"/>
  <c r="S53" i="42"/>
  <c r="S54" i="42"/>
  <c r="S55" i="42"/>
  <c r="S56" i="42"/>
  <c r="S57" i="42"/>
  <c r="S58" i="42"/>
  <c r="S59" i="42"/>
  <c r="S60" i="42"/>
  <c r="S61" i="42"/>
  <c r="S62" i="42"/>
  <c r="S63" i="42"/>
  <c r="S64" i="42"/>
  <c r="S65" i="42"/>
  <c r="S66" i="42"/>
  <c r="S67" i="42"/>
  <c r="S68" i="42"/>
  <c r="S69" i="42"/>
  <c r="S70" i="42"/>
  <c r="S71" i="42"/>
  <c r="S72" i="42"/>
  <c r="S73" i="42"/>
  <c r="S74" i="42"/>
  <c r="S75" i="42"/>
  <c r="S76" i="42"/>
  <c r="S77" i="42"/>
  <c r="S78" i="42"/>
  <c r="S79" i="42"/>
  <c r="S80" i="42"/>
  <c r="S81" i="42"/>
  <c r="S82" i="42"/>
  <c r="S83" i="42"/>
  <c r="S84" i="42"/>
  <c r="S85" i="42"/>
  <c r="S86" i="42"/>
  <c r="S87" i="42"/>
  <c r="S88" i="42"/>
  <c r="S89" i="42"/>
  <c r="L89" i="42"/>
  <c r="K89" i="42"/>
  <c r="J89" i="42"/>
  <c r="I89" i="42"/>
  <c r="H89" i="42"/>
  <c r="G89" i="42"/>
  <c r="L88" i="42"/>
  <c r="K88" i="42"/>
  <c r="J88" i="42"/>
  <c r="I88" i="42"/>
  <c r="H88" i="42"/>
  <c r="G88" i="42"/>
  <c r="L87" i="42"/>
  <c r="K87" i="42"/>
  <c r="J87" i="42"/>
  <c r="I87" i="42"/>
  <c r="H87" i="42"/>
  <c r="G87" i="42"/>
  <c r="L86" i="42"/>
  <c r="K86" i="42"/>
  <c r="J86" i="42"/>
  <c r="I86" i="42"/>
  <c r="H86" i="42"/>
  <c r="G86" i="42"/>
  <c r="L85" i="42"/>
  <c r="K85" i="42"/>
  <c r="J85" i="42"/>
  <c r="I85" i="42"/>
  <c r="H85" i="42"/>
  <c r="G85" i="42"/>
  <c r="L84" i="42"/>
  <c r="K84" i="42"/>
  <c r="J84" i="42"/>
  <c r="I84" i="42"/>
  <c r="H84" i="42"/>
  <c r="G84" i="42"/>
  <c r="L83" i="42"/>
  <c r="K83" i="42"/>
  <c r="J83" i="42"/>
  <c r="I83" i="42"/>
  <c r="H83" i="42"/>
  <c r="G83" i="42"/>
  <c r="L82" i="42"/>
  <c r="K82" i="42"/>
  <c r="J82" i="42"/>
  <c r="I82" i="42"/>
  <c r="H82" i="42"/>
  <c r="G82" i="42"/>
  <c r="L81" i="42"/>
  <c r="K81" i="42"/>
  <c r="J81" i="42"/>
  <c r="I81" i="42"/>
  <c r="H81" i="42"/>
  <c r="G81" i="42"/>
  <c r="L80" i="42"/>
  <c r="K80" i="42"/>
  <c r="J80" i="42"/>
  <c r="I80" i="42"/>
  <c r="H80" i="42"/>
  <c r="G80" i="42"/>
  <c r="L79" i="42"/>
  <c r="K79" i="42"/>
  <c r="J79" i="42"/>
  <c r="I79" i="42"/>
  <c r="H79" i="42"/>
  <c r="G79" i="42"/>
  <c r="L78" i="42"/>
  <c r="K78" i="42"/>
  <c r="J78" i="42"/>
  <c r="I78" i="42"/>
  <c r="H78" i="42"/>
  <c r="G78" i="42"/>
  <c r="L77" i="42"/>
  <c r="K77" i="42"/>
  <c r="J77" i="42"/>
  <c r="I77" i="42"/>
  <c r="H77" i="42"/>
  <c r="G77" i="42"/>
  <c r="L76" i="42"/>
  <c r="K76" i="42"/>
  <c r="J76" i="42"/>
  <c r="I76" i="42"/>
  <c r="H76" i="42"/>
  <c r="G76" i="42"/>
  <c r="L75" i="42"/>
  <c r="K75" i="42"/>
  <c r="J75" i="42"/>
  <c r="I75" i="42"/>
  <c r="H75" i="42"/>
  <c r="G75" i="42"/>
  <c r="L74" i="42"/>
  <c r="K74" i="42"/>
  <c r="J74" i="42"/>
  <c r="I74" i="42"/>
  <c r="H74" i="42"/>
  <c r="G74" i="42"/>
  <c r="L73" i="42"/>
  <c r="K73" i="42"/>
  <c r="J73" i="42"/>
  <c r="I73" i="42"/>
  <c r="H73" i="42"/>
  <c r="G73" i="42"/>
  <c r="L72" i="42"/>
  <c r="K72" i="42"/>
  <c r="J72" i="42"/>
  <c r="I72" i="42"/>
  <c r="H72" i="42"/>
  <c r="G72" i="42"/>
  <c r="L71" i="42"/>
  <c r="K71" i="42"/>
  <c r="J71" i="42"/>
  <c r="I71" i="42"/>
  <c r="H71" i="42"/>
  <c r="G71" i="42"/>
  <c r="L70" i="42"/>
  <c r="K70" i="42"/>
  <c r="J70" i="42"/>
  <c r="I70" i="42"/>
  <c r="H70" i="42"/>
  <c r="G70" i="42"/>
  <c r="L69" i="42"/>
  <c r="K69" i="42"/>
  <c r="J69" i="42"/>
  <c r="I69" i="42"/>
  <c r="H69" i="42"/>
  <c r="G69" i="42"/>
  <c r="L68" i="42"/>
  <c r="K68" i="42"/>
  <c r="J68" i="42"/>
  <c r="I68" i="42"/>
  <c r="H68" i="42"/>
  <c r="G68" i="42"/>
  <c r="L67" i="42"/>
  <c r="K67" i="42"/>
  <c r="J67" i="42"/>
  <c r="I67" i="42"/>
  <c r="H67" i="42"/>
  <c r="G67" i="42"/>
  <c r="L66" i="42"/>
  <c r="K66" i="42"/>
  <c r="J66" i="42"/>
  <c r="I66" i="42"/>
  <c r="H66" i="42"/>
  <c r="G66" i="42"/>
  <c r="L65" i="42"/>
  <c r="K65" i="42"/>
  <c r="J65" i="42"/>
  <c r="I65" i="42"/>
  <c r="H65" i="42"/>
  <c r="G65" i="42"/>
  <c r="L64" i="42"/>
  <c r="K64" i="42"/>
  <c r="J64" i="42"/>
  <c r="I64" i="42"/>
  <c r="H64" i="42"/>
  <c r="G64" i="42"/>
  <c r="L63" i="42"/>
  <c r="K63" i="42"/>
  <c r="J63" i="42"/>
  <c r="I63" i="42"/>
  <c r="H63" i="42"/>
  <c r="G63" i="42"/>
  <c r="L62" i="42"/>
  <c r="K62" i="42"/>
  <c r="J62" i="42"/>
  <c r="I62" i="42"/>
  <c r="H62" i="42"/>
  <c r="G62" i="42"/>
  <c r="L61" i="42"/>
  <c r="K61" i="42"/>
  <c r="J61" i="42"/>
  <c r="I61" i="42"/>
  <c r="H61" i="42"/>
  <c r="G61" i="42"/>
  <c r="L60" i="42"/>
  <c r="K60" i="42"/>
  <c r="J60" i="42"/>
  <c r="I60" i="42"/>
  <c r="H60" i="42"/>
  <c r="G60" i="42"/>
  <c r="L59" i="42"/>
  <c r="K59" i="42"/>
  <c r="J59" i="42"/>
  <c r="I59" i="42"/>
  <c r="H59" i="42"/>
  <c r="G59" i="42"/>
  <c r="L58" i="42"/>
  <c r="K58" i="42"/>
  <c r="J58" i="42"/>
  <c r="I58" i="42"/>
  <c r="H58" i="42"/>
  <c r="G58" i="42"/>
  <c r="L57" i="42"/>
  <c r="K57" i="42"/>
  <c r="J57" i="42"/>
  <c r="I57" i="42"/>
  <c r="H57" i="42"/>
  <c r="G57" i="42"/>
  <c r="L56" i="42"/>
  <c r="K56" i="42"/>
  <c r="J56" i="42"/>
  <c r="I56" i="42"/>
  <c r="H56" i="42"/>
  <c r="G56" i="42"/>
  <c r="L55" i="42"/>
  <c r="K55" i="42"/>
  <c r="J55" i="42"/>
  <c r="I55" i="42"/>
  <c r="H55" i="42"/>
  <c r="G55" i="42"/>
  <c r="L54" i="42"/>
  <c r="K54" i="42"/>
  <c r="J54" i="42"/>
  <c r="I54" i="42"/>
  <c r="H54" i="42"/>
  <c r="G54" i="42"/>
  <c r="L53" i="42"/>
  <c r="K53" i="42"/>
  <c r="J53" i="42"/>
  <c r="I53" i="42"/>
  <c r="H53" i="42"/>
  <c r="G53" i="42"/>
  <c r="L52" i="42"/>
  <c r="K52" i="42"/>
  <c r="J52" i="42"/>
  <c r="I52" i="42"/>
  <c r="H52" i="42"/>
  <c r="G52" i="42"/>
  <c r="L51" i="42"/>
  <c r="K51" i="42"/>
  <c r="J51" i="42"/>
  <c r="I51" i="42"/>
  <c r="H51" i="42"/>
  <c r="G51" i="42"/>
  <c r="L50" i="42"/>
  <c r="K50" i="42"/>
  <c r="J50" i="42"/>
  <c r="I50" i="42"/>
  <c r="H50" i="42"/>
  <c r="G50" i="42"/>
  <c r="L49" i="42"/>
  <c r="K49" i="42"/>
  <c r="J49" i="42"/>
  <c r="I49" i="42"/>
  <c r="H49" i="42"/>
  <c r="G49" i="42"/>
  <c r="L48" i="42"/>
  <c r="K48" i="42"/>
  <c r="J48" i="42"/>
  <c r="I48" i="42"/>
  <c r="H48" i="42"/>
  <c r="G48" i="42"/>
  <c r="L47" i="42"/>
  <c r="K47" i="42"/>
  <c r="J47" i="42"/>
  <c r="I47" i="42"/>
  <c r="H47" i="42"/>
  <c r="G47" i="42"/>
  <c r="L46" i="42"/>
  <c r="K46" i="42"/>
  <c r="J46" i="42"/>
  <c r="I46" i="42"/>
  <c r="H46" i="42"/>
  <c r="G46" i="42"/>
  <c r="L45" i="42"/>
  <c r="K45" i="42"/>
  <c r="J45" i="42"/>
  <c r="I45" i="42"/>
  <c r="H45" i="42"/>
  <c r="G45" i="42"/>
  <c r="L44" i="42"/>
  <c r="K44" i="42"/>
  <c r="J44" i="42"/>
  <c r="I44" i="42"/>
  <c r="H44" i="42"/>
  <c r="G44" i="42"/>
  <c r="L43" i="42"/>
  <c r="K43" i="42"/>
  <c r="J43" i="42"/>
  <c r="I43" i="42"/>
  <c r="H43" i="42"/>
  <c r="G43" i="42"/>
  <c r="L42" i="42"/>
  <c r="K42" i="42"/>
  <c r="J42" i="42"/>
  <c r="I42" i="42"/>
  <c r="H42" i="42"/>
  <c r="G42" i="42"/>
  <c r="L41" i="42"/>
  <c r="K41" i="42"/>
  <c r="J41" i="42"/>
  <c r="I41" i="42"/>
  <c r="H41" i="42"/>
  <c r="G41" i="42"/>
  <c r="L40" i="42"/>
  <c r="K40" i="42"/>
  <c r="J40" i="42"/>
  <c r="I40" i="42"/>
  <c r="H40" i="42"/>
  <c r="G40" i="42"/>
  <c r="L39" i="42"/>
  <c r="K39" i="42"/>
  <c r="J39" i="42"/>
  <c r="I39" i="42"/>
  <c r="H39" i="42"/>
  <c r="G39" i="42"/>
  <c r="L38" i="42"/>
  <c r="K38" i="42"/>
  <c r="J38" i="42"/>
  <c r="I38" i="42"/>
  <c r="H38" i="42"/>
  <c r="G38" i="42"/>
  <c r="L37" i="42"/>
  <c r="K37" i="42"/>
  <c r="J37" i="42"/>
  <c r="I37" i="42"/>
  <c r="H37" i="42"/>
  <c r="G37" i="42"/>
  <c r="L36" i="42"/>
  <c r="K36" i="42"/>
  <c r="J36" i="42"/>
  <c r="I36" i="42"/>
  <c r="H36" i="42"/>
  <c r="G36" i="42"/>
  <c r="L35" i="42"/>
  <c r="K35" i="42"/>
  <c r="J35" i="42"/>
  <c r="I35" i="42"/>
  <c r="H35" i="42"/>
  <c r="G35" i="42"/>
  <c r="L34" i="42"/>
  <c r="K34" i="42"/>
  <c r="J34" i="42"/>
  <c r="I34" i="42"/>
  <c r="H34" i="42"/>
  <c r="G34" i="42"/>
  <c r="L33" i="42"/>
  <c r="K33" i="42"/>
  <c r="J33" i="42"/>
  <c r="I33" i="42"/>
  <c r="H33" i="42"/>
  <c r="G33" i="42"/>
  <c r="L32" i="42"/>
  <c r="K32" i="42"/>
  <c r="J32" i="42"/>
  <c r="I32" i="42"/>
  <c r="H32" i="42"/>
  <c r="G32" i="42"/>
  <c r="L31" i="42"/>
  <c r="K31" i="42"/>
  <c r="J31" i="42"/>
  <c r="I31" i="42"/>
  <c r="H31" i="42"/>
  <c r="G31" i="42"/>
  <c r="L30" i="42"/>
  <c r="K30" i="42"/>
  <c r="J30" i="42"/>
  <c r="I30" i="42"/>
  <c r="H30" i="42"/>
  <c r="G30" i="42"/>
  <c r="L29" i="42"/>
  <c r="K29" i="42"/>
  <c r="J29" i="42"/>
  <c r="I29" i="42"/>
  <c r="H29" i="42"/>
  <c r="G29" i="42"/>
  <c r="L28" i="42"/>
  <c r="K28" i="42"/>
  <c r="J28" i="42"/>
  <c r="I28" i="42"/>
  <c r="H28" i="42"/>
  <c r="G28" i="42"/>
  <c r="L27" i="42"/>
  <c r="K27" i="42"/>
  <c r="J27" i="42"/>
  <c r="I27" i="42"/>
  <c r="H27" i="42"/>
  <c r="G27" i="42"/>
  <c r="L26" i="42"/>
  <c r="K26" i="42"/>
  <c r="J26" i="42"/>
  <c r="I26" i="42"/>
  <c r="H26" i="42"/>
  <c r="G26" i="42"/>
  <c r="L25" i="42"/>
  <c r="K25" i="42"/>
  <c r="J25" i="42"/>
  <c r="I25" i="42"/>
  <c r="H25" i="42"/>
  <c r="G25" i="42"/>
  <c r="L24" i="42"/>
  <c r="K24" i="42"/>
  <c r="J24" i="42"/>
  <c r="I24" i="42"/>
  <c r="H24" i="42"/>
  <c r="G24" i="42"/>
  <c r="L23" i="42"/>
  <c r="K23" i="42"/>
  <c r="J23" i="42"/>
  <c r="I23" i="42"/>
  <c r="H23" i="42"/>
  <c r="G23" i="42"/>
  <c r="L22" i="42"/>
  <c r="K22" i="42"/>
  <c r="J22" i="42"/>
  <c r="I22" i="42"/>
  <c r="H22" i="42"/>
  <c r="G22" i="42"/>
  <c r="L21" i="42"/>
  <c r="K21" i="42"/>
  <c r="J21" i="42"/>
  <c r="I21" i="42"/>
  <c r="H21" i="42"/>
  <c r="G21" i="42"/>
  <c r="L20" i="42"/>
  <c r="K20" i="42"/>
  <c r="J20" i="42"/>
  <c r="I20" i="42"/>
  <c r="H20" i="42"/>
  <c r="G20" i="42"/>
  <c r="L19" i="42"/>
  <c r="K19" i="42"/>
  <c r="J19" i="42"/>
  <c r="I19" i="42"/>
  <c r="H19" i="42"/>
  <c r="G19" i="42"/>
  <c r="L18" i="42"/>
  <c r="K18" i="42"/>
  <c r="J18" i="42"/>
  <c r="I18" i="42"/>
  <c r="H18" i="42"/>
  <c r="G18" i="42"/>
  <c r="L17" i="42"/>
  <c r="K17" i="42"/>
  <c r="J17" i="42"/>
  <c r="I17" i="42"/>
  <c r="H17" i="42"/>
  <c r="G17" i="42"/>
  <c r="L16" i="42"/>
  <c r="K16" i="42"/>
  <c r="J16" i="42"/>
  <c r="I16" i="42"/>
  <c r="H16" i="42"/>
  <c r="G16" i="42"/>
  <c r="L15" i="42"/>
  <c r="K15" i="42"/>
  <c r="J15" i="42"/>
  <c r="I15" i="42"/>
  <c r="H15" i="42"/>
  <c r="G15" i="42"/>
  <c r="L14" i="42"/>
  <c r="K14" i="42"/>
  <c r="J14" i="42"/>
  <c r="I14" i="42"/>
  <c r="H14" i="42"/>
  <c r="G14" i="42"/>
  <c r="L13" i="42"/>
  <c r="K13" i="42"/>
  <c r="J13" i="42"/>
  <c r="I13" i="42"/>
  <c r="H13" i="42"/>
  <c r="G13" i="42"/>
  <c r="L12" i="42"/>
  <c r="K12" i="42"/>
  <c r="J12" i="42"/>
  <c r="I12" i="42"/>
  <c r="H12" i="42"/>
  <c r="G12" i="42"/>
  <c r="L11" i="42"/>
  <c r="K11" i="42"/>
  <c r="J11" i="42"/>
  <c r="I11" i="42"/>
  <c r="H11" i="42"/>
  <c r="G11" i="42"/>
  <c r="L10" i="42"/>
  <c r="K10" i="42"/>
  <c r="J10" i="42"/>
  <c r="I10" i="42"/>
  <c r="H10" i="42"/>
  <c r="G10" i="42"/>
  <c r="L9" i="42"/>
  <c r="K9" i="42"/>
  <c r="J9" i="42"/>
  <c r="I9" i="42"/>
  <c r="H9" i="42"/>
  <c r="G9" i="42"/>
  <c r="L8" i="42"/>
  <c r="K8" i="42"/>
  <c r="J8" i="42"/>
  <c r="I8" i="42"/>
  <c r="H8" i="42"/>
  <c r="G8" i="42"/>
  <c r="L7" i="42"/>
  <c r="K7" i="42"/>
  <c r="J7" i="42"/>
  <c r="I7" i="42"/>
  <c r="H7" i="42"/>
  <c r="G7" i="42"/>
  <c r="L6" i="42"/>
  <c r="K6" i="42"/>
  <c r="J6" i="42"/>
  <c r="I6" i="42"/>
  <c r="H6" i="42"/>
  <c r="G6" i="42"/>
  <c r="L5" i="42"/>
  <c r="K5" i="42"/>
  <c r="J5" i="42"/>
  <c r="I5" i="42"/>
  <c r="H5" i="42"/>
  <c r="G5" i="42"/>
  <c r="S46" i="42"/>
  <c r="S45" i="42"/>
  <c r="S44" i="42"/>
  <c r="S43" i="42"/>
  <c r="S42" i="42"/>
  <c r="S41" i="42"/>
  <c r="S40" i="42"/>
  <c r="S39" i="42"/>
  <c r="S38" i="42"/>
  <c r="S37" i="42"/>
  <c r="S36" i="42"/>
  <c r="S35" i="42"/>
  <c r="S34" i="42"/>
  <c r="S33" i="42"/>
  <c r="S32" i="42"/>
  <c r="S31" i="42"/>
  <c r="S30" i="42"/>
  <c r="S29" i="42"/>
  <c r="S28" i="42"/>
  <c r="S27" i="42"/>
  <c r="S26" i="42"/>
  <c r="S25" i="42"/>
  <c r="S24" i="42"/>
  <c r="S23" i="42"/>
  <c r="S22" i="42"/>
  <c r="S21" i="42"/>
  <c r="S20" i="42"/>
  <c r="S19" i="42"/>
  <c r="S18" i="42"/>
  <c r="S17" i="42"/>
  <c r="S16" i="42"/>
  <c r="S15" i="42"/>
  <c r="S14" i="42"/>
  <c r="S13" i="42"/>
  <c r="S12" i="42"/>
  <c r="S11" i="42"/>
  <c r="S10" i="42"/>
  <c r="S9" i="42"/>
  <c r="S8" i="42"/>
  <c r="S7" i="42"/>
  <c r="S6" i="42"/>
  <c r="S5" i="42"/>
  <c r="R18" i="40"/>
  <c r="K18" i="40"/>
  <c r="F18" i="40"/>
  <c r="R17" i="40"/>
  <c r="K17" i="40"/>
  <c r="F17" i="40"/>
  <c r="R16" i="40"/>
  <c r="K16" i="40"/>
  <c r="F16" i="40"/>
  <c r="R15" i="40"/>
  <c r="K15" i="40"/>
  <c r="F15" i="40"/>
  <c r="R14" i="40"/>
  <c r="K14" i="40"/>
  <c r="F14" i="40"/>
  <c r="R12" i="40"/>
  <c r="K12" i="40"/>
  <c r="F12" i="40"/>
  <c r="R11" i="40"/>
  <c r="K11" i="40"/>
  <c r="F11" i="40"/>
  <c r="R10" i="40"/>
  <c r="K10" i="40"/>
  <c r="F10" i="40"/>
  <c r="R9" i="40"/>
  <c r="K9" i="40"/>
  <c r="F9" i="40"/>
  <c r="R8" i="40"/>
  <c r="K8" i="40"/>
  <c r="F8" i="40"/>
  <c r="R6" i="40"/>
  <c r="K6" i="40"/>
  <c r="F6" i="40"/>
  <c r="R5" i="40"/>
  <c r="K5" i="40"/>
  <c r="F5" i="40"/>
  <c r="R4" i="40"/>
  <c r="K4" i="40"/>
  <c r="F4" i="40"/>
  <c r="R3" i="40"/>
  <c r="K3" i="40"/>
  <c r="F3" i="40"/>
  <c r="R2" i="40"/>
  <c r="K2" i="40"/>
  <c r="F2" i="40"/>
  <c r="R1" i="40"/>
  <c r="K1" i="40"/>
  <c r="F1" i="40"/>
  <c r="U6" i="30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29" i="30"/>
  <c r="U30" i="30"/>
  <c r="U31" i="30"/>
  <c r="U32" i="30"/>
  <c r="U33" i="30"/>
  <c r="U34" i="30"/>
  <c r="U35" i="30"/>
  <c r="U36" i="30"/>
  <c r="U37" i="30"/>
  <c r="U38" i="30"/>
  <c r="U39" i="30"/>
  <c r="U40" i="30"/>
  <c r="U41" i="30"/>
  <c r="U42" i="30"/>
  <c r="U43" i="30"/>
  <c r="U44" i="30"/>
  <c r="U45" i="30"/>
  <c r="U46" i="30"/>
  <c r="U47" i="30"/>
  <c r="U48" i="30"/>
  <c r="U49" i="30"/>
  <c r="U50" i="30"/>
  <c r="U51" i="30"/>
  <c r="U52" i="30"/>
  <c r="U53" i="30"/>
  <c r="U54" i="30"/>
  <c r="U55" i="30"/>
  <c r="U56" i="30"/>
  <c r="U57" i="30"/>
  <c r="U58" i="30"/>
  <c r="U59" i="30"/>
  <c r="U60" i="30"/>
  <c r="U61" i="30"/>
  <c r="U62" i="30"/>
  <c r="U63" i="30"/>
  <c r="U64" i="30"/>
  <c r="U65" i="30"/>
  <c r="U66" i="30"/>
  <c r="U67" i="30"/>
  <c r="U68" i="30"/>
  <c r="U69" i="30"/>
  <c r="U70" i="30"/>
  <c r="U71" i="30"/>
  <c r="U72" i="30"/>
  <c r="U73" i="30"/>
  <c r="U74" i="30"/>
  <c r="U75" i="30"/>
  <c r="U5" i="30"/>
  <c r="U6" i="27"/>
  <c r="U7" i="27"/>
  <c r="U8" i="27"/>
  <c r="U9" i="27"/>
  <c r="U10" i="27"/>
  <c r="U11" i="27"/>
  <c r="U12" i="27"/>
  <c r="U13" i="27"/>
  <c r="U14" i="27"/>
  <c r="U15" i="27"/>
  <c r="U16" i="27"/>
  <c r="U17" i="27"/>
  <c r="U18" i="27"/>
  <c r="U19" i="27"/>
  <c r="U20" i="27"/>
  <c r="U21" i="27"/>
  <c r="U22" i="27"/>
  <c r="U23" i="27"/>
  <c r="U24" i="27"/>
  <c r="U25" i="27"/>
  <c r="U26" i="27"/>
  <c r="U27" i="27"/>
  <c r="U28" i="27"/>
  <c r="U29" i="27"/>
  <c r="U30" i="27"/>
  <c r="U31" i="27"/>
  <c r="U32" i="27"/>
  <c r="U33" i="27"/>
  <c r="U34" i="27"/>
  <c r="U35" i="27"/>
  <c r="U36" i="27"/>
  <c r="U37" i="27"/>
  <c r="U38" i="27"/>
  <c r="U39" i="27"/>
  <c r="U40" i="27"/>
  <c r="U41" i="27"/>
  <c r="U42" i="27"/>
  <c r="U43" i="27"/>
  <c r="U44" i="27"/>
  <c r="U45" i="27"/>
  <c r="U46" i="27"/>
  <c r="U5" i="27"/>
  <c r="J9" i="34" l="1"/>
  <c r="S111" i="31" l="1"/>
  <c r="S110" i="31"/>
  <c r="S109" i="31"/>
  <c r="S108" i="31"/>
  <c r="S107" i="31"/>
  <c r="S106" i="31"/>
  <c r="S105" i="31"/>
  <c r="S104" i="31"/>
  <c r="S103" i="31"/>
  <c r="S102" i="31"/>
  <c r="S101" i="31"/>
  <c r="S100" i="31"/>
  <c r="S99" i="31"/>
  <c r="S98" i="31"/>
  <c r="S97" i="31"/>
  <c r="S96" i="31"/>
  <c r="S95" i="31"/>
  <c r="S94" i="31"/>
  <c r="S93" i="31"/>
  <c r="S92" i="31"/>
  <c r="S91" i="31"/>
  <c r="S90" i="31"/>
  <c r="S89" i="31"/>
  <c r="S88" i="31"/>
  <c r="S87" i="31"/>
  <c r="S86" i="31"/>
  <c r="S85" i="31"/>
  <c r="S84" i="31"/>
  <c r="S83" i="31"/>
  <c r="S82" i="31"/>
  <c r="S81" i="31"/>
  <c r="S80" i="31"/>
  <c r="S79" i="31"/>
  <c r="S78" i="31"/>
  <c r="S77" i="31"/>
  <c r="S76" i="31"/>
  <c r="S75" i="31"/>
  <c r="S74" i="31"/>
  <c r="S73" i="31"/>
  <c r="S72" i="31"/>
  <c r="S71" i="31"/>
  <c r="S70" i="31"/>
  <c r="S69" i="31"/>
  <c r="S68" i="31"/>
  <c r="S67" i="31"/>
  <c r="S66" i="31"/>
  <c r="S65" i="31"/>
  <c r="S64" i="31"/>
  <c r="S63" i="31"/>
  <c r="S62" i="31"/>
  <c r="S61" i="31"/>
  <c r="S60" i="31"/>
  <c r="S59" i="31"/>
  <c r="S58" i="31"/>
  <c r="S57" i="31"/>
  <c r="S56" i="31"/>
  <c r="S55" i="31"/>
  <c r="S54" i="31"/>
  <c r="S53" i="31"/>
  <c r="S52" i="31"/>
  <c r="S51" i="31"/>
  <c r="S50" i="31"/>
  <c r="S49" i="31"/>
  <c r="S48" i="31"/>
  <c r="S47" i="31"/>
  <c r="S46" i="31"/>
  <c r="S45" i="31"/>
  <c r="S44" i="31"/>
  <c r="S43" i="31"/>
  <c r="S42" i="31"/>
  <c r="S41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9" i="31"/>
  <c r="S18" i="31"/>
  <c r="S17" i="31"/>
  <c r="S16" i="31"/>
  <c r="S15" i="31"/>
  <c r="S14" i="31"/>
  <c r="S13" i="31"/>
  <c r="S12" i="31"/>
  <c r="S11" i="31"/>
  <c r="S10" i="31"/>
  <c r="S5" i="39"/>
  <c r="S6" i="39"/>
  <c r="S7" i="39"/>
  <c r="S8" i="39"/>
  <c r="S9" i="39"/>
  <c r="S10" i="39"/>
  <c r="G6" i="28" l="1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5" i="28"/>
  <c r="L6" i="28"/>
  <c r="L7" i="28"/>
  <c r="L8" i="28"/>
  <c r="L9" i="28"/>
  <c r="L10" i="28"/>
  <c r="L11" i="28"/>
  <c r="L12" i="28"/>
  <c r="L13" i="28"/>
  <c r="L14" i="28"/>
  <c r="L15" i="28"/>
  <c r="L16" i="28"/>
  <c r="L17" i="28"/>
  <c r="L18" i="28"/>
  <c r="L19" i="28"/>
  <c r="L20" i="28"/>
  <c r="L21" i="28"/>
  <c r="L22" i="28"/>
  <c r="L23" i="28"/>
  <c r="L24" i="28"/>
  <c r="L25" i="28"/>
  <c r="L26" i="28"/>
  <c r="L27" i="28"/>
  <c r="L28" i="28"/>
  <c r="L29" i="28"/>
  <c r="L30" i="28"/>
  <c r="L31" i="28"/>
  <c r="L32" i="28"/>
  <c r="L33" i="28"/>
  <c r="L34" i="28"/>
  <c r="L35" i="28"/>
  <c r="L36" i="28"/>
  <c r="L37" i="28"/>
  <c r="L38" i="28"/>
  <c r="L39" i="28"/>
  <c r="L5" i="28"/>
  <c r="G5" i="27"/>
  <c r="L5" i="27"/>
  <c r="G6" i="27"/>
  <c r="L6" i="27"/>
  <c r="G7" i="27"/>
  <c r="L7" i="27"/>
  <c r="G8" i="27"/>
  <c r="L8" i="27"/>
  <c r="G9" i="27"/>
  <c r="L9" i="27"/>
  <c r="G10" i="27"/>
  <c r="L10" i="27"/>
  <c r="G11" i="27"/>
  <c r="L11" i="27"/>
  <c r="G12" i="27"/>
  <c r="L12" i="27"/>
  <c r="G13" i="27"/>
  <c r="L13" i="27"/>
  <c r="G14" i="27"/>
  <c r="L14" i="27"/>
  <c r="G15" i="27"/>
  <c r="L15" i="27"/>
  <c r="G16" i="27"/>
  <c r="L16" i="27"/>
  <c r="G17" i="27"/>
  <c r="L17" i="27"/>
  <c r="G18" i="27"/>
  <c r="L18" i="27"/>
  <c r="G19" i="27"/>
  <c r="L19" i="27"/>
  <c r="G20" i="27"/>
  <c r="L20" i="27"/>
  <c r="G21" i="27"/>
  <c r="L21" i="27"/>
  <c r="G22" i="27"/>
  <c r="L22" i="27"/>
  <c r="G23" i="27"/>
  <c r="L23" i="27"/>
  <c r="G24" i="27"/>
  <c r="L24" i="27"/>
  <c r="G25" i="27"/>
  <c r="L25" i="27"/>
  <c r="G26" i="27"/>
  <c r="L26" i="27"/>
  <c r="G27" i="27"/>
  <c r="L27" i="27"/>
  <c r="G28" i="27"/>
  <c r="L28" i="27"/>
  <c r="G29" i="27"/>
  <c r="L29" i="27"/>
  <c r="G30" i="27"/>
  <c r="L30" i="27"/>
  <c r="G31" i="27"/>
  <c r="L31" i="27"/>
  <c r="G32" i="27"/>
  <c r="L32" i="27"/>
  <c r="G33" i="27"/>
  <c r="L33" i="27"/>
  <c r="G34" i="27"/>
  <c r="L34" i="27"/>
  <c r="G35" i="27"/>
  <c r="L35" i="27"/>
  <c r="G36" i="27"/>
  <c r="L36" i="27"/>
  <c r="G37" i="27"/>
  <c r="L37" i="27"/>
  <c r="G38" i="27"/>
  <c r="L38" i="27"/>
  <c r="G39" i="27"/>
  <c r="L39" i="27"/>
  <c r="G40" i="27"/>
  <c r="L40" i="27"/>
  <c r="G41" i="27"/>
  <c r="L41" i="27"/>
  <c r="G42" i="27"/>
  <c r="L42" i="27"/>
  <c r="G43" i="27"/>
  <c r="L43" i="27"/>
  <c r="G44" i="27"/>
  <c r="L44" i="27"/>
  <c r="G45" i="27"/>
  <c r="L45" i="27"/>
  <c r="G46" i="27"/>
  <c r="L46" i="27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" i="18"/>
  <c r="G5" i="18"/>
  <c r="S81" i="39" l="1"/>
  <c r="S80" i="39"/>
  <c r="S79" i="39"/>
  <c r="S78" i="39"/>
  <c r="S77" i="39"/>
  <c r="S76" i="39"/>
  <c r="S75" i="39"/>
  <c r="S74" i="39"/>
  <c r="S73" i="39"/>
  <c r="S72" i="39"/>
  <c r="S71" i="39"/>
  <c r="S70" i="39"/>
  <c r="S69" i="39"/>
  <c r="S68" i="39"/>
  <c r="S67" i="39"/>
  <c r="S66" i="39"/>
  <c r="S65" i="39"/>
  <c r="S64" i="39"/>
  <c r="S63" i="39"/>
  <c r="S62" i="39"/>
  <c r="S61" i="39"/>
  <c r="S60" i="39"/>
  <c r="S59" i="39"/>
  <c r="S58" i="39"/>
  <c r="S57" i="39"/>
  <c r="S56" i="39"/>
  <c r="S55" i="39"/>
  <c r="S54" i="39"/>
  <c r="S53" i="39"/>
  <c r="S52" i="39"/>
  <c r="S51" i="39"/>
  <c r="S50" i="39"/>
  <c r="S49" i="39"/>
  <c r="S48" i="39"/>
  <c r="S47" i="39"/>
  <c r="S46" i="39"/>
  <c r="S45" i="39"/>
  <c r="S44" i="39"/>
  <c r="S43" i="39"/>
  <c r="S42" i="39"/>
  <c r="S41" i="39"/>
  <c r="S40" i="39"/>
  <c r="S39" i="39"/>
  <c r="S38" i="39"/>
  <c r="S37" i="39"/>
  <c r="S36" i="39"/>
  <c r="S35" i="39"/>
  <c r="S34" i="39"/>
  <c r="S33" i="39"/>
  <c r="S32" i="39"/>
  <c r="S31" i="39"/>
  <c r="S30" i="39"/>
  <c r="S29" i="39"/>
  <c r="S28" i="39"/>
  <c r="S27" i="39"/>
  <c r="S26" i="39"/>
  <c r="S25" i="39"/>
  <c r="S24" i="39"/>
  <c r="S23" i="39"/>
  <c r="S22" i="39"/>
  <c r="S21" i="39"/>
  <c r="S20" i="39"/>
  <c r="S19" i="39"/>
  <c r="S18" i="39"/>
  <c r="S17" i="39"/>
  <c r="S16" i="39"/>
  <c r="S15" i="39"/>
  <c r="S14" i="39"/>
  <c r="S13" i="39"/>
  <c r="S12" i="39"/>
  <c r="S11" i="39"/>
  <c r="G16" i="9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5" i="34"/>
  <c r="L68" i="34"/>
  <c r="K68" i="34"/>
  <c r="J68" i="34"/>
  <c r="I68" i="34"/>
  <c r="H68" i="34"/>
  <c r="G68" i="34"/>
  <c r="L67" i="34"/>
  <c r="K67" i="34"/>
  <c r="J67" i="34"/>
  <c r="I67" i="34"/>
  <c r="H67" i="34"/>
  <c r="G67" i="34"/>
  <c r="L66" i="34"/>
  <c r="K66" i="34"/>
  <c r="J66" i="34"/>
  <c r="I66" i="34"/>
  <c r="H66" i="34"/>
  <c r="G66" i="34"/>
  <c r="L65" i="34"/>
  <c r="K65" i="34"/>
  <c r="J65" i="34"/>
  <c r="I65" i="34"/>
  <c r="H65" i="34"/>
  <c r="G65" i="34"/>
  <c r="L64" i="34"/>
  <c r="K64" i="34"/>
  <c r="J64" i="34"/>
  <c r="I64" i="34"/>
  <c r="H64" i="34"/>
  <c r="G64" i="34"/>
  <c r="L63" i="34"/>
  <c r="K63" i="34"/>
  <c r="J63" i="34"/>
  <c r="I63" i="34"/>
  <c r="H63" i="34"/>
  <c r="G63" i="34"/>
  <c r="L62" i="34"/>
  <c r="K62" i="34"/>
  <c r="J62" i="34"/>
  <c r="I62" i="34"/>
  <c r="H62" i="34"/>
  <c r="G62" i="34"/>
  <c r="L61" i="34"/>
  <c r="K61" i="34"/>
  <c r="J61" i="34"/>
  <c r="I61" i="34"/>
  <c r="H61" i="34"/>
  <c r="G61" i="34"/>
  <c r="L60" i="34"/>
  <c r="K60" i="34"/>
  <c r="J60" i="34"/>
  <c r="I60" i="34"/>
  <c r="H60" i="34"/>
  <c r="G60" i="34"/>
  <c r="L59" i="34"/>
  <c r="K59" i="34"/>
  <c r="J59" i="34"/>
  <c r="I59" i="34"/>
  <c r="H59" i="34"/>
  <c r="G59" i="34"/>
  <c r="L58" i="34"/>
  <c r="K58" i="34"/>
  <c r="J58" i="34"/>
  <c r="I58" i="34"/>
  <c r="H58" i="34"/>
  <c r="G58" i="34"/>
  <c r="L57" i="34"/>
  <c r="K57" i="34"/>
  <c r="J57" i="34"/>
  <c r="I57" i="34"/>
  <c r="H57" i="34"/>
  <c r="G57" i="34"/>
  <c r="L56" i="34"/>
  <c r="K56" i="34"/>
  <c r="J56" i="34"/>
  <c r="I56" i="34"/>
  <c r="H56" i="34"/>
  <c r="G56" i="34"/>
  <c r="L55" i="34"/>
  <c r="K55" i="34"/>
  <c r="J55" i="34"/>
  <c r="I55" i="34"/>
  <c r="H55" i="34"/>
  <c r="G55" i="34"/>
  <c r="L54" i="34"/>
  <c r="K54" i="34"/>
  <c r="J54" i="34"/>
  <c r="I54" i="34"/>
  <c r="H54" i="34"/>
  <c r="G54" i="34"/>
  <c r="L53" i="34"/>
  <c r="K53" i="34"/>
  <c r="J53" i="34"/>
  <c r="I53" i="34"/>
  <c r="H53" i="34"/>
  <c r="G53" i="34"/>
  <c r="L52" i="34"/>
  <c r="K52" i="34"/>
  <c r="J52" i="34"/>
  <c r="I52" i="34"/>
  <c r="H52" i="34"/>
  <c r="G52" i="34"/>
  <c r="L51" i="34"/>
  <c r="K51" i="34"/>
  <c r="J51" i="34"/>
  <c r="I51" i="34"/>
  <c r="H51" i="34"/>
  <c r="G51" i="34"/>
  <c r="L50" i="34"/>
  <c r="K50" i="34"/>
  <c r="J50" i="34"/>
  <c r="I50" i="34"/>
  <c r="H50" i="34"/>
  <c r="G50" i="34"/>
  <c r="L49" i="34"/>
  <c r="K49" i="34"/>
  <c r="J49" i="34"/>
  <c r="I49" i="34"/>
  <c r="H49" i="34"/>
  <c r="G49" i="34"/>
  <c r="L48" i="34"/>
  <c r="K48" i="34"/>
  <c r="J48" i="34"/>
  <c r="I48" i="34"/>
  <c r="H48" i="34"/>
  <c r="G48" i="34"/>
  <c r="L47" i="34"/>
  <c r="K47" i="34"/>
  <c r="J47" i="34"/>
  <c r="I47" i="34"/>
  <c r="H47" i="34"/>
  <c r="G47" i="34"/>
  <c r="L46" i="34"/>
  <c r="K46" i="34"/>
  <c r="J46" i="34"/>
  <c r="I46" i="34"/>
  <c r="H46" i="34"/>
  <c r="G46" i="34"/>
  <c r="L45" i="34"/>
  <c r="K45" i="34"/>
  <c r="J45" i="34"/>
  <c r="I45" i="34"/>
  <c r="H45" i="34"/>
  <c r="G45" i="34"/>
  <c r="L44" i="34"/>
  <c r="K44" i="34"/>
  <c r="J44" i="34"/>
  <c r="I44" i="34"/>
  <c r="H44" i="34"/>
  <c r="G44" i="34"/>
  <c r="L43" i="34"/>
  <c r="K43" i="34"/>
  <c r="J43" i="34"/>
  <c r="I43" i="34"/>
  <c r="H43" i="34"/>
  <c r="G43" i="34"/>
  <c r="L42" i="34"/>
  <c r="K42" i="34"/>
  <c r="J42" i="34"/>
  <c r="I42" i="34"/>
  <c r="H42" i="34"/>
  <c r="G42" i="34"/>
  <c r="L41" i="34"/>
  <c r="K41" i="34"/>
  <c r="J41" i="34"/>
  <c r="I41" i="34"/>
  <c r="H41" i="34"/>
  <c r="G41" i="34"/>
  <c r="L40" i="34"/>
  <c r="K40" i="34"/>
  <c r="J40" i="34"/>
  <c r="I40" i="34"/>
  <c r="H40" i="34"/>
  <c r="G40" i="34"/>
  <c r="L39" i="34"/>
  <c r="K39" i="34"/>
  <c r="J39" i="34"/>
  <c r="I39" i="34"/>
  <c r="H39" i="34"/>
  <c r="G39" i="34"/>
  <c r="L38" i="34"/>
  <c r="K38" i="34"/>
  <c r="J38" i="34"/>
  <c r="I38" i="34"/>
  <c r="H38" i="34"/>
  <c r="G38" i="34"/>
  <c r="L37" i="34"/>
  <c r="K37" i="34"/>
  <c r="J37" i="34"/>
  <c r="I37" i="34"/>
  <c r="H37" i="34"/>
  <c r="G37" i="34"/>
  <c r="L36" i="34"/>
  <c r="K36" i="34"/>
  <c r="J36" i="34"/>
  <c r="I36" i="34"/>
  <c r="H36" i="34"/>
  <c r="G36" i="34"/>
  <c r="L35" i="34"/>
  <c r="K35" i="34"/>
  <c r="J35" i="34"/>
  <c r="I35" i="34"/>
  <c r="H35" i="34"/>
  <c r="G35" i="34"/>
  <c r="L34" i="34"/>
  <c r="K34" i="34"/>
  <c r="J34" i="34"/>
  <c r="I34" i="34"/>
  <c r="H34" i="34"/>
  <c r="G34" i="34"/>
  <c r="L33" i="34"/>
  <c r="K33" i="34"/>
  <c r="J33" i="34"/>
  <c r="I33" i="34"/>
  <c r="H33" i="34"/>
  <c r="G33" i="34"/>
  <c r="L32" i="34"/>
  <c r="K32" i="34"/>
  <c r="J32" i="34"/>
  <c r="I32" i="34"/>
  <c r="H32" i="34"/>
  <c r="G32" i="34"/>
  <c r="L31" i="34"/>
  <c r="K31" i="34"/>
  <c r="J31" i="34"/>
  <c r="I31" i="34"/>
  <c r="H31" i="34"/>
  <c r="G31" i="34"/>
  <c r="L30" i="34"/>
  <c r="K30" i="34"/>
  <c r="J30" i="34"/>
  <c r="I30" i="34"/>
  <c r="H30" i="34"/>
  <c r="G30" i="34"/>
  <c r="L29" i="34"/>
  <c r="K29" i="34"/>
  <c r="J29" i="34"/>
  <c r="I29" i="34"/>
  <c r="H29" i="34"/>
  <c r="G29" i="34"/>
  <c r="L28" i="34"/>
  <c r="K28" i="34"/>
  <c r="J28" i="34"/>
  <c r="I28" i="34"/>
  <c r="H28" i="34"/>
  <c r="G28" i="34"/>
  <c r="L27" i="34"/>
  <c r="K27" i="34"/>
  <c r="J27" i="34"/>
  <c r="I27" i="34"/>
  <c r="H27" i="34"/>
  <c r="G27" i="34"/>
  <c r="L26" i="34"/>
  <c r="K26" i="34"/>
  <c r="J26" i="34"/>
  <c r="I26" i="34"/>
  <c r="H26" i="34"/>
  <c r="G26" i="34"/>
  <c r="L25" i="34"/>
  <c r="K25" i="34"/>
  <c r="J25" i="34"/>
  <c r="I25" i="34"/>
  <c r="H25" i="34"/>
  <c r="G25" i="34"/>
  <c r="L24" i="34"/>
  <c r="K24" i="34"/>
  <c r="J24" i="34"/>
  <c r="I24" i="34"/>
  <c r="H24" i="34"/>
  <c r="G24" i="34"/>
  <c r="L23" i="34"/>
  <c r="K23" i="34"/>
  <c r="J23" i="34"/>
  <c r="I23" i="34"/>
  <c r="H23" i="34"/>
  <c r="G23" i="34"/>
  <c r="L22" i="34"/>
  <c r="K22" i="34"/>
  <c r="J22" i="34"/>
  <c r="I22" i="34"/>
  <c r="H22" i="34"/>
  <c r="G22" i="34"/>
  <c r="L21" i="34"/>
  <c r="K21" i="34"/>
  <c r="J21" i="34"/>
  <c r="I21" i="34"/>
  <c r="H21" i="34"/>
  <c r="G21" i="34"/>
  <c r="L20" i="34"/>
  <c r="K20" i="34"/>
  <c r="J20" i="34"/>
  <c r="I20" i="34"/>
  <c r="H20" i="34"/>
  <c r="G20" i="34"/>
  <c r="L19" i="34"/>
  <c r="K19" i="34"/>
  <c r="J19" i="34"/>
  <c r="I19" i="34"/>
  <c r="H19" i="34"/>
  <c r="G19" i="34"/>
  <c r="L18" i="34"/>
  <c r="K18" i="34"/>
  <c r="J18" i="34"/>
  <c r="I18" i="34"/>
  <c r="H18" i="34"/>
  <c r="G18" i="34"/>
  <c r="L17" i="34"/>
  <c r="K17" i="34"/>
  <c r="J17" i="34"/>
  <c r="I17" i="34"/>
  <c r="H17" i="34"/>
  <c r="G17" i="34"/>
  <c r="L16" i="34"/>
  <c r="K16" i="34"/>
  <c r="J16" i="34"/>
  <c r="I16" i="34"/>
  <c r="H16" i="34"/>
  <c r="G16" i="34"/>
  <c r="L15" i="34"/>
  <c r="K15" i="34"/>
  <c r="J15" i="34"/>
  <c r="I15" i="34"/>
  <c r="H15" i="34"/>
  <c r="G15" i="34"/>
  <c r="L14" i="34"/>
  <c r="K14" i="34"/>
  <c r="J14" i="34"/>
  <c r="I14" i="34"/>
  <c r="H14" i="34"/>
  <c r="G14" i="34"/>
  <c r="L13" i="34"/>
  <c r="K13" i="34"/>
  <c r="J13" i="34"/>
  <c r="I13" i="34"/>
  <c r="H13" i="34"/>
  <c r="G13" i="34"/>
  <c r="L12" i="34"/>
  <c r="K12" i="34"/>
  <c r="J12" i="34"/>
  <c r="I12" i="34"/>
  <c r="H12" i="34"/>
  <c r="G12" i="34"/>
  <c r="L11" i="34"/>
  <c r="K11" i="34"/>
  <c r="J11" i="34"/>
  <c r="I11" i="34"/>
  <c r="H11" i="34"/>
  <c r="G11" i="34"/>
  <c r="L10" i="34"/>
  <c r="K10" i="34"/>
  <c r="J10" i="34"/>
  <c r="I10" i="34"/>
  <c r="H10" i="34"/>
  <c r="G10" i="34"/>
  <c r="L9" i="34"/>
  <c r="K9" i="34"/>
  <c r="I9" i="34"/>
  <c r="H9" i="34"/>
  <c r="G9" i="34"/>
  <c r="L8" i="34"/>
  <c r="K8" i="34"/>
  <c r="J8" i="34"/>
  <c r="I8" i="34"/>
  <c r="H8" i="34"/>
  <c r="G8" i="34"/>
  <c r="L7" i="34"/>
  <c r="K7" i="34"/>
  <c r="J7" i="34"/>
  <c r="I7" i="34"/>
  <c r="H7" i="34"/>
  <c r="G7" i="34"/>
  <c r="L6" i="34"/>
  <c r="K6" i="34"/>
  <c r="J6" i="34"/>
  <c r="I6" i="34"/>
  <c r="H6" i="34"/>
  <c r="G6" i="34"/>
  <c r="L5" i="34"/>
  <c r="K5" i="34"/>
  <c r="J5" i="34"/>
  <c r="I5" i="34"/>
  <c r="H5" i="34"/>
  <c r="G5" i="34"/>
  <c r="S50" i="18"/>
  <c r="S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38" i="18"/>
  <c r="S39" i="18"/>
  <c r="S40" i="18"/>
  <c r="S41" i="18"/>
  <c r="S42" i="18"/>
  <c r="S43" i="18"/>
  <c r="S44" i="18"/>
  <c r="S45" i="18"/>
  <c r="S46" i="18"/>
  <c r="S47" i="18"/>
  <c r="S48" i="18"/>
  <c r="S49" i="18"/>
  <c r="S5" i="18"/>
  <c r="M14" i="34" l="1"/>
  <c r="P14" i="34" s="1"/>
  <c r="M20" i="34"/>
  <c r="P20" i="34" s="1"/>
  <c r="M30" i="34"/>
  <c r="P30" i="34" s="1"/>
  <c r="M36" i="34"/>
  <c r="P36" i="34" s="1"/>
  <c r="M44" i="34"/>
  <c r="P44" i="34" s="1"/>
  <c r="M52" i="34"/>
  <c r="P52" i="34" s="1"/>
  <c r="M60" i="34"/>
  <c r="P60" i="34" s="1"/>
  <c r="M17" i="34"/>
  <c r="P17" i="34" s="1"/>
  <c r="M19" i="34"/>
  <c r="P19" i="34" s="1"/>
  <c r="M43" i="34"/>
  <c r="P43" i="34" s="1"/>
  <c r="M51" i="34"/>
  <c r="P51" i="34" s="1"/>
  <c r="M65" i="34"/>
  <c r="P65" i="34" s="1"/>
  <c r="O54" i="40"/>
  <c r="N54" i="40"/>
  <c r="P14" i="39"/>
  <c r="P38" i="39"/>
  <c r="P50" i="39"/>
  <c r="P62" i="39"/>
  <c r="P74" i="39"/>
  <c r="P26" i="39"/>
  <c r="P8" i="39"/>
  <c r="P20" i="39"/>
  <c r="P32" i="39"/>
  <c r="P44" i="39"/>
  <c r="P56" i="39"/>
  <c r="P68" i="39"/>
  <c r="P80" i="39"/>
  <c r="P28" i="39"/>
  <c r="P52" i="39"/>
  <c r="P76" i="39"/>
  <c r="P29" i="39"/>
  <c r="P53" i="39"/>
  <c r="P77" i="39"/>
  <c r="P9" i="39"/>
  <c r="P33" i="39"/>
  <c r="P57" i="39"/>
  <c r="P81" i="39"/>
  <c r="P10" i="39"/>
  <c r="P34" i="39"/>
  <c r="P58" i="39"/>
  <c r="P5" i="39"/>
  <c r="P22" i="39"/>
  <c r="P63" i="39"/>
  <c r="P23" i="39"/>
  <c r="P64" i="39"/>
  <c r="P27" i="39"/>
  <c r="P65" i="39"/>
  <c r="P35" i="39"/>
  <c r="P69" i="39"/>
  <c r="P39" i="39"/>
  <c r="P70" i="39"/>
  <c r="P40" i="39"/>
  <c r="P71" i="39"/>
  <c r="P41" i="39"/>
  <c r="P75" i="39"/>
  <c r="P11" i="39"/>
  <c r="P45" i="39"/>
  <c r="P15" i="39"/>
  <c r="P46" i="39"/>
  <c r="P16" i="39"/>
  <c r="P47" i="39"/>
  <c r="P17" i="39"/>
  <c r="P51" i="39"/>
  <c r="P21" i="39"/>
  <c r="P59" i="39"/>
  <c r="P79" i="39"/>
  <c r="P18" i="39"/>
  <c r="P24" i="39"/>
  <c r="P67" i="39"/>
  <c r="P6" i="39"/>
  <c r="P55" i="39"/>
  <c r="P73" i="39"/>
  <c r="P43" i="39"/>
  <c r="P61" i="39"/>
  <c r="P31" i="39"/>
  <c r="P49" i="39"/>
  <c r="P19" i="39"/>
  <c r="P37" i="39"/>
  <c r="P12" i="39"/>
  <c r="P36" i="39"/>
  <c r="P7" i="39"/>
  <c r="P25" i="39"/>
  <c r="P78" i="39"/>
  <c r="P13" i="39"/>
  <c r="P66" i="39"/>
  <c r="P72" i="39"/>
  <c r="P54" i="39"/>
  <c r="P60" i="39"/>
  <c r="P42" i="39"/>
  <c r="P48" i="39"/>
  <c r="P30" i="39"/>
  <c r="M8" i="34"/>
  <c r="P8" i="34" s="1"/>
  <c r="M24" i="34"/>
  <c r="P24" i="34" s="1"/>
  <c r="M48" i="34"/>
  <c r="P48" i="34" s="1"/>
  <c r="M56" i="34"/>
  <c r="P56" i="34" s="1"/>
  <c r="M64" i="34"/>
  <c r="P64" i="34" s="1"/>
  <c r="M7" i="34"/>
  <c r="P7" i="34" s="1"/>
  <c r="M23" i="34"/>
  <c r="P23" i="34" s="1"/>
  <c r="M39" i="34"/>
  <c r="P39" i="34" s="1"/>
  <c r="M47" i="34"/>
  <c r="P47" i="34" s="1"/>
  <c r="M55" i="34"/>
  <c r="P55" i="34" s="1"/>
  <c r="M63" i="34"/>
  <c r="P63" i="34" s="1"/>
  <c r="M67" i="34"/>
  <c r="P67" i="34" s="1"/>
  <c r="M16" i="34"/>
  <c r="P16" i="34" s="1"/>
  <c r="M32" i="34"/>
  <c r="P32" i="34" s="1"/>
  <c r="M40" i="34"/>
  <c r="P40" i="34" s="1"/>
  <c r="M68" i="34"/>
  <c r="P68" i="34" s="1"/>
  <c r="M15" i="34"/>
  <c r="P15" i="34" s="1"/>
  <c r="M6" i="34"/>
  <c r="P6" i="34" s="1"/>
  <c r="M9" i="34"/>
  <c r="P9" i="34" s="1"/>
  <c r="M11" i="34"/>
  <c r="P11" i="34" s="1"/>
  <c r="M25" i="34"/>
  <c r="P25" i="34" s="1"/>
  <c r="M27" i="34"/>
  <c r="P27" i="34" s="1"/>
  <c r="M59" i="34"/>
  <c r="P59" i="34" s="1"/>
  <c r="M31" i="34"/>
  <c r="P31" i="34" s="1"/>
  <c r="M35" i="34"/>
  <c r="P35" i="34" s="1"/>
  <c r="M22" i="34"/>
  <c r="P22" i="34" s="1"/>
  <c r="M12" i="34"/>
  <c r="P12" i="34" s="1"/>
  <c r="M28" i="34"/>
  <c r="P28" i="34" s="1"/>
  <c r="M38" i="34"/>
  <c r="P38" i="34" s="1"/>
  <c r="M41" i="34"/>
  <c r="P41" i="34" s="1"/>
  <c r="M54" i="34"/>
  <c r="P54" i="34" s="1"/>
  <c r="M57" i="34"/>
  <c r="P57" i="34" s="1"/>
  <c r="M33" i="34"/>
  <c r="P33" i="34" s="1"/>
  <c r="M46" i="34"/>
  <c r="P46" i="34" s="1"/>
  <c r="M49" i="34"/>
  <c r="P49" i="34" s="1"/>
  <c r="M62" i="34"/>
  <c r="P62" i="34" s="1"/>
  <c r="M5" i="34"/>
  <c r="P5" i="34" s="1"/>
  <c r="M10" i="34"/>
  <c r="P10" i="34" s="1"/>
  <c r="M13" i="34"/>
  <c r="P13" i="34" s="1"/>
  <c r="M18" i="34"/>
  <c r="P18" i="34" s="1"/>
  <c r="M21" i="34"/>
  <c r="P21" i="34" s="1"/>
  <c r="M26" i="34"/>
  <c r="P26" i="34" s="1"/>
  <c r="M29" i="34"/>
  <c r="P29" i="34" s="1"/>
  <c r="M34" i="34"/>
  <c r="P34" i="34" s="1"/>
  <c r="M37" i="34"/>
  <c r="P37" i="34" s="1"/>
  <c r="M42" i="34"/>
  <c r="P42" i="34" s="1"/>
  <c r="M45" i="34"/>
  <c r="P45" i="34" s="1"/>
  <c r="M50" i="34"/>
  <c r="P50" i="34" s="1"/>
  <c r="M53" i="34"/>
  <c r="P53" i="34" s="1"/>
  <c r="M58" i="34"/>
  <c r="P58" i="34" s="1"/>
  <c r="M61" i="34"/>
  <c r="P61" i="34" s="1"/>
  <c r="M66" i="34"/>
  <c r="P66" i="34" s="1"/>
  <c r="S9" i="31"/>
  <c r="S8" i="31"/>
  <c r="S7" i="31"/>
  <c r="S6" i="31"/>
  <c r="S5" i="31"/>
  <c r="S51" i="30"/>
  <c r="S52" i="30"/>
  <c r="S53" i="30"/>
  <c r="S54" i="30"/>
  <c r="S55" i="30"/>
  <c r="S56" i="30"/>
  <c r="S57" i="30"/>
  <c r="S58" i="30"/>
  <c r="S59" i="30"/>
  <c r="S60" i="30"/>
  <c r="S61" i="30"/>
  <c r="S62" i="30"/>
  <c r="S63" i="30"/>
  <c r="S64" i="30"/>
  <c r="S65" i="30"/>
  <c r="S66" i="30"/>
  <c r="S67" i="30"/>
  <c r="S68" i="30"/>
  <c r="S69" i="30"/>
  <c r="S70" i="30"/>
  <c r="S71" i="30"/>
  <c r="S72" i="30"/>
  <c r="S73" i="30"/>
  <c r="S74" i="30"/>
  <c r="S75" i="30"/>
  <c r="S50" i="30"/>
  <c r="S49" i="30"/>
  <c r="S48" i="30"/>
  <c r="S47" i="30"/>
  <c r="S46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4" i="30"/>
  <c r="S23" i="30"/>
  <c r="S22" i="30"/>
  <c r="S21" i="30"/>
  <c r="S20" i="30"/>
  <c r="S19" i="30"/>
  <c r="S18" i="30"/>
  <c r="S17" i="30"/>
  <c r="S16" i="30"/>
  <c r="S15" i="30"/>
  <c r="S14" i="30"/>
  <c r="S13" i="30"/>
  <c r="S12" i="30"/>
  <c r="S11" i="30"/>
  <c r="S10" i="30"/>
  <c r="S9" i="30"/>
  <c r="S8" i="30"/>
  <c r="S7" i="30"/>
  <c r="S6" i="30"/>
  <c r="S5" i="30"/>
  <c r="S41" i="29"/>
  <c r="S40" i="29"/>
  <c r="S39" i="29"/>
  <c r="S38" i="29"/>
  <c r="S37" i="29"/>
  <c r="S36" i="29"/>
  <c r="S35" i="29"/>
  <c r="S34" i="29"/>
  <c r="S33" i="29"/>
  <c r="S32" i="29"/>
  <c r="S31" i="29"/>
  <c r="S30" i="29"/>
  <c r="S29" i="29"/>
  <c r="S28" i="29"/>
  <c r="S27" i="29"/>
  <c r="S26" i="29"/>
  <c r="S25" i="29"/>
  <c r="S24" i="29"/>
  <c r="S23" i="29"/>
  <c r="S22" i="29"/>
  <c r="S21" i="29"/>
  <c r="S20" i="29"/>
  <c r="S19" i="29"/>
  <c r="S18" i="29"/>
  <c r="S17" i="29"/>
  <c r="S16" i="29"/>
  <c r="S15" i="29"/>
  <c r="S14" i="29"/>
  <c r="S13" i="29"/>
  <c r="S12" i="29"/>
  <c r="S11" i="29"/>
  <c r="S10" i="29"/>
  <c r="S9" i="29"/>
  <c r="S8" i="29"/>
  <c r="S7" i="29"/>
  <c r="S6" i="29"/>
  <c r="S5" i="29"/>
  <c r="S39" i="28" l="1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6" i="27"/>
  <c r="S45" i="27"/>
  <c r="S44" i="27"/>
  <c r="S43" i="27"/>
  <c r="S42" i="27"/>
  <c r="S41" i="27"/>
  <c r="S40" i="27"/>
  <c r="S39" i="27"/>
  <c r="S38" i="27"/>
  <c r="S37" i="27"/>
  <c r="S36" i="27"/>
  <c r="S35" i="27"/>
  <c r="S34" i="27"/>
  <c r="S33" i="27"/>
  <c r="S32" i="27"/>
  <c r="S31" i="27"/>
  <c r="S30" i="27"/>
  <c r="S29" i="27"/>
  <c r="S28" i="27"/>
  <c r="S27" i="27"/>
  <c r="S26" i="27"/>
  <c r="S25" i="27"/>
  <c r="S24" i="27"/>
  <c r="S23" i="27"/>
  <c r="S22" i="27"/>
  <c r="S21" i="27"/>
  <c r="S20" i="27"/>
  <c r="S19" i="27"/>
  <c r="S18" i="27"/>
  <c r="S17" i="27"/>
  <c r="S16" i="27"/>
  <c r="S15" i="27"/>
  <c r="S14" i="27"/>
  <c r="S13" i="27"/>
  <c r="S12" i="27"/>
  <c r="S11" i="27"/>
  <c r="S10" i="27"/>
  <c r="S9" i="27"/>
  <c r="S8" i="27"/>
  <c r="S7" i="27"/>
  <c r="S6" i="27"/>
  <c r="S5" i="27"/>
  <c r="G15" i="9" l="1"/>
  <c r="G14" i="9"/>
  <c r="G13" i="9"/>
  <c r="G12" i="9"/>
  <c r="C108" i="9"/>
  <c r="C107" i="9"/>
  <c r="C96" i="9"/>
  <c r="C95" i="9"/>
  <c r="G10" i="9"/>
  <c r="C84" i="9"/>
  <c r="C83" i="9"/>
  <c r="C70" i="9"/>
  <c r="C64" i="9"/>
  <c r="C63" i="9"/>
  <c r="C55" i="9"/>
  <c r="C54" i="9"/>
  <c r="C50" i="9"/>
  <c r="C51" i="9" s="1"/>
  <c r="C57" i="9" s="1"/>
  <c r="C45" i="9"/>
  <c r="C44" i="9"/>
  <c r="C40" i="9"/>
  <c r="C33" i="9"/>
  <c r="C32" i="9"/>
  <c r="C31" i="9"/>
  <c r="C26" i="9"/>
  <c r="C20" i="9"/>
  <c r="G11" i="9"/>
  <c r="O135" i="42" l="1"/>
  <c r="O147" i="42"/>
  <c r="O159" i="42"/>
  <c r="O171" i="42"/>
  <c r="O183" i="42"/>
  <c r="O48" i="40"/>
  <c r="O136" i="42"/>
  <c r="Q136" i="42" s="1"/>
  <c r="O148" i="42"/>
  <c r="Q148" i="42" s="1"/>
  <c r="O160" i="42"/>
  <c r="O172" i="42"/>
  <c r="O184" i="42"/>
  <c r="N48" i="40"/>
  <c r="P48" i="40" s="1"/>
  <c r="O137" i="42"/>
  <c r="O149" i="42"/>
  <c r="O161" i="42"/>
  <c r="O173" i="42"/>
  <c r="O185" i="42"/>
  <c r="O126" i="42"/>
  <c r="O138" i="42"/>
  <c r="O150" i="42"/>
  <c r="O162" i="42"/>
  <c r="O174" i="42"/>
  <c r="O186" i="42"/>
  <c r="O127" i="42"/>
  <c r="O139" i="42"/>
  <c r="O151" i="42"/>
  <c r="O163" i="42"/>
  <c r="O175" i="42"/>
  <c r="O187" i="42"/>
  <c r="O128" i="42"/>
  <c r="Q128" i="42" s="1"/>
  <c r="O140" i="42"/>
  <c r="Q140" i="42" s="1"/>
  <c r="O152" i="42"/>
  <c r="O164" i="42"/>
  <c r="O176" i="42"/>
  <c r="O188" i="42"/>
  <c r="K51" i="40"/>
  <c r="O129" i="42"/>
  <c r="O141" i="42"/>
  <c r="O153" i="42"/>
  <c r="O165" i="42"/>
  <c r="O177" i="42"/>
  <c r="J51" i="40"/>
  <c r="O130" i="42"/>
  <c r="O142" i="42"/>
  <c r="Q142" i="42" s="1"/>
  <c r="O154" i="42"/>
  <c r="O166" i="42"/>
  <c r="O178" i="42"/>
  <c r="I51" i="40"/>
  <c r="O131" i="42"/>
  <c r="O143" i="42"/>
  <c r="O155" i="42"/>
  <c r="O167" i="42"/>
  <c r="O179" i="42"/>
  <c r="H51" i="40"/>
  <c r="O132" i="42"/>
  <c r="Q132" i="42" s="1"/>
  <c r="O144" i="42"/>
  <c r="Q144" i="42" s="1"/>
  <c r="O156" i="42"/>
  <c r="O168" i="42"/>
  <c r="O180" i="42"/>
  <c r="G51" i="40"/>
  <c r="O133" i="42"/>
  <c r="O145" i="42"/>
  <c r="O157" i="42"/>
  <c r="O169" i="42"/>
  <c r="O181" i="42"/>
  <c r="F51" i="40"/>
  <c r="O134" i="42"/>
  <c r="O146" i="42"/>
  <c r="O158" i="42"/>
  <c r="O170" i="42"/>
  <c r="O182" i="42"/>
  <c r="P137" i="42"/>
  <c r="P144" i="42"/>
  <c r="P132" i="42"/>
  <c r="P55" i="42"/>
  <c r="P52" i="42"/>
  <c r="P49" i="42"/>
  <c r="P46" i="42"/>
  <c r="P43" i="42"/>
  <c r="P40" i="42"/>
  <c r="P37" i="42"/>
  <c r="P34" i="42"/>
  <c r="P139" i="42"/>
  <c r="P127" i="42"/>
  <c r="O55" i="42"/>
  <c r="O52" i="42"/>
  <c r="O49" i="42"/>
  <c r="O46" i="42"/>
  <c r="O43" i="42"/>
  <c r="O40" i="42"/>
  <c r="O37" i="42"/>
  <c r="O34" i="42"/>
  <c r="P146" i="42"/>
  <c r="P134" i="42"/>
  <c r="P141" i="42"/>
  <c r="P129" i="42"/>
  <c r="P148" i="42"/>
  <c r="P136" i="42"/>
  <c r="P56" i="42"/>
  <c r="P53" i="42"/>
  <c r="P50" i="42"/>
  <c r="P47" i="42"/>
  <c r="P44" i="42"/>
  <c r="P41" i="42"/>
  <c r="P38" i="42"/>
  <c r="P35" i="42"/>
  <c r="P143" i="42"/>
  <c r="P131" i="42"/>
  <c r="O56" i="42"/>
  <c r="O53" i="42"/>
  <c r="O50" i="42"/>
  <c r="O47" i="42"/>
  <c r="O44" i="42"/>
  <c r="O41" i="42"/>
  <c r="O38" i="42"/>
  <c r="O35" i="42"/>
  <c r="P138" i="42"/>
  <c r="P126" i="42"/>
  <c r="P145" i="42"/>
  <c r="P133" i="42"/>
  <c r="P140" i="42"/>
  <c r="P128" i="42"/>
  <c r="P54" i="42"/>
  <c r="P51" i="42"/>
  <c r="P48" i="42"/>
  <c r="P45" i="42"/>
  <c r="P42" i="42"/>
  <c r="P39" i="42"/>
  <c r="P36" i="42"/>
  <c r="P147" i="42"/>
  <c r="P135" i="42"/>
  <c r="O54" i="42"/>
  <c r="Q54" i="42" s="1"/>
  <c r="O51" i="42"/>
  <c r="O48" i="42"/>
  <c r="O45" i="42"/>
  <c r="O42" i="42"/>
  <c r="O39" i="42"/>
  <c r="O36" i="42"/>
  <c r="P142" i="42"/>
  <c r="P130" i="42"/>
  <c r="O51" i="40"/>
  <c r="N51" i="40"/>
  <c r="J52" i="40"/>
  <c r="K92" i="40"/>
  <c r="I52" i="40"/>
  <c r="J92" i="40"/>
  <c r="H52" i="40"/>
  <c r="K91" i="40"/>
  <c r="I92" i="40"/>
  <c r="G52" i="40"/>
  <c r="J91" i="40"/>
  <c r="H92" i="40"/>
  <c r="F52" i="40"/>
  <c r="I91" i="40"/>
  <c r="G92" i="40"/>
  <c r="H91" i="40"/>
  <c r="F92" i="40"/>
  <c r="G91" i="40"/>
  <c r="O49" i="40"/>
  <c r="F91" i="40"/>
  <c r="N49" i="40"/>
  <c r="K52" i="40"/>
  <c r="P158" i="42"/>
  <c r="P165" i="42"/>
  <c r="Q165" i="42" s="1"/>
  <c r="P153" i="42"/>
  <c r="Q153" i="42" s="1"/>
  <c r="O123" i="42"/>
  <c r="Q123" i="42" s="1"/>
  <c r="O117" i="42"/>
  <c r="Q117" i="42" s="1"/>
  <c r="O111" i="42"/>
  <c r="Q111" i="42" s="1"/>
  <c r="O105" i="42"/>
  <c r="Q105" i="42" s="1"/>
  <c r="O99" i="42"/>
  <c r="Q99" i="42" s="1"/>
  <c r="P77" i="42"/>
  <c r="P74" i="42"/>
  <c r="P71" i="42"/>
  <c r="P68" i="42"/>
  <c r="P65" i="42"/>
  <c r="P62" i="42"/>
  <c r="P59" i="42"/>
  <c r="O33" i="42"/>
  <c r="Q33" i="42" s="1"/>
  <c r="O27" i="42"/>
  <c r="Q27" i="42" s="1"/>
  <c r="O21" i="42"/>
  <c r="Q21" i="42" s="1"/>
  <c r="O15" i="42"/>
  <c r="Q15" i="42" s="1"/>
  <c r="O9" i="42"/>
  <c r="Q9" i="42" s="1"/>
  <c r="P160" i="42"/>
  <c r="O77" i="42"/>
  <c r="O74" i="42"/>
  <c r="O71" i="42"/>
  <c r="O68" i="42"/>
  <c r="Q68" i="42" s="1"/>
  <c r="O65" i="42"/>
  <c r="Q65" i="42" s="1"/>
  <c r="O62" i="42"/>
  <c r="Q62" i="42" s="1"/>
  <c r="O59" i="42"/>
  <c r="Q59" i="42" s="1"/>
  <c r="P167" i="42"/>
  <c r="Q167" i="42" s="1"/>
  <c r="P155" i="42"/>
  <c r="Q155" i="42" s="1"/>
  <c r="O122" i="42"/>
  <c r="Q122" i="42" s="1"/>
  <c r="O116" i="42"/>
  <c r="Q116" i="42" s="1"/>
  <c r="O110" i="42"/>
  <c r="Q110" i="42" s="1"/>
  <c r="O104" i="42"/>
  <c r="Q104" i="42" s="1"/>
  <c r="O98" i="42"/>
  <c r="Q98" i="42" s="1"/>
  <c r="O32" i="42"/>
  <c r="Q32" i="42" s="1"/>
  <c r="O26" i="42"/>
  <c r="Q26" i="42" s="1"/>
  <c r="O20" i="42"/>
  <c r="Q20" i="42" s="1"/>
  <c r="O14" i="42"/>
  <c r="Q14" i="42" s="1"/>
  <c r="O8" i="42"/>
  <c r="Q8" i="42" s="1"/>
  <c r="P162" i="42"/>
  <c r="Q162" i="42" s="1"/>
  <c r="P150" i="42"/>
  <c r="Q150" i="42" s="1"/>
  <c r="P169" i="42"/>
  <c r="P157" i="42"/>
  <c r="O121" i="42"/>
  <c r="Q121" i="42" s="1"/>
  <c r="O115" i="42"/>
  <c r="Q115" i="42" s="1"/>
  <c r="O109" i="42"/>
  <c r="Q109" i="42" s="1"/>
  <c r="O103" i="42"/>
  <c r="Q103" i="42" s="1"/>
  <c r="O97" i="42"/>
  <c r="Q97" i="42" s="1"/>
  <c r="P75" i="42"/>
  <c r="P72" i="42"/>
  <c r="P69" i="42"/>
  <c r="P66" i="42"/>
  <c r="P63" i="42"/>
  <c r="P60" i="42"/>
  <c r="P57" i="42"/>
  <c r="O31" i="42"/>
  <c r="Q31" i="42" s="1"/>
  <c r="O25" i="42"/>
  <c r="Q25" i="42" s="1"/>
  <c r="O19" i="42"/>
  <c r="Q19" i="42" s="1"/>
  <c r="O13" i="42"/>
  <c r="Q13" i="42" s="1"/>
  <c r="O7" i="42"/>
  <c r="Q7" i="42" s="1"/>
  <c r="P164" i="42"/>
  <c r="P152" i="42"/>
  <c r="Q152" i="42" s="1"/>
  <c r="O75" i="42"/>
  <c r="Q75" i="42" s="1"/>
  <c r="O72" i="42"/>
  <c r="O69" i="42"/>
  <c r="O66" i="42"/>
  <c r="O63" i="42"/>
  <c r="O60" i="42"/>
  <c r="Q60" i="42" s="1"/>
  <c r="O57" i="42"/>
  <c r="P159" i="42"/>
  <c r="O120" i="42"/>
  <c r="Q120" i="42" s="1"/>
  <c r="O114" i="42"/>
  <c r="Q114" i="42" s="1"/>
  <c r="O108" i="42"/>
  <c r="Q108" i="42" s="1"/>
  <c r="O102" i="42"/>
  <c r="Q102" i="42" s="1"/>
  <c r="O30" i="42"/>
  <c r="Q30" i="42" s="1"/>
  <c r="O24" i="42"/>
  <c r="Q24" i="42" s="1"/>
  <c r="O18" i="42"/>
  <c r="Q18" i="42" s="1"/>
  <c r="O12" i="42"/>
  <c r="Q12" i="42" s="1"/>
  <c r="O6" i="42"/>
  <c r="Q6" i="42" s="1"/>
  <c r="P166" i="42"/>
  <c r="P154" i="42"/>
  <c r="P161" i="42"/>
  <c r="P149" i="42"/>
  <c r="Q149" i="42" s="1"/>
  <c r="O119" i="42"/>
  <c r="Q119" i="42" s="1"/>
  <c r="O101" i="42"/>
  <c r="Q101" i="42" s="1"/>
  <c r="O70" i="42"/>
  <c r="Q70" i="42" s="1"/>
  <c r="O61" i="42"/>
  <c r="Q61" i="42" s="1"/>
  <c r="O29" i="42"/>
  <c r="Q29" i="42" s="1"/>
  <c r="O11" i="42"/>
  <c r="Q11" i="42" s="1"/>
  <c r="O118" i="42"/>
  <c r="Q118" i="42" s="1"/>
  <c r="O100" i="42"/>
  <c r="Q100" i="42" s="1"/>
  <c r="P73" i="42"/>
  <c r="P64" i="42"/>
  <c r="O28" i="42"/>
  <c r="Q28" i="42" s="1"/>
  <c r="O10" i="42"/>
  <c r="Q10" i="42" s="1"/>
  <c r="O125" i="42"/>
  <c r="Q125" i="42" s="1"/>
  <c r="O107" i="42"/>
  <c r="Q107" i="42" s="1"/>
  <c r="O73" i="42"/>
  <c r="Q73" i="42" s="1"/>
  <c r="O64" i="42"/>
  <c r="Q64" i="42" s="1"/>
  <c r="O17" i="42"/>
  <c r="Q17" i="42" s="1"/>
  <c r="P163" i="42"/>
  <c r="Q163" i="42" s="1"/>
  <c r="O124" i="42"/>
  <c r="Q124" i="42" s="1"/>
  <c r="O106" i="42"/>
  <c r="Q106" i="42" s="1"/>
  <c r="P76" i="42"/>
  <c r="P67" i="42"/>
  <c r="P58" i="42"/>
  <c r="O16" i="42"/>
  <c r="Q16" i="42" s="1"/>
  <c r="P151" i="42"/>
  <c r="Q151" i="42" s="1"/>
  <c r="O113" i="42"/>
  <c r="Q113" i="42" s="1"/>
  <c r="O76" i="42"/>
  <c r="Q76" i="42" s="1"/>
  <c r="O67" i="42"/>
  <c r="Q67" i="42" s="1"/>
  <c r="O58" i="42"/>
  <c r="P168" i="42"/>
  <c r="Q168" i="42" s="1"/>
  <c r="O23" i="42"/>
  <c r="Q23" i="42" s="1"/>
  <c r="O5" i="42"/>
  <c r="Q5" i="42" s="1"/>
  <c r="O112" i="42"/>
  <c r="Q112" i="42" s="1"/>
  <c r="P156" i="42"/>
  <c r="P70" i="42"/>
  <c r="P61" i="42"/>
  <c r="O22" i="42"/>
  <c r="Q22" i="42" s="1"/>
  <c r="N92" i="40"/>
  <c r="O91" i="40"/>
  <c r="N91" i="40"/>
  <c r="O52" i="40"/>
  <c r="N52" i="40"/>
  <c r="O92" i="40"/>
  <c r="J54" i="40"/>
  <c r="F53" i="40"/>
  <c r="P92" i="42"/>
  <c r="P96" i="42"/>
  <c r="P91" i="42"/>
  <c r="P95" i="42"/>
  <c r="O90" i="42"/>
  <c r="P90" i="42"/>
  <c r="P94" i="42"/>
  <c r="O93" i="42"/>
  <c r="P93" i="42"/>
  <c r="H53" i="40"/>
  <c r="I54" i="40"/>
  <c r="H54" i="40"/>
  <c r="O91" i="42"/>
  <c r="O95" i="42"/>
  <c r="O50" i="40"/>
  <c r="O94" i="42"/>
  <c r="N50" i="40"/>
  <c r="P50" i="40" s="1"/>
  <c r="I53" i="40"/>
  <c r="G54" i="40"/>
  <c r="F54" i="40"/>
  <c r="P54" i="40" s="1"/>
  <c r="K53" i="40"/>
  <c r="O96" i="42"/>
  <c r="J53" i="40"/>
  <c r="K54" i="40"/>
  <c r="G53" i="40"/>
  <c r="O92" i="42"/>
  <c r="P181" i="42"/>
  <c r="Q181" i="42" s="1"/>
  <c r="P87" i="42"/>
  <c r="P84" i="42"/>
  <c r="P81" i="42"/>
  <c r="P78" i="42"/>
  <c r="P188" i="42"/>
  <c r="Q188" i="42" s="1"/>
  <c r="P176" i="42"/>
  <c r="Q176" i="42" s="1"/>
  <c r="O87" i="42"/>
  <c r="O84" i="42"/>
  <c r="O81" i="42"/>
  <c r="O78" i="42"/>
  <c r="P177" i="42"/>
  <c r="Q177" i="42" s="1"/>
  <c r="P184" i="42"/>
  <c r="P183" i="42"/>
  <c r="Q183" i="42" s="1"/>
  <c r="P171" i="42"/>
  <c r="Q171" i="42" s="1"/>
  <c r="P185" i="42"/>
  <c r="Q185" i="42" s="1"/>
  <c r="P182" i="42"/>
  <c r="P178" i="42"/>
  <c r="Q178" i="42" s="1"/>
  <c r="P173" i="42"/>
  <c r="Q173" i="42" s="1"/>
  <c r="P88" i="42"/>
  <c r="P85" i="42"/>
  <c r="P82" i="42"/>
  <c r="P79" i="42"/>
  <c r="P180" i="42"/>
  <c r="O88" i="42"/>
  <c r="O85" i="42"/>
  <c r="Q85" i="42" s="1"/>
  <c r="O82" i="42"/>
  <c r="Q82" i="42" s="1"/>
  <c r="O79" i="42"/>
  <c r="Q79" i="42" s="1"/>
  <c r="P187" i="42"/>
  <c r="Q187" i="42" s="1"/>
  <c r="P175" i="42"/>
  <c r="Q175" i="42" s="1"/>
  <c r="P170" i="42"/>
  <c r="Q170" i="42" s="1"/>
  <c r="P89" i="42"/>
  <c r="P86" i="42"/>
  <c r="P83" i="42"/>
  <c r="P80" i="42"/>
  <c r="P172" i="42"/>
  <c r="O89" i="42"/>
  <c r="O86" i="42"/>
  <c r="Q86" i="42" s="1"/>
  <c r="O83" i="42"/>
  <c r="Q83" i="42" s="1"/>
  <c r="O80" i="42"/>
  <c r="Q80" i="42" s="1"/>
  <c r="P179" i="42"/>
  <c r="Q179" i="42" s="1"/>
  <c r="P186" i="42"/>
  <c r="Q186" i="42" s="1"/>
  <c r="P174" i="42"/>
  <c r="Q174" i="42" s="1"/>
  <c r="O53" i="40"/>
  <c r="N53" i="40"/>
  <c r="P29" i="18"/>
  <c r="P6" i="18"/>
  <c r="P36" i="18"/>
  <c r="P7" i="18"/>
  <c r="P37" i="18"/>
  <c r="P8" i="18"/>
  <c r="P38" i="18"/>
  <c r="P11" i="18"/>
  <c r="P41" i="18"/>
  <c r="P18" i="18"/>
  <c r="P42" i="18"/>
  <c r="O4" i="40"/>
  <c r="P33" i="18"/>
  <c r="P26" i="18"/>
  <c r="P24" i="18"/>
  <c r="P23" i="18"/>
  <c r="P20" i="18"/>
  <c r="P19" i="18"/>
  <c r="P45" i="18"/>
  <c r="P12" i="18"/>
  <c r="P25" i="18"/>
  <c r="P30" i="18"/>
  <c r="O5" i="40"/>
  <c r="O1" i="40"/>
  <c r="P48" i="18"/>
  <c r="P14" i="18"/>
  <c r="P32" i="18"/>
  <c r="P50" i="18"/>
  <c r="P21" i="18"/>
  <c r="P47" i="18"/>
  <c r="P44" i="18"/>
  <c r="O6" i="40"/>
  <c r="P16" i="18"/>
  <c r="O2" i="40"/>
  <c r="P15" i="18"/>
  <c r="P28" i="18"/>
  <c r="P10" i="18"/>
  <c r="P27" i="18"/>
  <c r="P40" i="18"/>
  <c r="P13" i="18"/>
  <c r="P22" i="18"/>
  <c r="P39" i="18"/>
  <c r="P31" i="18"/>
  <c r="P9" i="18"/>
  <c r="P34" i="18"/>
  <c r="P5" i="18"/>
  <c r="P49" i="18"/>
  <c r="P17" i="18"/>
  <c r="O3" i="40"/>
  <c r="P46" i="18"/>
  <c r="P35" i="18"/>
  <c r="P43" i="18"/>
  <c r="P8" i="29"/>
  <c r="P32" i="29"/>
  <c r="P11" i="29"/>
  <c r="P35" i="29"/>
  <c r="P12" i="29"/>
  <c r="P5" i="29"/>
  <c r="P13" i="29"/>
  <c r="P14" i="29"/>
  <c r="P17" i="29"/>
  <c r="P24" i="29"/>
  <c r="P10" i="29"/>
  <c r="P20" i="29"/>
  <c r="P22" i="29"/>
  <c r="P38" i="29"/>
  <c r="P34" i="29"/>
  <c r="P19" i="29"/>
  <c r="P16" i="29"/>
  <c r="P18" i="29"/>
  <c r="P37" i="29"/>
  <c r="P28" i="29"/>
  <c r="P36" i="29"/>
  <c r="P30" i="29"/>
  <c r="P29" i="29"/>
  <c r="P26" i="29"/>
  <c r="P25" i="29"/>
  <c r="P40" i="29"/>
  <c r="P31" i="29"/>
  <c r="P6" i="29"/>
  <c r="P41" i="29"/>
  <c r="P7" i="29"/>
  <c r="P9" i="29"/>
  <c r="P15" i="29"/>
  <c r="P21" i="29"/>
  <c r="P27" i="29"/>
  <c r="P33" i="29"/>
  <c r="P39" i="29"/>
  <c r="P23" i="29"/>
  <c r="G15" i="40"/>
  <c r="C86" i="9"/>
  <c r="C98" i="9"/>
  <c r="C110" i="9"/>
  <c r="C109" i="9"/>
  <c r="C97" i="9"/>
  <c r="C85" i="9"/>
  <c r="P17" i="27"/>
  <c r="P5" i="27"/>
  <c r="P24" i="27"/>
  <c r="P25" i="27"/>
  <c r="P26" i="27"/>
  <c r="P29" i="27"/>
  <c r="P6" i="27"/>
  <c r="P30" i="27"/>
  <c r="P36" i="27"/>
  <c r="P20" i="27"/>
  <c r="P44" i="27"/>
  <c r="P42" i="27"/>
  <c r="P35" i="27"/>
  <c r="P32" i="27"/>
  <c r="P31" i="27"/>
  <c r="O10" i="40"/>
  <c r="O9" i="40"/>
  <c r="P10" i="27"/>
  <c r="P38" i="27"/>
  <c r="P14" i="27"/>
  <c r="P43" i="27"/>
  <c r="P12" i="27"/>
  <c r="P11" i="27"/>
  <c r="P8" i="27"/>
  <c r="P7" i="27"/>
  <c r="P9" i="27"/>
  <c r="P22" i="27"/>
  <c r="P13" i="27"/>
  <c r="P21" i="27"/>
  <c r="P34" i="27"/>
  <c r="O11" i="40"/>
  <c r="P16" i="27"/>
  <c r="P33" i="27"/>
  <c r="P46" i="27"/>
  <c r="P28" i="27"/>
  <c r="P45" i="27"/>
  <c r="P19" i="27"/>
  <c r="P15" i="27"/>
  <c r="P40" i="27"/>
  <c r="P37" i="27"/>
  <c r="P27" i="27"/>
  <c r="P23" i="27"/>
  <c r="O12" i="40"/>
  <c r="P39" i="27"/>
  <c r="P41" i="27"/>
  <c r="O8" i="40"/>
  <c r="P18" i="27"/>
  <c r="P24" i="30"/>
  <c r="P48" i="30"/>
  <c r="P27" i="30"/>
  <c r="P51" i="30"/>
  <c r="P28" i="30"/>
  <c r="P58" i="30"/>
  <c r="P5" i="30"/>
  <c r="P29" i="30"/>
  <c r="P59" i="30"/>
  <c r="P6" i="30"/>
  <c r="P30" i="30"/>
  <c r="P60" i="30"/>
  <c r="P9" i="30"/>
  <c r="P33" i="30"/>
  <c r="P63" i="30"/>
  <c r="P10" i="30"/>
  <c r="P40" i="30"/>
  <c r="P64" i="30"/>
  <c r="P50" i="30"/>
  <c r="P34" i="30"/>
  <c r="P53" i="30"/>
  <c r="P62" i="30"/>
  <c r="P7" i="30"/>
  <c r="P52" i="30"/>
  <c r="P71" i="30"/>
  <c r="P13" i="30"/>
  <c r="P74" i="30"/>
  <c r="P19" i="30"/>
  <c r="P70" i="30"/>
  <c r="P25" i="30"/>
  <c r="P31" i="30"/>
  <c r="P37" i="30"/>
  <c r="P43" i="30"/>
  <c r="P49" i="30"/>
  <c r="P55" i="30"/>
  <c r="P69" i="30"/>
  <c r="P66" i="30"/>
  <c r="P65" i="30"/>
  <c r="P38" i="30"/>
  <c r="P68" i="30"/>
  <c r="P35" i="30"/>
  <c r="P61" i="30"/>
  <c r="P67" i="30"/>
  <c r="P8" i="30"/>
  <c r="P21" i="30"/>
  <c r="P46" i="30"/>
  <c r="P45" i="30"/>
  <c r="P42" i="30"/>
  <c r="P41" i="30"/>
  <c r="P73" i="30"/>
  <c r="P20" i="30"/>
  <c r="P39" i="30"/>
  <c r="P47" i="30"/>
  <c r="P22" i="30"/>
  <c r="P15" i="30"/>
  <c r="P12" i="30"/>
  <c r="P11" i="30"/>
  <c r="P32" i="30"/>
  <c r="P18" i="30"/>
  <c r="P57" i="30"/>
  <c r="P23" i="30"/>
  <c r="P14" i="30"/>
  <c r="P44" i="30"/>
  <c r="P36" i="30"/>
  <c r="P75" i="30"/>
  <c r="P26" i="30"/>
  <c r="P56" i="30"/>
  <c r="P17" i="30"/>
  <c r="P54" i="30"/>
  <c r="P16" i="30"/>
  <c r="P72" i="30"/>
  <c r="P28" i="28"/>
  <c r="P29" i="28"/>
  <c r="P6" i="28"/>
  <c r="P30" i="28"/>
  <c r="P7" i="28"/>
  <c r="P31" i="28"/>
  <c r="P10" i="28"/>
  <c r="P34" i="28"/>
  <c r="P11" i="28"/>
  <c r="O18" i="40"/>
  <c r="P8" i="28"/>
  <c r="P21" i="28"/>
  <c r="P37" i="28"/>
  <c r="O15" i="40"/>
  <c r="O14" i="40"/>
  <c r="P20" i="28"/>
  <c r="P33" i="28"/>
  <c r="P15" i="28"/>
  <c r="P32" i="28"/>
  <c r="P27" i="28"/>
  <c r="P25" i="28"/>
  <c r="P23" i="28"/>
  <c r="P16" i="28"/>
  <c r="P13" i="28"/>
  <c r="P12" i="28"/>
  <c r="O16" i="40"/>
  <c r="P14" i="28"/>
  <c r="P39" i="28"/>
  <c r="P18" i="28"/>
  <c r="P24" i="28"/>
  <c r="P26" i="28"/>
  <c r="P36" i="28"/>
  <c r="P19" i="28"/>
  <c r="P38" i="28"/>
  <c r="P22" i="28"/>
  <c r="P5" i="28"/>
  <c r="O17" i="40"/>
  <c r="P17" i="28"/>
  <c r="P35" i="28"/>
  <c r="P9" i="28"/>
  <c r="P40" i="31"/>
  <c r="P71" i="31"/>
  <c r="P100" i="31"/>
  <c r="P9" i="31"/>
  <c r="P44" i="31"/>
  <c r="P75" i="31"/>
  <c r="P101" i="31"/>
  <c r="P10" i="31"/>
  <c r="P47" i="31"/>
  <c r="P76" i="31"/>
  <c r="P111" i="31"/>
  <c r="P14" i="31"/>
  <c r="P51" i="31"/>
  <c r="P77" i="31"/>
  <c r="P15" i="31"/>
  <c r="P52" i="31"/>
  <c r="P80" i="31"/>
  <c r="P16" i="31"/>
  <c r="P53" i="31"/>
  <c r="P81" i="31"/>
  <c r="P20" i="31"/>
  <c r="P56" i="31"/>
  <c r="P89" i="31"/>
  <c r="P96" i="31"/>
  <c r="P18" i="31"/>
  <c r="P74" i="31"/>
  <c r="P102" i="31"/>
  <c r="P36" i="31"/>
  <c r="P28" i="31"/>
  <c r="P108" i="31"/>
  <c r="P30" i="31"/>
  <c r="P86" i="31"/>
  <c r="P55" i="31"/>
  <c r="P42" i="31"/>
  <c r="P98" i="31"/>
  <c r="P67" i="31"/>
  <c r="P27" i="31"/>
  <c r="P49" i="31"/>
  <c r="P110" i="31"/>
  <c r="P79" i="31"/>
  <c r="P13" i="31"/>
  <c r="P68" i="31"/>
  <c r="P5" i="31"/>
  <c r="P61" i="31"/>
  <c r="P8" i="31"/>
  <c r="P91" i="31"/>
  <c r="P25" i="31"/>
  <c r="P26" i="31"/>
  <c r="P88" i="31"/>
  <c r="P17" i="31"/>
  <c r="P73" i="31"/>
  <c r="P11" i="31"/>
  <c r="P103" i="31"/>
  <c r="P22" i="31"/>
  <c r="P65" i="31"/>
  <c r="P107" i="31"/>
  <c r="P90" i="31"/>
  <c r="P37" i="31"/>
  <c r="P84" i="31"/>
  <c r="P29" i="31"/>
  <c r="P85" i="31"/>
  <c r="P7" i="31"/>
  <c r="P23" i="31"/>
  <c r="P21" i="31"/>
  <c r="P46" i="31"/>
  <c r="P87" i="31"/>
  <c r="P41" i="31"/>
  <c r="P97" i="31"/>
  <c r="P19" i="31"/>
  <c r="P35" i="31"/>
  <c r="P45" i="31"/>
  <c r="P64" i="31"/>
  <c r="P106" i="31"/>
  <c r="P48" i="31"/>
  <c r="P109" i="31"/>
  <c r="P31" i="31"/>
  <c r="P54" i="31"/>
  <c r="P63" i="31"/>
  <c r="P83" i="31"/>
  <c r="P95" i="31"/>
  <c r="P94" i="31"/>
  <c r="P93" i="31"/>
  <c r="P92" i="31"/>
  <c r="P60" i="31"/>
  <c r="P43" i="31"/>
  <c r="P66" i="31"/>
  <c r="P82" i="31"/>
  <c r="P105" i="31"/>
  <c r="P99" i="31"/>
  <c r="P69" i="31"/>
  <c r="P59" i="31"/>
  <c r="P58" i="31"/>
  <c r="P57" i="31"/>
  <c r="P72" i="31"/>
  <c r="P50" i="31"/>
  <c r="P78" i="31"/>
  <c r="P12" i="31"/>
  <c r="P104" i="31"/>
  <c r="P70" i="31"/>
  <c r="P38" i="31"/>
  <c r="P34" i="31"/>
  <c r="P33" i="31"/>
  <c r="P32" i="31"/>
  <c r="P6" i="31"/>
  <c r="P62" i="31"/>
  <c r="P24" i="31"/>
  <c r="P39" i="31"/>
  <c r="L7" i="29"/>
  <c r="L9" i="29"/>
  <c r="L11" i="29"/>
  <c r="L13" i="29"/>
  <c r="L15" i="29"/>
  <c r="L17" i="29"/>
  <c r="L19" i="29"/>
  <c r="L21" i="29"/>
  <c r="L23" i="29"/>
  <c r="L25" i="29"/>
  <c r="L27" i="29"/>
  <c r="L29" i="29"/>
  <c r="L31" i="29"/>
  <c r="L33" i="29"/>
  <c r="L35" i="29"/>
  <c r="L37" i="29"/>
  <c r="L39" i="29"/>
  <c r="L41" i="29"/>
  <c r="G8" i="29"/>
  <c r="L18" i="29"/>
  <c r="G21" i="29"/>
  <c r="G32" i="29"/>
  <c r="G5" i="29"/>
  <c r="L14" i="29"/>
  <c r="G17" i="29"/>
  <c r="G28" i="29"/>
  <c r="L38" i="29"/>
  <c r="G41" i="29"/>
  <c r="G13" i="29"/>
  <c r="L28" i="29"/>
  <c r="G34" i="29"/>
  <c r="L36" i="29"/>
  <c r="G38" i="29"/>
  <c r="G12" i="29"/>
  <c r="G20" i="29"/>
  <c r="G33" i="29"/>
  <c r="L20" i="29"/>
  <c r="L5" i="29"/>
  <c r="L24" i="29"/>
  <c r="L10" i="29"/>
  <c r="G16" i="29"/>
  <c r="G24" i="29"/>
  <c r="G29" i="29"/>
  <c r="G37" i="29"/>
  <c r="G11" i="29"/>
  <c r="L6" i="29"/>
  <c r="G6" i="29"/>
  <c r="G19" i="29"/>
  <c r="L26" i="29"/>
  <c r="L34" i="29"/>
  <c r="G40" i="29"/>
  <c r="L8" i="29"/>
  <c r="G14" i="29"/>
  <c r="G22" i="29"/>
  <c r="G27" i="29"/>
  <c r="G35" i="29"/>
  <c r="G9" i="29"/>
  <c r="L16" i="29"/>
  <c r="G30" i="29"/>
  <c r="L32" i="29"/>
  <c r="G25" i="29"/>
  <c r="L40" i="29"/>
  <c r="L12" i="29"/>
  <c r="G23" i="29"/>
  <c r="L22" i="29"/>
  <c r="G15" i="29"/>
  <c r="G36" i="29"/>
  <c r="G26" i="29"/>
  <c r="G7" i="29"/>
  <c r="G18" i="29"/>
  <c r="G39" i="29"/>
  <c r="L30" i="29"/>
  <c r="G10" i="29"/>
  <c r="G31" i="29"/>
  <c r="H80" i="31"/>
  <c r="H19" i="39"/>
  <c r="H72" i="39"/>
  <c r="H42" i="31"/>
  <c r="H8" i="31"/>
  <c r="H6" i="29"/>
  <c r="H15" i="31"/>
  <c r="H67" i="39"/>
  <c r="H56" i="30"/>
  <c r="H20" i="30"/>
  <c r="H73" i="30"/>
  <c r="H6" i="28"/>
  <c r="H5" i="18"/>
  <c r="H39" i="18"/>
  <c r="H14" i="28"/>
  <c r="H22" i="28"/>
  <c r="G8" i="30"/>
  <c r="L8" i="30"/>
  <c r="L10" i="30"/>
  <c r="L12" i="30"/>
  <c r="L14" i="30"/>
  <c r="L16" i="30"/>
  <c r="L18" i="30"/>
  <c r="L20" i="30"/>
  <c r="L22" i="30"/>
  <c r="L24" i="30"/>
  <c r="L26" i="30"/>
  <c r="L28" i="30"/>
  <c r="L30" i="30"/>
  <c r="L32" i="30"/>
  <c r="L34" i="30"/>
  <c r="L36" i="30"/>
  <c r="L38" i="30"/>
  <c r="L40" i="30"/>
  <c r="L42" i="30"/>
  <c r="L44" i="30"/>
  <c r="L46" i="30"/>
  <c r="L48" i="30"/>
  <c r="L50" i="30"/>
  <c r="L52" i="30"/>
  <c r="L54" i="30"/>
  <c r="L56" i="30"/>
  <c r="L58" i="30"/>
  <c r="L60" i="30"/>
  <c r="L62" i="30"/>
  <c r="L64" i="30"/>
  <c r="L66" i="30"/>
  <c r="L68" i="30"/>
  <c r="L70" i="30"/>
  <c r="L72" i="30"/>
  <c r="L74" i="30"/>
  <c r="G5" i="30"/>
  <c r="G6" i="30"/>
  <c r="L21" i="30"/>
  <c r="L33" i="30"/>
  <c r="L45" i="30"/>
  <c r="G55" i="30"/>
  <c r="L65" i="30"/>
  <c r="G68" i="30"/>
  <c r="L6" i="30"/>
  <c r="G12" i="30"/>
  <c r="G15" i="30"/>
  <c r="L19" i="30"/>
  <c r="L31" i="30"/>
  <c r="L43" i="30"/>
  <c r="G51" i="30"/>
  <c r="L61" i="30"/>
  <c r="G64" i="30"/>
  <c r="G75" i="30"/>
  <c r="G7" i="30"/>
  <c r="G20" i="30"/>
  <c r="G25" i="30"/>
  <c r="G32" i="30"/>
  <c r="G37" i="30"/>
  <c r="G44" i="30"/>
  <c r="L27" i="30"/>
  <c r="G31" i="30"/>
  <c r="G34" i="30"/>
  <c r="L49" i="30"/>
  <c r="L57" i="30"/>
  <c r="G63" i="30"/>
  <c r="G71" i="30"/>
  <c r="L5" i="30"/>
  <c r="G28" i="30"/>
  <c r="G50" i="30"/>
  <c r="G58" i="30"/>
  <c r="G62" i="30"/>
  <c r="G17" i="30"/>
  <c r="G30" i="30"/>
  <c r="G10" i="30"/>
  <c r="L69" i="30"/>
  <c r="L7" i="30"/>
  <c r="G35" i="30"/>
  <c r="L37" i="30"/>
  <c r="G41" i="30"/>
  <c r="G53" i="30"/>
  <c r="G66" i="30"/>
  <c r="L73" i="30"/>
  <c r="L11" i="30"/>
  <c r="G19" i="30"/>
  <c r="G61" i="30"/>
  <c r="L35" i="30"/>
  <c r="G22" i="30"/>
  <c r="G38" i="30"/>
  <c r="L55" i="30"/>
  <c r="G69" i="30"/>
  <c r="G74" i="30"/>
  <c r="G33" i="30"/>
  <c r="L15" i="30"/>
  <c r="L41" i="30"/>
  <c r="G45" i="30"/>
  <c r="L47" i="30"/>
  <c r="G56" i="30"/>
  <c r="L63" i="30"/>
  <c r="G9" i="30"/>
  <c r="G13" i="30"/>
  <c r="G16" i="30"/>
  <c r="G23" i="30"/>
  <c r="L25" i="30"/>
  <c r="G29" i="30"/>
  <c r="G42" i="30"/>
  <c r="G48" i="30"/>
  <c r="L71" i="30"/>
  <c r="G26" i="30"/>
  <c r="G39" i="30"/>
  <c r="L53" i="30"/>
  <c r="G59" i="30"/>
  <c r="G67" i="30"/>
  <c r="G72" i="30"/>
  <c r="L9" i="30"/>
  <c r="L29" i="30"/>
  <c r="G49" i="30"/>
  <c r="G54" i="30"/>
  <c r="G36" i="30"/>
  <c r="G14" i="30"/>
  <c r="G43" i="30"/>
  <c r="G65" i="30"/>
  <c r="L17" i="30"/>
  <c r="G60" i="30"/>
  <c r="G11" i="30"/>
  <c r="L51" i="30"/>
  <c r="G40" i="30"/>
  <c r="G18" i="30"/>
  <c r="L75" i="30"/>
  <c r="G27" i="30"/>
  <c r="G73" i="30"/>
  <c r="L13" i="30"/>
  <c r="G46" i="30"/>
  <c r="G57" i="30"/>
  <c r="G21" i="30"/>
  <c r="G47" i="30"/>
  <c r="L67" i="30"/>
  <c r="L59" i="30"/>
  <c r="G70" i="30"/>
  <c r="L23" i="30"/>
  <c r="G24" i="30"/>
  <c r="L39" i="30"/>
  <c r="G52" i="30"/>
  <c r="L111" i="31"/>
  <c r="L108" i="31"/>
  <c r="L105" i="31"/>
  <c r="L102" i="31"/>
  <c r="L99" i="31"/>
  <c r="L96" i="31"/>
  <c r="L93" i="31"/>
  <c r="L90" i="31"/>
  <c r="L87" i="31"/>
  <c r="L84" i="31"/>
  <c r="L81" i="31"/>
  <c r="L78" i="31"/>
  <c r="L75" i="31"/>
  <c r="L72" i="31"/>
  <c r="L69" i="31"/>
  <c r="L66" i="31"/>
  <c r="L63" i="31"/>
  <c r="L60" i="31"/>
  <c r="L57" i="31"/>
  <c r="L54" i="31"/>
  <c r="L51" i="31"/>
  <c r="L48" i="31"/>
  <c r="L45" i="31"/>
  <c r="L42" i="31"/>
  <c r="L39" i="31"/>
  <c r="L36" i="31"/>
  <c r="L33" i="31"/>
  <c r="L30" i="31"/>
  <c r="L27" i="31"/>
  <c r="L24" i="31"/>
  <c r="L21" i="31"/>
  <c r="L18" i="31"/>
  <c r="L15" i="31"/>
  <c r="L12" i="31"/>
  <c r="G7" i="39"/>
  <c r="G10" i="39"/>
  <c r="L109" i="31"/>
  <c r="L100" i="31"/>
  <c r="L91" i="31"/>
  <c r="L82" i="31"/>
  <c r="L73" i="31"/>
  <c r="L64" i="31"/>
  <c r="L55" i="31"/>
  <c r="G47" i="31"/>
  <c r="L43" i="31"/>
  <c r="G35" i="31"/>
  <c r="L31" i="31"/>
  <c r="G23" i="31"/>
  <c r="L19" i="31"/>
  <c r="G11" i="31"/>
  <c r="L5" i="39"/>
  <c r="L16" i="39"/>
  <c r="L23" i="39"/>
  <c r="L28" i="39"/>
  <c r="L35" i="39"/>
  <c r="L44" i="39"/>
  <c r="G47" i="39"/>
  <c r="L107" i="31"/>
  <c r="L98" i="31"/>
  <c r="L89" i="31"/>
  <c r="L80" i="31"/>
  <c r="L71" i="31"/>
  <c r="L62" i="31"/>
  <c r="L53" i="31"/>
  <c r="G52" i="31"/>
  <c r="G45" i="31"/>
  <c r="L41" i="31"/>
  <c r="G40" i="31"/>
  <c r="G33" i="31"/>
  <c r="L29" i="31"/>
  <c r="G28" i="31"/>
  <c r="G21" i="31"/>
  <c r="L17" i="31"/>
  <c r="G16" i="31"/>
  <c r="L7" i="39"/>
  <c r="L14" i="39"/>
  <c r="L21" i="39"/>
  <c r="L26" i="39"/>
  <c r="L33" i="39"/>
  <c r="L40" i="39"/>
  <c r="G43" i="39"/>
  <c r="L53" i="39"/>
  <c r="G56" i="39"/>
  <c r="G89" i="31"/>
  <c r="G83" i="31"/>
  <c r="G81" i="31"/>
  <c r="G79" i="31"/>
  <c r="G67" i="31"/>
  <c r="L58" i="31"/>
  <c r="L56" i="31"/>
  <c r="L52" i="31"/>
  <c r="L50" i="31"/>
  <c r="L40" i="31"/>
  <c r="L38" i="31"/>
  <c r="L28" i="31"/>
  <c r="L26" i="31"/>
  <c r="L16" i="31"/>
  <c r="L14" i="31"/>
  <c r="L13" i="39"/>
  <c r="G17" i="39"/>
  <c r="L19" i="39"/>
  <c r="L22" i="39"/>
  <c r="G45" i="39"/>
  <c r="G55" i="39"/>
  <c r="L63" i="39"/>
  <c r="G66" i="39"/>
  <c r="L74" i="39"/>
  <c r="G77" i="39"/>
  <c r="G5" i="31"/>
  <c r="G107" i="31"/>
  <c r="G101" i="31"/>
  <c r="G99" i="31"/>
  <c r="G97" i="31"/>
  <c r="G85" i="31"/>
  <c r="L76" i="31"/>
  <c r="L74" i="31"/>
  <c r="L68" i="31"/>
  <c r="G50" i="31"/>
  <c r="G38" i="31"/>
  <c r="G26" i="31"/>
  <c r="G14" i="31"/>
  <c r="L25" i="39"/>
  <c r="G29" i="39"/>
  <c r="L31" i="39"/>
  <c r="L34" i="39"/>
  <c r="G40" i="39"/>
  <c r="L42" i="39"/>
  <c r="G48" i="39"/>
  <c r="G53" i="39"/>
  <c r="L59" i="39"/>
  <c r="G62" i="39"/>
  <c r="L70" i="39"/>
  <c r="G73" i="39"/>
  <c r="L6" i="31"/>
  <c r="G9" i="31"/>
  <c r="G103" i="31"/>
  <c r="L94" i="31"/>
  <c r="L92" i="31"/>
  <c r="L86" i="31"/>
  <c r="G68" i="31"/>
  <c r="G66" i="31"/>
  <c r="G64" i="31"/>
  <c r="G60" i="31"/>
  <c r="G46" i="31"/>
  <c r="G34" i="31"/>
  <c r="G22" i="31"/>
  <c r="G10" i="31"/>
  <c r="G9" i="39"/>
  <c r="G12" i="39"/>
  <c r="L17" i="39"/>
  <c r="L20" i="39"/>
  <c r="L37" i="39"/>
  <c r="L45" i="39"/>
  <c r="G51" i="39"/>
  <c r="G58" i="39"/>
  <c r="L66" i="39"/>
  <c r="G69" i="39"/>
  <c r="L79" i="39"/>
  <c r="L11" i="39"/>
  <c r="L106" i="31"/>
  <c r="G80" i="31"/>
  <c r="G74" i="31"/>
  <c r="G72" i="31"/>
  <c r="G70" i="31"/>
  <c r="G58" i="31"/>
  <c r="L49" i="31"/>
  <c r="L37" i="31"/>
  <c r="L25" i="31"/>
  <c r="L13" i="31"/>
  <c r="G5" i="39"/>
  <c r="G18" i="39"/>
  <c r="G21" i="39"/>
  <c r="G27" i="39"/>
  <c r="G106" i="31"/>
  <c r="G111" i="31"/>
  <c r="L85" i="31"/>
  <c r="G71" i="31"/>
  <c r="L65" i="31"/>
  <c r="G63" i="31"/>
  <c r="G41" i="31"/>
  <c r="G30" i="31"/>
  <c r="L6" i="39"/>
  <c r="G14" i="39"/>
  <c r="L18" i="39"/>
  <c r="G23" i="39"/>
  <c r="L52" i="39"/>
  <c r="G59" i="39"/>
  <c r="L61" i="39"/>
  <c r="G65" i="39"/>
  <c r="L110" i="31"/>
  <c r="G108" i="31"/>
  <c r="G105" i="31"/>
  <c r="L70" i="31"/>
  <c r="G54" i="31"/>
  <c r="G27" i="31"/>
  <c r="G24" i="31"/>
  <c r="L10" i="31"/>
  <c r="G24" i="39"/>
  <c r="L27" i="39"/>
  <c r="G36" i="39"/>
  <c r="G50" i="39"/>
  <c r="G68" i="39"/>
  <c r="G74" i="39"/>
  <c r="L76" i="39"/>
  <c r="G80" i="39"/>
  <c r="G11" i="39"/>
  <c r="G102" i="31"/>
  <c r="G96" i="31"/>
  <c r="G76" i="31"/>
  <c r="L67" i="31"/>
  <c r="G65" i="31"/>
  <c r="G62" i="31"/>
  <c r="L59" i="31"/>
  <c r="G43" i="31"/>
  <c r="G32" i="31"/>
  <c r="G28" i="39"/>
  <c r="L32" i="39"/>
  <c r="L39" i="39"/>
  <c r="L46" i="39"/>
  <c r="L56" i="39"/>
  <c r="L62" i="39"/>
  <c r="G6" i="31"/>
  <c r="L8" i="31"/>
  <c r="G104" i="31"/>
  <c r="G94" i="31"/>
  <c r="G87" i="31"/>
  <c r="L79" i="31"/>
  <c r="G51" i="31"/>
  <c r="L47" i="31"/>
  <c r="L44" i="31"/>
  <c r="L23" i="31"/>
  <c r="L20" i="31"/>
  <c r="G19" i="39"/>
  <c r="L49" i="39"/>
  <c r="L69" i="39"/>
  <c r="L73" i="39"/>
  <c r="G78" i="39"/>
  <c r="G37" i="31"/>
  <c r="L8" i="39"/>
  <c r="G20" i="39"/>
  <c r="L30" i="39"/>
  <c r="L50" i="39"/>
  <c r="G63" i="39"/>
  <c r="G70" i="39"/>
  <c r="L81" i="39"/>
  <c r="G109" i="31"/>
  <c r="G25" i="31"/>
  <c r="G39" i="39"/>
  <c r="L64" i="39"/>
  <c r="G73" i="31"/>
  <c r="L34" i="31"/>
  <c r="G90" i="31"/>
  <c r="L36" i="39"/>
  <c r="G93" i="31"/>
  <c r="G61" i="31"/>
  <c r="G57" i="31"/>
  <c r="G44" i="31"/>
  <c r="G20" i="31"/>
  <c r="G17" i="31"/>
  <c r="G31" i="39"/>
  <c r="G37" i="39"/>
  <c r="G46" i="39"/>
  <c r="L54" i="39"/>
  <c r="L58" i="39"/>
  <c r="G67" i="39"/>
  <c r="L103" i="31"/>
  <c r="G100" i="31"/>
  <c r="G86" i="31"/>
  <c r="G82" i="31"/>
  <c r="G75" i="31"/>
  <c r="G13" i="31"/>
  <c r="G15" i="39"/>
  <c r="G26" i="39"/>
  <c r="G32" i="39"/>
  <c r="G71" i="39"/>
  <c r="G75" i="39"/>
  <c r="L9" i="31"/>
  <c r="G98" i="31"/>
  <c r="G110" i="31"/>
  <c r="G78" i="31"/>
  <c r="G36" i="31"/>
  <c r="G29" i="31"/>
  <c r="L9" i="39"/>
  <c r="L15" i="39"/>
  <c r="G33" i="39"/>
  <c r="L41" i="39"/>
  <c r="G60" i="39"/>
  <c r="L78" i="39"/>
  <c r="L5" i="31"/>
  <c r="G56" i="31"/>
  <c r="G53" i="31"/>
  <c r="L46" i="31"/>
  <c r="L32" i="31"/>
  <c r="L22" i="31"/>
  <c r="G6" i="39"/>
  <c r="G16" i="39"/>
  <c r="G38" i="39"/>
  <c r="G42" i="39"/>
  <c r="L51" i="39"/>
  <c r="L55" i="39"/>
  <c r="L71" i="39"/>
  <c r="G79" i="39"/>
  <c r="L95" i="31"/>
  <c r="G92" i="31"/>
  <c r="L35" i="31"/>
  <c r="G19" i="31"/>
  <c r="G12" i="31"/>
  <c r="G22" i="39"/>
  <c r="L47" i="39"/>
  <c r="G52" i="39"/>
  <c r="G64" i="39"/>
  <c r="L67" i="39"/>
  <c r="G72" i="39"/>
  <c r="L75" i="39"/>
  <c r="G95" i="31"/>
  <c r="L88" i="31"/>
  <c r="L77" i="31"/>
  <c r="G59" i="31"/>
  <c r="G39" i="31"/>
  <c r="L10" i="39"/>
  <c r="L38" i="39"/>
  <c r="L43" i="39"/>
  <c r="G57" i="39"/>
  <c r="L60" i="39"/>
  <c r="L68" i="39"/>
  <c r="G76" i="39"/>
  <c r="G7" i="31"/>
  <c r="G88" i="31"/>
  <c r="G84" i="31"/>
  <c r="G49" i="31"/>
  <c r="G42" i="31"/>
  <c r="L11" i="31"/>
  <c r="G34" i="39"/>
  <c r="G44" i="39"/>
  <c r="G61" i="39"/>
  <c r="G77" i="31"/>
  <c r="G18" i="31"/>
  <c r="L65" i="39"/>
  <c r="G55" i="31"/>
  <c r="L12" i="39"/>
  <c r="G13" i="39"/>
  <c r="G35" i="39"/>
  <c r="G54" i="39"/>
  <c r="L7" i="31"/>
  <c r="G15" i="31"/>
  <c r="G25" i="39"/>
  <c r="L80" i="39"/>
  <c r="L97" i="31"/>
  <c r="L61" i="31"/>
  <c r="G8" i="31"/>
  <c r="G91" i="31"/>
  <c r="L29" i="39"/>
  <c r="G49" i="39"/>
  <c r="L101" i="31"/>
  <c r="G69" i="31"/>
  <c r="L72" i="39"/>
  <c r="L57" i="39"/>
  <c r="G41" i="39"/>
  <c r="L24" i="39"/>
  <c r="L83" i="31"/>
  <c r="G8" i="39"/>
  <c r="L77" i="39"/>
  <c r="L104" i="31"/>
  <c r="G48" i="31"/>
  <c r="G31" i="31"/>
  <c r="L48" i="39"/>
  <c r="G30" i="39"/>
  <c r="G81" i="39"/>
  <c r="C56" i="9"/>
  <c r="D30" i="9"/>
  <c r="H77" i="31" s="1"/>
  <c r="C30" i="9"/>
  <c r="C65" i="9"/>
  <c r="C66" i="9"/>
  <c r="D51" i="9"/>
  <c r="C46" i="9"/>
  <c r="C47" i="9"/>
  <c r="Q161" i="42" l="1"/>
  <c r="Q159" i="42"/>
  <c r="Q74" i="42"/>
  <c r="P49" i="40"/>
  <c r="Q57" i="42"/>
  <c r="Q77" i="42"/>
  <c r="P91" i="40"/>
  <c r="P92" i="40"/>
  <c r="Q71" i="42"/>
  <c r="Q63" i="42"/>
  <c r="Q87" i="42"/>
  <c r="Q96" i="42"/>
  <c r="Q66" i="42"/>
  <c r="Q127" i="42"/>
  <c r="Q182" i="42"/>
  <c r="P51" i="40"/>
  <c r="Q164" i="42"/>
  <c r="Q35" i="42"/>
  <c r="Q34" i="42"/>
  <c r="Q146" i="42"/>
  <c r="Q158" i="42"/>
  <c r="Q38" i="42"/>
  <c r="Q37" i="42"/>
  <c r="Q134" i="42"/>
  <c r="Q130" i="42"/>
  <c r="Q138" i="42"/>
  <c r="Q184" i="42"/>
  <c r="Q36" i="42"/>
  <c r="Q41" i="42"/>
  <c r="Q40" i="42"/>
  <c r="Q126" i="42"/>
  <c r="Q172" i="42"/>
  <c r="Q180" i="42"/>
  <c r="Q39" i="42"/>
  <c r="Q44" i="42"/>
  <c r="Q43" i="42"/>
  <c r="Q156" i="42"/>
  <c r="Q154" i="42"/>
  <c r="Q42" i="42"/>
  <c r="Q47" i="42"/>
  <c r="Q46" i="42"/>
  <c r="Q166" i="42"/>
  <c r="Q160" i="42"/>
  <c r="Q45" i="42"/>
  <c r="Q50" i="42"/>
  <c r="Q49" i="42"/>
  <c r="Q157" i="42"/>
  <c r="Q48" i="42"/>
  <c r="Q53" i="42"/>
  <c r="Q52" i="42"/>
  <c r="Q145" i="42"/>
  <c r="Q143" i="42"/>
  <c r="Q141" i="42"/>
  <c r="Q147" i="42"/>
  <c r="Q169" i="42"/>
  <c r="Q51" i="42"/>
  <c r="Q56" i="42"/>
  <c r="Q55" i="42"/>
  <c r="Q133" i="42"/>
  <c r="Q131" i="42"/>
  <c r="Q129" i="42"/>
  <c r="Q139" i="42"/>
  <c r="Q137" i="42"/>
  <c r="Q135" i="42"/>
  <c r="P52" i="40"/>
  <c r="Q69" i="42"/>
  <c r="Q58" i="42"/>
  <c r="Q72" i="42"/>
  <c r="Q94" i="42"/>
  <c r="Q88" i="42"/>
  <c r="Q92" i="42"/>
  <c r="Q95" i="42"/>
  <c r="Q78" i="42"/>
  <c r="Q91" i="42"/>
  <c r="Q81" i="42"/>
  <c r="Q93" i="42"/>
  <c r="Q90" i="42"/>
  <c r="Q89" i="42"/>
  <c r="P53" i="40"/>
  <c r="Q84" i="42"/>
  <c r="H45" i="18"/>
  <c r="H37" i="30"/>
  <c r="H52" i="39"/>
  <c r="H59" i="39"/>
  <c r="H66" i="30"/>
  <c r="H48" i="31"/>
  <c r="H106" i="31"/>
  <c r="H48" i="18"/>
  <c r="H46" i="27"/>
  <c r="H54" i="39"/>
  <c r="H45" i="30"/>
  <c r="H26" i="29"/>
  <c r="H46" i="39"/>
  <c r="H36" i="39"/>
  <c r="G9" i="40"/>
  <c r="H41" i="27"/>
  <c r="H28" i="28"/>
  <c r="H24" i="18"/>
  <c r="H25" i="18"/>
  <c r="H13" i="39"/>
  <c r="H22" i="39"/>
  <c r="H61" i="30"/>
  <c r="H28" i="30"/>
  <c r="H18" i="29"/>
  <c r="H46" i="30"/>
  <c r="H39" i="39"/>
  <c r="H50" i="39"/>
  <c r="H29" i="39"/>
  <c r="H14" i="31"/>
  <c r="H89" i="31"/>
  <c r="G14" i="40"/>
  <c r="G3" i="40"/>
  <c r="H9" i="27"/>
  <c r="H16" i="28"/>
  <c r="H43" i="27"/>
  <c r="H42" i="27"/>
  <c r="H37" i="28"/>
  <c r="H69" i="31"/>
  <c r="H22" i="29"/>
  <c r="H38" i="30"/>
  <c r="H63" i="39"/>
  <c r="H68" i="30"/>
  <c r="H39" i="30"/>
  <c r="H71" i="39"/>
  <c r="H42" i="39"/>
  <c r="H24" i="39"/>
  <c r="H17" i="31"/>
  <c r="H92" i="31"/>
  <c r="G8" i="40"/>
  <c r="G2" i="40"/>
  <c r="H5" i="27"/>
  <c r="H32" i="18"/>
  <c r="H37" i="27"/>
  <c r="H40" i="27"/>
  <c r="H25" i="28"/>
  <c r="H53" i="39"/>
  <c r="H14" i="29"/>
  <c r="H32" i="30"/>
  <c r="H51" i="39"/>
  <c r="H55" i="30"/>
  <c r="H34" i="29"/>
  <c r="H35" i="39"/>
  <c r="H37" i="39"/>
  <c r="H17" i="39"/>
  <c r="H20" i="31"/>
  <c r="H95" i="31"/>
  <c r="G12" i="40"/>
  <c r="G11" i="40"/>
  <c r="H41" i="18"/>
  <c r="H86" i="31"/>
  <c r="H37" i="31"/>
  <c r="H14" i="18"/>
  <c r="H29" i="18"/>
  <c r="H19" i="27"/>
  <c r="H24" i="27"/>
  <c r="H61" i="39"/>
  <c r="H40" i="30"/>
  <c r="H23" i="30"/>
  <c r="H6" i="31"/>
  <c r="H62" i="30"/>
  <c r="H90" i="31"/>
  <c r="H10" i="29"/>
  <c r="H15" i="39"/>
  <c r="H28" i="39"/>
  <c r="H57" i="31"/>
  <c r="H44" i="31"/>
  <c r="G6" i="40"/>
  <c r="H52" i="30"/>
  <c r="H31" i="28"/>
  <c r="H45" i="27"/>
  <c r="H19" i="18"/>
  <c r="H22" i="27"/>
  <c r="H44" i="39"/>
  <c r="H81" i="39"/>
  <c r="H13" i="30"/>
  <c r="H37" i="29"/>
  <c r="H54" i="30"/>
  <c r="H15" i="30"/>
  <c r="H5" i="30"/>
  <c r="H58" i="31"/>
  <c r="H87" i="31"/>
  <c r="H49" i="39"/>
  <c r="H47" i="31"/>
  <c r="G16" i="40"/>
  <c r="H8" i="18"/>
  <c r="H40" i="31"/>
  <c r="H44" i="18"/>
  <c r="H19" i="28"/>
  <c r="H25" i="27"/>
  <c r="H40" i="18"/>
  <c r="H20" i="27"/>
  <c r="H21" i="30"/>
  <c r="H30" i="39"/>
  <c r="H5" i="29"/>
  <c r="H16" i="29"/>
  <c r="H49" i="30"/>
  <c r="H77" i="39"/>
  <c r="H70" i="30"/>
  <c r="H72" i="31"/>
  <c r="H78" i="39"/>
  <c r="H38" i="39"/>
  <c r="H50" i="31"/>
  <c r="G1" i="40"/>
  <c r="H46" i="18"/>
  <c r="H42" i="30"/>
  <c r="H20" i="18"/>
  <c r="H38" i="28"/>
  <c r="H16" i="18"/>
  <c r="H18" i="27"/>
  <c r="H34" i="31"/>
  <c r="H59" i="30"/>
  <c r="H40" i="29"/>
  <c r="H35" i="30"/>
  <c r="H5" i="31"/>
  <c r="H13" i="31"/>
  <c r="H57" i="30"/>
  <c r="H30" i="31"/>
  <c r="H76" i="39"/>
  <c r="H31" i="39"/>
  <c r="H53" i="31"/>
  <c r="N16" i="40"/>
  <c r="N11" i="40"/>
  <c r="N6" i="40"/>
  <c r="N2" i="40"/>
  <c r="N18" i="40"/>
  <c r="N4" i="40"/>
  <c r="N15" i="40"/>
  <c r="N10" i="40"/>
  <c r="N14" i="40"/>
  <c r="N9" i="40"/>
  <c r="N5" i="40"/>
  <c r="N1" i="40"/>
  <c r="N17" i="40"/>
  <c r="N12" i="40"/>
  <c r="N8" i="40"/>
  <c r="N3" i="40"/>
  <c r="G5" i="40"/>
  <c r="H49" i="18"/>
  <c r="H51" i="30"/>
  <c r="H31" i="29"/>
  <c r="H56" i="39"/>
  <c r="H70" i="39"/>
  <c r="H83" i="31"/>
  <c r="G4" i="40"/>
  <c r="I15" i="40"/>
  <c r="I10" i="40"/>
  <c r="I5" i="40"/>
  <c r="I1" i="40"/>
  <c r="I12" i="40"/>
  <c r="I8" i="40"/>
  <c r="I3" i="40"/>
  <c r="I18" i="40"/>
  <c r="I4" i="40"/>
  <c r="I17" i="40"/>
  <c r="I14" i="40"/>
  <c r="I9" i="40"/>
  <c r="I16" i="40"/>
  <c r="I11" i="40"/>
  <c r="I6" i="40"/>
  <c r="I2" i="40"/>
  <c r="H33" i="18"/>
  <c r="H36" i="18"/>
  <c r="H37" i="18"/>
  <c r="H48" i="39"/>
  <c r="H50" i="30"/>
  <c r="H53" i="30"/>
  <c r="H54" i="31"/>
  <c r="H11" i="31"/>
  <c r="H44" i="27"/>
  <c r="H36" i="28"/>
  <c r="H27" i="18"/>
  <c r="H29" i="27"/>
  <c r="H38" i="27"/>
  <c r="H20" i="29"/>
  <c r="H19" i="30"/>
  <c r="H23" i="29"/>
  <c r="H32" i="39"/>
  <c r="H34" i="39"/>
  <c r="H12" i="39"/>
  <c r="H23" i="31"/>
  <c r="G17" i="40"/>
  <c r="P17" i="40" s="1"/>
  <c r="G18" i="40"/>
  <c r="H15" i="40"/>
  <c r="H10" i="40"/>
  <c r="H5" i="40"/>
  <c r="H1" i="40"/>
  <c r="H17" i="40"/>
  <c r="H12" i="40"/>
  <c r="H3" i="40"/>
  <c r="H18" i="40"/>
  <c r="H14" i="40"/>
  <c r="H9" i="40"/>
  <c r="H4" i="40"/>
  <c r="H11" i="40"/>
  <c r="H6" i="40"/>
  <c r="H2" i="40"/>
  <c r="H8" i="40"/>
  <c r="H16" i="40"/>
  <c r="H12" i="28"/>
  <c r="J8" i="40"/>
  <c r="J18" i="40"/>
  <c r="J14" i="40"/>
  <c r="J9" i="40"/>
  <c r="J4" i="40"/>
  <c r="J10" i="40"/>
  <c r="J16" i="40"/>
  <c r="J11" i="40"/>
  <c r="J6" i="40"/>
  <c r="J2" i="40"/>
  <c r="J17" i="40"/>
  <c r="J12" i="40"/>
  <c r="J3" i="40"/>
  <c r="J5" i="40"/>
  <c r="J1" i="40"/>
  <c r="J15" i="40"/>
  <c r="H34" i="18"/>
  <c r="H26" i="28"/>
  <c r="H8" i="28"/>
  <c r="H11" i="18"/>
  <c r="H16" i="27"/>
  <c r="H27" i="31"/>
  <c r="H26" i="30"/>
  <c r="H64" i="30"/>
  <c r="H11" i="39"/>
  <c r="H57" i="39"/>
  <c r="H21" i="31"/>
  <c r="H9" i="30"/>
  <c r="H36" i="31"/>
  <c r="H74" i="39"/>
  <c r="H26" i="39"/>
  <c r="H56" i="31"/>
  <c r="G10" i="40"/>
  <c r="O8" i="29"/>
  <c r="O14" i="29"/>
  <c r="O20" i="29"/>
  <c r="O26" i="29"/>
  <c r="O32" i="29"/>
  <c r="O38" i="29"/>
  <c r="O6" i="39"/>
  <c r="O12" i="39"/>
  <c r="O18" i="39"/>
  <c r="O24" i="39"/>
  <c r="O30" i="39"/>
  <c r="O36" i="39"/>
  <c r="O42" i="39"/>
  <c r="O48" i="39"/>
  <c r="O54" i="39"/>
  <c r="O60" i="39"/>
  <c r="O66" i="39"/>
  <c r="O72" i="39"/>
  <c r="O78" i="39"/>
  <c r="O8" i="28"/>
  <c r="O14" i="28"/>
  <c r="O20" i="28"/>
  <c r="O26" i="28"/>
  <c r="O32" i="28"/>
  <c r="O38" i="28"/>
  <c r="O9" i="27"/>
  <c r="O15" i="27"/>
  <c r="O21" i="27"/>
  <c r="O27" i="27"/>
  <c r="O33" i="27"/>
  <c r="O39" i="27"/>
  <c r="O45" i="27"/>
  <c r="O9" i="18"/>
  <c r="O15" i="18"/>
  <c r="O21" i="18"/>
  <c r="O27" i="18"/>
  <c r="O33" i="18"/>
  <c r="O39" i="18"/>
  <c r="O45" i="18"/>
  <c r="O9" i="29"/>
  <c r="O15" i="29"/>
  <c r="O21" i="29"/>
  <c r="O27" i="29"/>
  <c r="O33" i="29"/>
  <c r="O39" i="29"/>
  <c r="O5" i="18"/>
  <c r="O7" i="39"/>
  <c r="O13" i="39"/>
  <c r="O19" i="39"/>
  <c r="O25" i="39"/>
  <c r="O31" i="39"/>
  <c r="O37" i="39"/>
  <c r="O43" i="39"/>
  <c r="O49" i="39"/>
  <c r="O55" i="39"/>
  <c r="O61" i="39"/>
  <c r="O67" i="39"/>
  <c r="O73" i="39"/>
  <c r="O79" i="39"/>
  <c r="O9" i="28"/>
  <c r="O15" i="28"/>
  <c r="O21" i="28"/>
  <c r="O27" i="28"/>
  <c r="O33" i="28"/>
  <c r="O39" i="28"/>
  <c r="O10" i="27"/>
  <c r="O16" i="27"/>
  <c r="O22" i="27"/>
  <c r="O28" i="27"/>
  <c r="O34" i="27"/>
  <c r="O40" i="27"/>
  <c r="O46" i="27"/>
  <c r="O10" i="18"/>
  <c r="O16" i="18"/>
  <c r="O22" i="18"/>
  <c r="O28" i="18"/>
  <c r="O34" i="18"/>
  <c r="O40" i="18"/>
  <c r="O46" i="18"/>
  <c r="O10" i="29"/>
  <c r="O16" i="29"/>
  <c r="O22" i="29"/>
  <c r="O28" i="29"/>
  <c r="O34" i="29"/>
  <c r="O40" i="29"/>
  <c r="O14" i="39"/>
  <c r="O21" i="39"/>
  <c r="O28" i="39"/>
  <c r="O35" i="39"/>
  <c r="O50" i="39"/>
  <c r="O57" i="39"/>
  <c r="O64" i="39"/>
  <c r="O71" i="39"/>
  <c r="O11" i="29"/>
  <c r="O35" i="29"/>
  <c r="O6" i="28"/>
  <c r="O13" i="28"/>
  <c r="O28" i="28"/>
  <c r="O35" i="28"/>
  <c r="O7" i="27"/>
  <c r="O14" i="27"/>
  <c r="O29" i="27"/>
  <c r="O36" i="27"/>
  <c r="O43" i="27"/>
  <c r="O8" i="18"/>
  <c r="O23" i="18"/>
  <c r="O30" i="18"/>
  <c r="O37" i="18"/>
  <c r="O44" i="18"/>
  <c r="O19" i="29"/>
  <c r="O8" i="39"/>
  <c r="O15" i="39"/>
  <c r="O22" i="39"/>
  <c r="O29" i="39"/>
  <c r="O44" i="39"/>
  <c r="O51" i="39"/>
  <c r="O58" i="39"/>
  <c r="O65" i="39"/>
  <c r="O80" i="39"/>
  <c r="O12" i="29"/>
  <c r="O36" i="29"/>
  <c r="O7" i="28"/>
  <c r="O22" i="28"/>
  <c r="O29" i="28"/>
  <c r="O36" i="28"/>
  <c r="O8" i="27"/>
  <c r="O23" i="27"/>
  <c r="O30" i="27"/>
  <c r="O37" i="27"/>
  <c r="O44" i="27"/>
  <c r="O17" i="18"/>
  <c r="O24" i="18"/>
  <c r="O31" i="18"/>
  <c r="O38" i="18"/>
  <c r="Q38" i="18" s="1"/>
  <c r="O9" i="39"/>
  <c r="O16" i="39"/>
  <c r="O23" i="39"/>
  <c r="O38" i="39"/>
  <c r="O45" i="39"/>
  <c r="O52" i="39"/>
  <c r="O59" i="39"/>
  <c r="O74" i="39"/>
  <c r="O81" i="39"/>
  <c r="O13" i="29"/>
  <c r="O37" i="29"/>
  <c r="O16" i="28"/>
  <c r="O23" i="28"/>
  <c r="O30" i="28"/>
  <c r="O37" i="28"/>
  <c r="O24" i="27"/>
  <c r="O31" i="27"/>
  <c r="O38" i="27"/>
  <c r="O18" i="18"/>
  <c r="O32" i="18"/>
  <c r="O6" i="29"/>
  <c r="O30" i="29"/>
  <c r="O10" i="39"/>
  <c r="O32" i="39"/>
  <c r="O39" i="39"/>
  <c r="O46" i="39"/>
  <c r="O68" i="39"/>
  <c r="O75" i="39"/>
  <c r="O23" i="29"/>
  <c r="O17" i="28"/>
  <c r="O24" i="28"/>
  <c r="O31" i="28"/>
  <c r="O18" i="27"/>
  <c r="O25" i="27"/>
  <c r="O12" i="18"/>
  <c r="O19" i="18"/>
  <c r="Q19" i="18" s="1"/>
  <c r="O29" i="29"/>
  <c r="O17" i="27"/>
  <c r="O11" i="18"/>
  <c r="O25" i="18"/>
  <c r="O47" i="18"/>
  <c r="O17" i="39"/>
  <c r="O53" i="39"/>
  <c r="O10" i="28"/>
  <c r="O11" i="27"/>
  <c r="O32" i="27"/>
  <c r="O27" i="39"/>
  <c r="O76" i="39"/>
  <c r="O41" i="29"/>
  <c r="O34" i="28"/>
  <c r="O5" i="27"/>
  <c r="O14" i="18"/>
  <c r="O47" i="39"/>
  <c r="O31" i="29"/>
  <c r="O19" i="27"/>
  <c r="O6" i="18"/>
  <c r="O35" i="18"/>
  <c r="O43" i="18"/>
  <c r="O77" i="39"/>
  <c r="O25" i="28"/>
  <c r="O26" i="18"/>
  <c r="O20" i="27"/>
  <c r="O41" i="27"/>
  <c r="O36" i="18"/>
  <c r="O40" i="39"/>
  <c r="O24" i="29"/>
  <c r="O12" i="27"/>
  <c r="O11" i="39"/>
  <c r="O18" i="28"/>
  <c r="O42" i="27"/>
  <c r="O13" i="27"/>
  <c r="O19" i="28"/>
  <c r="O20" i="18"/>
  <c r="O7" i="29"/>
  <c r="O34" i="39"/>
  <c r="O18" i="29"/>
  <c r="O49" i="18"/>
  <c r="O26" i="27"/>
  <c r="O13" i="18"/>
  <c r="O50" i="18"/>
  <c r="O41" i="39"/>
  <c r="O5" i="28"/>
  <c r="O26" i="39"/>
  <c r="O63" i="39"/>
  <c r="O20" i="39"/>
  <c r="O69" i="39"/>
  <c r="O7" i="18"/>
  <c r="O70" i="39"/>
  <c r="O62" i="39"/>
  <c r="O25" i="29"/>
  <c r="O29" i="18"/>
  <c r="O33" i="39"/>
  <c r="O17" i="29"/>
  <c r="O48" i="18"/>
  <c r="O11" i="28"/>
  <c r="O35" i="27"/>
  <c r="O6" i="27"/>
  <c r="O41" i="18"/>
  <c r="O12" i="28"/>
  <c r="O56" i="39"/>
  <c r="O42" i="18"/>
  <c r="H39" i="27"/>
  <c r="H21" i="18"/>
  <c r="H22" i="18"/>
  <c r="H47" i="18"/>
  <c r="H14" i="27"/>
  <c r="H7" i="29"/>
  <c r="H31" i="31"/>
  <c r="H43" i="39"/>
  <c r="H47" i="39"/>
  <c r="H64" i="31"/>
  <c r="H47" i="30"/>
  <c r="H34" i="30"/>
  <c r="H19" i="31"/>
  <c r="H105" i="31"/>
  <c r="H68" i="39"/>
  <c r="H14" i="39"/>
  <c r="H59" i="31"/>
  <c r="H15" i="18"/>
  <c r="H35" i="27"/>
  <c r="H7" i="28"/>
  <c r="H33" i="28"/>
  <c r="H21" i="27"/>
  <c r="H34" i="28"/>
  <c r="H15" i="27"/>
  <c r="H35" i="18"/>
  <c r="H36" i="27"/>
  <c r="H12" i="27"/>
  <c r="H13" i="28"/>
  <c r="H7" i="30"/>
  <c r="H36" i="29"/>
  <c r="H45" i="31"/>
  <c r="H22" i="31"/>
  <c r="H16" i="39"/>
  <c r="H33" i="39"/>
  <c r="H27" i="39"/>
  <c r="H55" i="39"/>
  <c r="H100" i="31"/>
  <c r="H13" i="29"/>
  <c r="H18" i="30"/>
  <c r="H51" i="31"/>
  <c r="H27" i="30"/>
  <c r="H48" i="30"/>
  <c r="H49" i="31"/>
  <c r="H75" i="39"/>
  <c r="H109" i="31"/>
  <c r="H91" i="31"/>
  <c r="H66" i="39"/>
  <c r="H66" i="31"/>
  <c r="H9" i="39"/>
  <c r="H26" i="31"/>
  <c r="H62" i="31"/>
  <c r="H98" i="31"/>
  <c r="K8" i="18"/>
  <c r="K5" i="39"/>
  <c r="K8" i="39"/>
  <c r="K12" i="39"/>
  <c r="K14" i="39"/>
  <c r="K16" i="39"/>
  <c r="K18" i="39"/>
  <c r="K20" i="39"/>
  <c r="K22" i="39"/>
  <c r="K24" i="39"/>
  <c r="K26" i="39"/>
  <c r="K28" i="39"/>
  <c r="K30" i="39"/>
  <c r="K32" i="39"/>
  <c r="K34" i="39"/>
  <c r="K36" i="39"/>
  <c r="K38" i="39"/>
  <c r="K40" i="39"/>
  <c r="K42" i="39"/>
  <c r="K44" i="39"/>
  <c r="K46" i="39"/>
  <c r="K48" i="39"/>
  <c r="K50" i="39"/>
  <c r="K52" i="39"/>
  <c r="K54" i="39"/>
  <c r="K56" i="39"/>
  <c r="K111" i="31"/>
  <c r="K102" i="31"/>
  <c r="K93" i="31"/>
  <c r="K84" i="31"/>
  <c r="K75" i="31"/>
  <c r="K66" i="31"/>
  <c r="K57" i="31"/>
  <c r="K50" i="31"/>
  <c r="K38" i="31"/>
  <c r="K26" i="31"/>
  <c r="K14" i="31"/>
  <c r="K48" i="31"/>
  <c r="K36" i="31"/>
  <c r="K24" i="31"/>
  <c r="K12" i="31"/>
  <c r="K51" i="39"/>
  <c r="K11" i="39"/>
  <c r="K109" i="31"/>
  <c r="K107" i="31"/>
  <c r="K105" i="31"/>
  <c r="K103" i="31"/>
  <c r="K101" i="31"/>
  <c r="K95" i="31"/>
  <c r="K54" i="31"/>
  <c r="K46" i="31"/>
  <c r="K44" i="31"/>
  <c r="K42" i="31"/>
  <c r="K34" i="31"/>
  <c r="K32" i="31"/>
  <c r="K30" i="31"/>
  <c r="K22" i="31"/>
  <c r="K20" i="31"/>
  <c r="K18" i="31"/>
  <c r="K10" i="31"/>
  <c r="K10" i="39"/>
  <c r="K39" i="39"/>
  <c r="K47" i="39"/>
  <c r="K61" i="39"/>
  <c r="K72" i="39"/>
  <c r="K8" i="31"/>
  <c r="K72" i="31"/>
  <c r="K70" i="31"/>
  <c r="K6" i="39"/>
  <c r="K57" i="39"/>
  <c r="K68" i="39"/>
  <c r="K81" i="39"/>
  <c r="K90" i="31"/>
  <c r="K88" i="31"/>
  <c r="K55" i="39"/>
  <c r="K64" i="39"/>
  <c r="K77" i="39"/>
  <c r="K6" i="30"/>
  <c r="K100" i="31"/>
  <c r="K98" i="31"/>
  <c r="K96" i="31"/>
  <c r="K94" i="31"/>
  <c r="K92" i="31"/>
  <c r="K86" i="31"/>
  <c r="K23" i="39"/>
  <c r="K29" i="39"/>
  <c r="K82" i="31"/>
  <c r="K79" i="31"/>
  <c r="K68" i="31"/>
  <c r="K43" i="31"/>
  <c r="K35" i="31"/>
  <c r="K13" i="31"/>
  <c r="K31" i="39"/>
  <c r="K49" i="39"/>
  <c r="K67" i="39"/>
  <c r="K70" i="39"/>
  <c r="K73" i="39"/>
  <c r="K11" i="30"/>
  <c r="K26" i="30"/>
  <c r="K38" i="30"/>
  <c r="K52" i="30"/>
  <c r="K63" i="30"/>
  <c r="K16" i="29"/>
  <c r="K29" i="29"/>
  <c r="K40" i="29"/>
  <c r="K99" i="31"/>
  <c r="K62" i="31"/>
  <c r="K37" i="31"/>
  <c r="K29" i="31"/>
  <c r="K21" i="31"/>
  <c r="K62" i="39"/>
  <c r="K24" i="30"/>
  <c r="K36" i="30"/>
  <c r="K48" i="30"/>
  <c r="K59" i="30"/>
  <c r="K72" i="30"/>
  <c r="K12" i="29"/>
  <c r="K25" i="29"/>
  <c r="K36" i="29"/>
  <c r="K110" i="31"/>
  <c r="K40" i="31"/>
  <c r="K7" i="39"/>
  <c r="K15" i="39"/>
  <c r="K19" i="39"/>
  <c r="K43" i="39"/>
  <c r="K53" i="39"/>
  <c r="K59" i="39"/>
  <c r="K9" i="30"/>
  <c r="K17" i="30"/>
  <c r="K29" i="30"/>
  <c r="K41" i="30"/>
  <c r="K97" i="31"/>
  <c r="K83" i="31"/>
  <c r="K35" i="39"/>
  <c r="K14" i="30"/>
  <c r="K43" i="30"/>
  <c r="K20" i="29"/>
  <c r="K28" i="29"/>
  <c r="K33" i="29"/>
  <c r="K41" i="29"/>
  <c r="K23" i="31"/>
  <c r="K45" i="39"/>
  <c r="K58" i="39"/>
  <c r="K7" i="30"/>
  <c r="K34" i="30"/>
  <c r="K40" i="30"/>
  <c r="K65" i="30"/>
  <c r="K73" i="30"/>
  <c r="K5" i="30"/>
  <c r="K7" i="29"/>
  <c r="K15" i="29"/>
  <c r="K23" i="29"/>
  <c r="K11" i="29"/>
  <c r="K19" i="29"/>
  <c r="K73" i="31"/>
  <c r="K52" i="31"/>
  <c r="K45" i="31"/>
  <c r="K39" i="30"/>
  <c r="K27" i="29"/>
  <c r="K80" i="31"/>
  <c r="K64" i="31"/>
  <c r="K47" i="31"/>
  <c r="K66" i="39"/>
  <c r="K37" i="30"/>
  <c r="K10" i="29"/>
  <c r="K53" i="31"/>
  <c r="K33" i="31"/>
  <c r="K13" i="39"/>
  <c r="K25" i="39"/>
  <c r="K74" i="39"/>
  <c r="K9" i="31"/>
  <c r="K18" i="30"/>
  <c r="K21" i="30"/>
  <c r="K55" i="30"/>
  <c r="K60" i="30"/>
  <c r="K68" i="30"/>
  <c r="K5" i="29"/>
  <c r="K78" i="31"/>
  <c r="K71" i="31"/>
  <c r="K67" i="31"/>
  <c r="K9" i="39"/>
  <c r="K41" i="39"/>
  <c r="K78" i="39"/>
  <c r="K15" i="30"/>
  <c r="K31" i="30"/>
  <c r="K44" i="30"/>
  <c r="K47" i="30"/>
  <c r="K26" i="29"/>
  <c r="K31" i="29"/>
  <c r="K80" i="39"/>
  <c r="K45" i="30"/>
  <c r="K14" i="29"/>
  <c r="K18" i="29"/>
  <c r="K34" i="29"/>
  <c r="K39" i="29"/>
  <c r="K106" i="31"/>
  <c r="K89" i="31"/>
  <c r="K60" i="31"/>
  <c r="K56" i="31"/>
  <c r="K39" i="31"/>
  <c r="K25" i="31"/>
  <c r="K19" i="31"/>
  <c r="K16" i="31"/>
  <c r="K37" i="39"/>
  <c r="K71" i="39"/>
  <c r="K8" i="30"/>
  <c r="K12" i="30"/>
  <c r="K22" i="30"/>
  <c r="K25" i="30"/>
  <c r="K28" i="30"/>
  <c r="K50" i="30"/>
  <c r="K71" i="30"/>
  <c r="K8" i="29"/>
  <c r="K13" i="29"/>
  <c r="K21" i="29"/>
  <c r="K81" i="31"/>
  <c r="K63" i="31"/>
  <c r="K49" i="31"/>
  <c r="K21" i="39"/>
  <c r="K63" i="39"/>
  <c r="K75" i="39"/>
  <c r="K5" i="31"/>
  <c r="K53" i="30"/>
  <c r="K58" i="30"/>
  <c r="K66" i="30"/>
  <c r="K85" i="31"/>
  <c r="K74" i="31"/>
  <c r="K59" i="31"/>
  <c r="K15" i="31"/>
  <c r="K27" i="39"/>
  <c r="K60" i="39"/>
  <c r="K79" i="39"/>
  <c r="K6" i="31"/>
  <c r="K19" i="30"/>
  <c r="K32" i="30"/>
  <c r="K35" i="30"/>
  <c r="K61" i="30"/>
  <c r="K74" i="30"/>
  <c r="K24" i="29"/>
  <c r="K32" i="29"/>
  <c r="K37" i="29"/>
  <c r="K55" i="31"/>
  <c r="K31" i="31"/>
  <c r="K28" i="31"/>
  <c r="K33" i="39"/>
  <c r="K16" i="30"/>
  <c r="K69" i="30"/>
  <c r="K6" i="29"/>
  <c r="K77" i="31"/>
  <c r="K69" i="31"/>
  <c r="K42" i="30"/>
  <c r="K51" i="30"/>
  <c r="K56" i="30"/>
  <c r="K64" i="30"/>
  <c r="K91" i="31"/>
  <c r="K27" i="30"/>
  <c r="K62" i="30"/>
  <c r="K7" i="31"/>
  <c r="K35" i="29"/>
  <c r="K87" i="31"/>
  <c r="K11" i="31"/>
  <c r="K75" i="30"/>
  <c r="K30" i="29"/>
  <c r="K10" i="30"/>
  <c r="K70" i="30"/>
  <c r="K22" i="29"/>
  <c r="K65" i="39"/>
  <c r="K27" i="31"/>
  <c r="K69" i="39"/>
  <c r="K30" i="30"/>
  <c r="K54" i="30"/>
  <c r="K9" i="29"/>
  <c r="K108" i="31"/>
  <c r="K61" i="31"/>
  <c r="K17" i="39"/>
  <c r="K20" i="30"/>
  <c r="K17" i="31"/>
  <c r="K46" i="30"/>
  <c r="K67" i="30"/>
  <c r="K17" i="29"/>
  <c r="K38" i="29"/>
  <c r="K76" i="31"/>
  <c r="K51" i="31"/>
  <c r="K33" i="30"/>
  <c r="K57" i="30"/>
  <c r="K41" i="31"/>
  <c r="K76" i="39"/>
  <c r="K23" i="30"/>
  <c r="K58" i="31"/>
  <c r="K49" i="30"/>
  <c r="K65" i="31"/>
  <c r="K13" i="30"/>
  <c r="K104" i="31"/>
  <c r="K10" i="28"/>
  <c r="K22" i="28"/>
  <c r="K34" i="28"/>
  <c r="K22" i="18"/>
  <c r="K34" i="18"/>
  <c r="K46" i="18"/>
  <c r="K15" i="28"/>
  <c r="K27" i="28"/>
  <c r="K39" i="28"/>
  <c r="K10" i="18"/>
  <c r="K15" i="18"/>
  <c r="K27" i="18"/>
  <c r="K39" i="18"/>
  <c r="K20" i="18"/>
  <c r="K32" i="18"/>
  <c r="K44" i="18"/>
  <c r="K25" i="18"/>
  <c r="K49" i="18"/>
  <c r="K11" i="18"/>
  <c r="K40" i="18"/>
  <c r="K45" i="18"/>
  <c r="K26" i="28"/>
  <c r="K26" i="18"/>
  <c r="K38" i="18"/>
  <c r="K19" i="28"/>
  <c r="K31" i="28"/>
  <c r="K14" i="18"/>
  <c r="K31" i="18"/>
  <c r="K24" i="28"/>
  <c r="K5" i="27"/>
  <c r="K9" i="27"/>
  <c r="K13" i="27"/>
  <c r="K17" i="27"/>
  <c r="K21" i="27"/>
  <c r="K27" i="27"/>
  <c r="K31" i="27"/>
  <c r="K35" i="27"/>
  <c r="K39" i="27"/>
  <c r="K43" i="27"/>
  <c r="K24" i="18"/>
  <c r="K36" i="18"/>
  <c r="K17" i="28"/>
  <c r="K12" i="18"/>
  <c r="K17" i="18"/>
  <c r="K29" i="18"/>
  <c r="K41" i="18"/>
  <c r="K5" i="18"/>
  <c r="K37" i="18"/>
  <c r="K50" i="18"/>
  <c r="K12" i="28"/>
  <c r="K8" i="28"/>
  <c r="K20" i="28"/>
  <c r="K32" i="28"/>
  <c r="K5" i="28"/>
  <c r="K16" i="18"/>
  <c r="K13" i="28"/>
  <c r="K25" i="28"/>
  <c r="K37" i="28"/>
  <c r="K14" i="28"/>
  <c r="K9" i="18"/>
  <c r="K6" i="28"/>
  <c r="K18" i="28"/>
  <c r="K30" i="28"/>
  <c r="K6" i="27"/>
  <c r="K8" i="27"/>
  <c r="K10" i="27"/>
  <c r="K12" i="27"/>
  <c r="K14" i="27"/>
  <c r="K16" i="27"/>
  <c r="K18" i="27"/>
  <c r="K20" i="27"/>
  <c r="K22" i="27"/>
  <c r="K24" i="27"/>
  <c r="K26" i="27"/>
  <c r="K28" i="27"/>
  <c r="K30" i="27"/>
  <c r="K32" i="27"/>
  <c r="K34" i="27"/>
  <c r="K36" i="27"/>
  <c r="K38" i="27"/>
  <c r="K40" i="27"/>
  <c r="K42" i="27"/>
  <c r="K44" i="27"/>
  <c r="K46" i="27"/>
  <c r="K13" i="18"/>
  <c r="K18" i="18"/>
  <c r="K30" i="18"/>
  <c r="K42" i="18"/>
  <c r="K11" i="28"/>
  <c r="K23" i="28"/>
  <c r="K35" i="28"/>
  <c r="K23" i="18"/>
  <c r="K35" i="18"/>
  <c r="K47" i="18"/>
  <c r="K16" i="28"/>
  <c r="K28" i="28"/>
  <c r="K6" i="18"/>
  <c r="K28" i="18"/>
  <c r="K9" i="28"/>
  <c r="K21" i="28"/>
  <c r="K33" i="28"/>
  <c r="K21" i="18"/>
  <c r="K33" i="18"/>
  <c r="K38" i="28"/>
  <c r="K7" i="28"/>
  <c r="K19" i="18"/>
  <c r="K43" i="18"/>
  <c r="K36" i="28"/>
  <c r="K7" i="27"/>
  <c r="K11" i="27"/>
  <c r="K15" i="27"/>
  <c r="K19" i="27"/>
  <c r="K23" i="27"/>
  <c r="K25" i="27"/>
  <c r="K29" i="27"/>
  <c r="K33" i="27"/>
  <c r="K37" i="27"/>
  <c r="K41" i="27"/>
  <c r="K45" i="27"/>
  <c r="K48" i="18"/>
  <c r="K29" i="28"/>
  <c r="K7" i="18"/>
  <c r="H32" i="28"/>
  <c r="H31" i="27"/>
  <c r="H50" i="18"/>
  <c r="H21" i="28"/>
  <c r="H6" i="18"/>
  <c r="H10" i="28"/>
  <c r="H11" i="27"/>
  <c r="H23" i="18"/>
  <c r="H34" i="27"/>
  <c r="H10" i="27"/>
  <c r="H33" i="29"/>
  <c r="H73" i="39"/>
  <c r="H15" i="29"/>
  <c r="H55" i="31"/>
  <c r="H25" i="31"/>
  <c r="H10" i="39"/>
  <c r="H103" i="31"/>
  <c r="H9" i="29"/>
  <c r="H21" i="39"/>
  <c r="H75" i="30"/>
  <c r="H63" i="30"/>
  <c r="H11" i="30"/>
  <c r="H73" i="31"/>
  <c r="H22" i="30"/>
  <c r="H41" i="30"/>
  <c r="H60" i="31"/>
  <c r="H23" i="39"/>
  <c r="H16" i="30"/>
  <c r="H8" i="30"/>
  <c r="H64" i="39"/>
  <c r="H75" i="31"/>
  <c r="H61" i="31"/>
  <c r="H29" i="31"/>
  <c r="H65" i="31"/>
  <c r="H101" i="31"/>
  <c r="H20" i="28"/>
  <c r="H27" i="27"/>
  <c r="H38" i="18"/>
  <c r="H9" i="28"/>
  <c r="H35" i="28"/>
  <c r="H17" i="18"/>
  <c r="H7" i="27"/>
  <c r="H42" i="18"/>
  <c r="H32" i="27"/>
  <c r="H8" i="27"/>
  <c r="H12" i="29"/>
  <c r="H40" i="39"/>
  <c r="H65" i="30"/>
  <c r="H33" i="30"/>
  <c r="H63" i="31"/>
  <c r="H6" i="39"/>
  <c r="H32" i="29"/>
  <c r="H29" i="29"/>
  <c r="H33" i="31"/>
  <c r="H71" i="30"/>
  <c r="H44" i="30"/>
  <c r="H41" i="39"/>
  <c r="H85" i="31"/>
  <c r="H16" i="31"/>
  <c r="H36" i="30"/>
  <c r="H94" i="31"/>
  <c r="H20" i="39"/>
  <c r="H14" i="30"/>
  <c r="H6" i="30"/>
  <c r="H62" i="39"/>
  <c r="H84" i="31"/>
  <c r="H70" i="31"/>
  <c r="H32" i="31"/>
  <c r="H68" i="31"/>
  <c r="H104" i="31"/>
  <c r="H39" i="28"/>
  <c r="H23" i="27"/>
  <c r="H26" i="18"/>
  <c r="H10" i="18"/>
  <c r="H23" i="28"/>
  <c r="H12" i="18"/>
  <c r="H24" i="28"/>
  <c r="H30" i="18"/>
  <c r="H30" i="27"/>
  <c r="H6" i="27"/>
  <c r="H65" i="39"/>
  <c r="H18" i="39"/>
  <c r="H43" i="30"/>
  <c r="H69" i="39"/>
  <c r="H81" i="31"/>
  <c r="H39" i="31"/>
  <c r="H11" i="29"/>
  <c r="H24" i="29"/>
  <c r="H21" i="29"/>
  <c r="H5" i="39"/>
  <c r="H31" i="30"/>
  <c r="H25" i="39"/>
  <c r="H99" i="31"/>
  <c r="H43" i="31"/>
  <c r="H29" i="30"/>
  <c r="H7" i="39"/>
  <c r="H12" i="31"/>
  <c r="H12" i="30"/>
  <c r="H9" i="31"/>
  <c r="H60" i="39"/>
  <c r="H93" i="31"/>
  <c r="H79" i="31"/>
  <c r="H35" i="31"/>
  <c r="H71" i="31"/>
  <c r="H107" i="31"/>
  <c r="H27" i="28"/>
  <c r="H17" i="27"/>
  <c r="H9" i="18"/>
  <c r="H33" i="27"/>
  <c r="H11" i="28"/>
  <c r="H7" i="18"/>
  <c r="H43" i="18"/>
  <c r="H18" i="18"/>
  <c r="H28" i="27"/>
  <c r="H30" i="28"/>
  <c r="H60" i="30"/>
  <c r="H108" i="31"/>
  <c r="H25" i="29"/>
  <c r="H28" i="31"/>
  <c r="H35" i="29"/>
  <c r="H46" i="31"/>
  <c r="H74" i="30"/>
  <c r="H17" i="29"/>
  <c r="H8" i="29"/>
  <c r="H52" i="31"/>
  <c r="H25" i="30"/>
  <c r="H8" i="39"/>
  <c r="H30" i="29"/>
  <c r="H76" i="31"/>
  <c r="H24" i="30"/>
  <c r="H78" i="31"/>
  <c r="H18" i="31"/>
  <c r="H10" i="30"/>
  <c r="H7" i="31"/>
  <c r="H58" i="39"/>
  <c r="H102" i="31"/>
  <c r="H88" i="31"/>
  <c r="H38" i="31"/>
  <c r="H74" i="31"/>
  <c r="H110" i="31"/>
  <c r="I15" i="18"/>
  <c r="I5" i="39"/>
  <c r="I8" i="39"/>
  <c r="I12" i="39"/>
  <c r="I14" i="39"/>
  <c r="I16" i="39"/>
  <c r="I18" i="39"/>
  <c r="I20" i="39"/>
  <c r="I22" i="39"/>
  <c r="I24" i="39"/>
  <c r="I26" i="39"/>
  <c r="I28" i="39"/>
  <c r="I30" i="39"/>
  <c r="I32" i="39"/>
  <c r="I34" i="39"/>
  <c r="I36" i="39"/>
  <c r="I104" i="31"/>
  <c r="I95" i="31"/>
  <c r="I86" i="31"/>
  <c r="I77" i="31"/>
  <c r="I68" i="31"/>
  <c r="I59" i="31"/>
  <c r="I52" i="31"/>
  <c r="I45" i="31"/>
  <c r="I40" i="31"/>
  <c r="I33" i="31"/>
  <c r="I28" i="31"/>
  <c r="I21" i="31"/>
  <c r="I16" i="31"/>
  <c r="I40" i="39"/>
  <c r="I50" i="31"/>
  <c r="I38" i="31"/>
  <c r="I26" i="31"/>
  <c r="I14" i="31"/>
  <c r="I47" i="39"/>
  <c r="I99" i="31"/>
  <c r="I93" i="31"/>
  <c r="I85" i="31"/>
  <c r="I6" i="39"/>
  <c r="I31" i="39"/>
  <c r="I57" i="39"/>
  <c r="I68" i="39"/>
  <c r="I81" i="39"/>
  <c r="I111" i="31"/>
  <c r="I103" i="31"/>
  <c r="I64" i="31"/>
  <c r="I62" i="31"/>
  <c r="I60" i="31"/>
  <c r="I56" i="31"/>
  <c r="I46" i="31"/>
  <c r="I44" i="31"/>
  <c r="I34" i="31"/>
  <c r="I32" i="31"/>
  <c r="I22" i="31"/>
  <c r="I20" i="31"/>
  <c r="I10" i="31"/>
  <c r="I55" i="39"/>
  <c r="I64" i="39"/>
  <c r="I77" i="39"/>
  <c r="I6" i="30"/>
  <c r="I82" i="31"/>
  <c r="I80" i="31"/>
  <c r="I78" i="31"/>
  <c r="I74" i="31"/>
  <c r="I70" i="31"/>
  <c r="I43" i="39"/>
  <c r="I48" i="39"/>
  <c r="I53" i="39"/>
  <c r="I60" i="39"/>
  <c r="I73" i="39"/>
  <c r="I7" i="31"/>
  <c r="I90" i="31"/>
  <c r="I84" i="31"/>
  <c r="I76" i="31"/>
  <c r="I9" i="39"/>
  <c r="I15" i="39"/>
  <c r="I108" i="31"/>
  <c r="I91" i="31"/>
  <c r="I88" i="31"/>
  <c r="I57" i="31"/>
  <c r="I27" i="31"/>
  <c r="I11" i="31"/>
  <c r="I42" i="39"/>
  <c r="I79" i="39"/>
  <c r="I11" i="39"/>
  <c r="I14" i="30"/>
  <c r="I59" i="30"/>
  <c r="I72" i="30"/>
  <c r="I12" i="29"/>
  <c r="I25" i="29"/>
  <c r="I36" i="29"/>
  <c r="I102" i="31"/>
  <c r="I79" i="31"/>
  <c r="I73" i="31"/>
  <c r="I65" i="31"/>
  <c r="I51" i="31"/>
  <c r="I35" i="31"/>
  <c r="I13" i="31"/>
  <c r="I7" i="39"/>
  <c r="I10" i="39"/>
  <c r="I19" i="39"/>
  <c r="I59" i="39"/>
  <c r="I65" i="39"/>
  <c r="I71" i="39"/>
  <c r="I55" i="30"/>
  <c r="I68" i="30"/>
  <c r="I8" i="29"/>
  <c r="I21" i="29"/>
  <c r="I32" i="29"/>
  <c r="I48" i="31"/>
  <c r="I50" i="39"/>
  <c r="I74" i="39"/>
  <c r="I80" i="39"/>
  <c r="I12" i="30"/>
  <c r="I22" i="30"/>
  <c r="I27" i="30"/>
  <c r="I34" i="30"/>
  <c r="I39" i="30"/>
  <c r="I46" i="30"/>
  <c r="I72" i="31"/>
  <c r="I54" i="31"/>
  <c r="I41" i="31"/>
  <c r="I13" i="39"/>
  <c r="I45" i="39"/>
  <c r="I54" i="39"/>
  <c r="I62" i="39"/>
  <c r="I66" i="39"/>
  <c r="I8" i="31"/>
  <c r="I21" i="30"/>
  <c r="I24" i="30"/>
  <c r="I40" i="30"/>
  <c r="I52" i="30"/>
  <c r="I60" i="30"/>
  <c r="I10" i="29"/>
  <c r="I23" i="29"/>
  <c r="I100" i="31"/>
  <c r="I17" i="31"/>
  <c r="I25" i="39"/>
  <c r="I41" i="39"/>
  <c r="I78" i="39"/>
  <c r="I11" i="30"/>
  <c r="I15" i="30"/>
  <c r="I18" i="30"/>
  <c r="I47" i="30"/>
  <c r="I18" i="29"/>
  <c r="I26" i="29"/>
  <c r="I39" i="29"/>
  <c r="I27" i="29"/>
  <c r="I66" i="31"/>
  <c r="I31" i="31"/>
  <c r="I17" i="39"/>
  <c r="I29" i="39"/>
  <c r="I76" i="39"/>
  <c r="I67" i="30"/>
  <c r="I75" i="30"/>
  <c r="I97" i="31"/>
  <c r="I83" i="31"/>
  <c r="I61" i="31"/>
  <c r="I30" i="31"/>
  <c r="I9" i="31"/>
  <c r="I31" i="29"/>
  <c r="I107" i="31"/>
  <c r="I75" i="31"/>
  <c r="I70" i="39"/>
  <c r="I25" i="30"/>
  <c r="I31" i="30"/>
  <c r="I44" i="30"/>
  <c r="I63" i="30"/>
  <c r="I71" i="30"/>
  <c r="I13" i="29"/>
  <c r="I34" i="29"/>
  <c r="I110" i="31"/>
  <c r="I96" i="31"/>
  <c r="I36" i="31"/>
  <c r="I29" i="31"/>
  <c r="I23" i="31"/>
  <c r="I37" i="39"/>
  <c r="I46" i="39"/>
  <c r="I63" i="39"/>
  <c r="I28" i="30"/>
  <c r="I41" i="30"/>
  <c r="I53" i="30"/>
  <c r="I58" i="30"/>
  <c r="I66" i="30"/>
  <c r="I5" i="30"/>
  <c r="I35" i="29"/>
  <c r="I47" i="31"/>
  <c r="I51" i="39"/>
  <c r="I8" i="30"/>
  <c r="I50" i="30"/>
  <c r="I30" i="29"/>
  <c r="I71" i="31"/>
  <c r="I53" i="31"/>
  <c r="I43" i="31"/>
  <c r="I21" i="39"/>
  <c r="I67" i="39"/>
  <c r="I75" i="39"/>
  <c r="I35" i="30"/>
  <c r="I16" i="29"/>
  <c r="I24" i="29"/>
  <c r="I29" i="29"/>
  <c r="I37" i="29"/>
  <c r="I5" i="29"/>
  <c r="I92" i="31"/>
  <c r="I89" i="31"/>
  <c r="I67" i="31"/>
  <c r="I39" i="31"/>
  <c r="I19" i="31"/>
  <c r="I12" i="31"/>
  <c r="I27" i="39"/>
  <c r="I6" i="31"/>
  <c r="I19" i="30"/>
  <c r="I32" i="30"/>
  <c r="I38" i="30"/>
  <c r="I61" i="30"/>
  <c r="I69" i="30"/>
  <c r="I74" i="30"/>
  <c r="I6" i="29"/>
  <c r="I11" i="29"/>
  <c r="I19" i="29"/>
  <c r="I106" i="31"/>
  <c r="I81" i="31"/>
  <c r="I63" i="31"/>
  <c r="I25" i="31"/>
  <c r="I33" i="39"/>
  <c r="I38" i="39"/>
  <c r="I56" i="39"/>
  <c r="I9" i="30"/>
  <c r="I16" i="30"/>
  <c r="I29" i="30"/>
  <c r="I45" i="30"/>
  <c r="I48" i="30"/>
  <c r="I51" i="30"/>
  <c r="I56" i="30"/>
  <c r="I64" i="30"/>
  <c r="I40" i="29"/>
  <c r="I109" i="31"/>
  <c r="I98" i="31"/>
  <c r="I49" i="31"/>
  <c r="I42" i="31"/>
  <c r="I15" i="31"/>
  <c r="I72" i="39"/>
  <c r="I5" i="31"/>
  <c r="I13" i="30"/>
  <c r="I23" i="30"/>
  <c r="I42" i="30"/>
  <c r="I14" i="29"/>
  <c r="I22" i="29"/>
  <c r="I105" i="31"/>
  <c r="I55" i="31"/>
  <c r="I18" i="31"/>
  <c r="I52" i="39"/>
  <c r="I20" i="30"/>
  <c r="I26" i="30"/>
  <c r="I9" i="29"/>
  <c r="I17" i="29"/>
  <c r="I69" i="31"/>
  <c r="I49" i="39"/>
  <c r="I73" i="30"/>
  <c r="I37" i="31"/>
  <c r="I69" i="39"/>
  <c r="I17" i="30"/>
  <c r="I54" i="30"/>
  <c r="I30" i="30"/>
  <c r="I65" i="30"/>
  <c r="I15" i="29"/>
  <c r="I33" i="29"/>
  <c r="I87" i="31"/>
  <c r="I35" i="39"/>
  <c r="I43" i="30"/>
  <c r="I44" i="39"/>
  <c r="I41" i="29"/>
  <c r="I37" i="30"/>
  <c r="I39" i="39"/>
  <c r="I33" i="30"/>
  <c r="I38" i="29"/>
  <c r="I101" i="31"/>
  <c r="I94" i="31"/>
  <c r="I57" i="30"/>
  <c r="I28" i="29"/>
  <c r="I58" i="39"/>
  <c r="I7" i="30"/>
  <c r="I7" i="29"/>
  <c r="I23" i="39"/>
  <c r="I10" i="30"/>
  <c r="I36" i="30"/>
  <c r="I49" i="30"/>
  <c r="I24" i="31"/>
  <c r="I61" i="39"/>
  <c r="I70" i="30"/>
  <c r="I20" i="29"/>
  <c r="I58" i="31"/>
  <c r="I62" i="30"/>
  <c r="I8" i="28"/>
  <c r="I20" i="28"/>
  <c r="I32" i="28"/>
  <c r="I20" i="18"/>
  <c r="I32" i="18"/>
  <c r="I44" i="18"/>
  <c r="I13" i="28"/>
  <c r="I25" i="28"/>
  <c r="I37" i="28"/>
  <c r="I25" i="18"/>
  <c r="I37" i="18"/>
  <c r="I49" i="18"/>
  <c r="I5" i="18"/>
  <c r="I8" i="18"/>
  <c r="I13" i="18"/>
  <c r="I18" i="18"/>
  <c r="I30" i="18"/>
  <c r="I42" i="18"/>
  <c r="I35" i="18"/>
  <c r="I47" i="18"/>
  <c r="I9" i="18"/>
  <c r="I26" i="18"/>
  <c r="I7" i="28"/>
  <c r="I19" i="28"/>
  <c r="I14" i="18"/>
  <c r="I19" i="18"/>
  <c r="I31" i="18"/>
  <c r="I24" i="28"/>
  <c r="I7" i="27"/>
  <c r="I11" i="27"/>
  <c r="I15" i="27"/>
  <c r="I19" i="27"/>
  <c r="I23" i="27"/>
  <c r="I27" i="27"/>
  <c r="I31" i="27"/>
  <c r="I37" i="27"/>
  <c r="I45" i="27"/>
  <c r="I48" i="18"/>
  <c r="I29" i="28"/>
  <c r="I7" i="18"/>
  <c r="I41" i="18"/>
  <c r="I46" i="18"/>
  <c r="I10" i="18"/>
  <c r="I23" i="18"/>
  <c r="I43" i="18"/>
  <c r="I17" i="28"/>
  <c r="I6" i="28"/>
  <c r="I18" i="28"/>
  <c r="I30" i="28"/>
  <c r="I6" i="27"/>
  <c r="I8" i="27"/>
  <c r="I10" i="27"/>
  <c r="I12" i="27"/>
  <c r="I14" i="27"/>
  <c r="I16" i="27"/>
  <c r="I18" i="27"/>
  <c r="I20" i="27"/>
  <c r="I22" i="27"/>
  <c r="I24" i="27"/>
  <c r="I26" i="27"/>
  <c r="I28" i="27"/>
  <c r="I30" i="27"/>
  <c r="I32" i="27"/>
  <c r="I34" i="27"/>
  <c r="I36" i="27"/>
  <c r="I38" i="27"/>
  <c r="I40" i="27"/>
  <c r="I42" i="27"/>
  <c r="I44" i="27"/>
  <c r="I46" i="27"/>
  <c r="I41" i="27"/>
  <c r="I17" i="18"/>
  <c r="I27" i="28"/>
  <c r="I11" i="28"/>
  <c r="I23" i="28"/>
  <c r="I35" i="28"/>
  <c r="I50" i="18"/>
  <c r="I35" i="27"/>
  <c r="I34" i="28"/>
  <c r="I39" i="18"/>
  <c r="I16" i="28"/>
  <c r="I28" i="28"/>
  <c r="I5" i="28"/>
  <c r="I6" i="18"/>
  <c r="I11" i="18"/>
  <c r="I16" i="18"/>
  <c r="I28" i="18"/>
  <c r="I40" i="18"/>
  <c r="I9" i="28"/>
  <c r="I21" i="28"/>
  <c r="I33" i="28"/>
  <c r="I21" i="18"/>
  <c r="I33" i="18"/>
  <c r="I45" i="18"/>
  <c r="I14" i="28"/>
  <c r="I26" i="28"/>
  <c r="I38" i="28"/>
  <c r="I38" i="18"/>
  <c r="I31" i="28"/>
  <c r="I12" i="28"/>
  <c r="I36" i="28"/>
  <c r="I5" i="27"/>
  <c r="I9" i="27"/>
  <c r="I13" i="27"/>
  <c r="I17" i="27"/>
  <c r="I21" i="27"/>
  <c r="I25" i="27"/>
  <c r="I29" i="27"/>
  <c r="I33" i="27"/>
  <c r="I39" i="27"/>
  <c r="I43" i="27"/>
  <c r="I24" i="18"/>
  <c r="I36" i="18"/>
  <c r="I12" i="18"/>
  <c r="I29" i="18"/>
  <c r="I10" i="28"/>
  <c r="I22" i="28"/>
  <c r="I22" i="18"/>
  <c r="I34" i="18"/>
  <c r="I15" i="28"/>
  <c r="I39" i="28"/>
  <c r="I27" i="18"/>
  <c r="J110" i="31"/>
  <c r="J107" i="31"/>
  <c r="J104" i="31"/>
  <c r="J101" i="31"/>
  <c r="J98" i="31"/>
  <c r="J95" i="31"/>
  <c r="J92" i="31"/>
  <c r="J89" i="31"/>
  <c r="J86" i="31"/>
  <c r="J83" i="31"/>
  <c r="J80" i="31"/>
  <c r="J77" i="31"/>
  <c r="J74" i="31"/>
  <c r="J71" i="31"/>
  <c r="J68" i="31"/>
  <c r="J65" i="31"/>
  <c r="J62" i="31"/>
  <c r="J59" i="31"/>
  <c r="J56" i="31"/>
  <c r="J111" i="31"/>
  <c r="J108" i="31"/>
  <c r="J105" i="31"/>
  <c r="J102" i="31"/>
  <c r="J99" i="31"/>
  <c r="J96" i="31"/>
  <c r="J93" i="31"/>
  <c r="J90" i="31"/>
  <c r="J87" i="31"/>
  <c r="J84" i="31"/>
  <c r="J81" i="31"/>
  <c r="J78" i="31"/>
  <c r="J75" i="31"/>
  <c r="J72" i="31"/>
  <c r="J69" i="31"/>
  <c r="J66" i="31"/>
  <c r="J63" i="31"/>
  <c r="J60" i="31"/>
  <c r="J57" i="31"/>
  <c r="J54" i="31"/>
  <c r="J51" i="31"/>
  <c r="J48" i="31"/>
  <c r="J45" i="31"/>
  <c r="J42" i="31"/>
  <c r="J39" i="31"/>
  <c r="J36" i="31"/>
  <c r="J33" i="31"/>
  <c r="J30" i="31"/>
  <c r="J27" i="31"/>
  <c r="J24" i="31"/>
  <c r="J21" i="31"/>
  <c r="J18" i="31"/>
  <c r="J15" i="31"/>
  <c r="J12" i="31"/>
  <c r="J7" i="39"/>
  <c r="J21" i="39"/>
  <c r="J33" i="39"/>
  <c r="J42" i="39"/>
  <c r="J109" i="31"/>
  <c r="J100" i="31"/>
  <c r="J91" i="31"/>
  <c r="J82" i="31"/>
  <c r="J73" i="31"/>
  <c r="J64" i="31"/>
  <c r="J55" i="31"/>
  <c r="J43" i="31"/>
  <c r="J31" i="31"/>
  <c r="J19" i="31"/>
  <c r="J9" i="39"/>
  <c r="J19" i="39"/>
  <c r="J31" i="39"/>
  <c r="J38" i="39"/>
  <c r="J49" i="39"/>
  <c r="J97" i="31"/>
  <c r="J8" i="39"/>
  <c r="J25" i="39"/>
  <c r="J52" i="39"/>
  <c r="J59" i="39"/>
  <c r="J70" i="39"/>
  <c r="J6" i="31"/>
  <c r="J58" i="31"/>
  <c r="J52" i="31"/>
  <c r="J40" i="31"/>
  <c r="J28" i="31"/>
  <c r="J16" i="31"/>
  <c r="J14" i="39"/>
  <c r="J17" i="39"/>
  <c r="J37" i="39"/>
  <c r="J45" i="39"/>
  <c r="J50" i="39"/>
  <c r="J66" i="39"/>
  <c r="J79" i="39"/>
  <c r="J8" i="30"/>
  <c r="J10" i="30"/>
  <c r="J12" i="30"/>
  <c r="J14" i="30"/>
  <c r="J16" i="30"/>
  <c r="J18" i="30"/>
  <c r="J20" i="30"/>
  <c r="J22" i="30"/>
  <c r="J24" i="30"/>
  <c r="J26" i="30"/>
  <c r="J28" i="30"/>
  <c r="J30" i="30"/>
  <c r="J32" i="30"/>
  <c r="J34" i="30"/>
  <c r="J36" i="30"/>
  <c r="J38" i="30"/>
  <c r="J40" i="30"/>
  <c r="J42" i="30"/>
  <c r="J44" i="30"/>
  <c r="J46" i="30"/>
  <c r="J48" i="30"/>
  <c r="J76" i="31"/>
  <c r="J23" i="39"/>
  <c r="J26" i="39"/>
  <c r="J29" i="39"/>
  <c r="J40" i="39"/>
  <c r="J62" i="39"/>
  <c r="J75" i="39"/>
  <c r="J9" i="31"/>
  <c r="J88" i="31"/>
  <c r="J12" i="39"/>
  <c r="J46" i="31"/>
  <c r="J38" i="31"/>
  <c r="J27" i="39"/>
  <c r="J35" i="39"/>
  <c r="J76" i="39"/>
  <c r="J19" i="30"/>
  <c r="J31" i="30"/>
  <c r="J43" i="30"/>
  <c r="J50" i="30"/>
  <c r="J61" i="30"/>
  <c r="J74" i="30"/>
  <c r="J14" i="29"/>
  <c r="J27" i="29"/>
  <c r="J38" i="29"/>
  <c r="J85" i="31"/>
  <c r="J32" i="31"/>
  <c r="J15" i="39"/>
  <c r="J32" i="39"/>
  <c r="J39" i="39"/>
  <c r="J43" i="39"/>
  <c r="J46" i="39"/>
  <c r="J53" i="39"/>
  <c r="J56" i="39"/>
  <c r="J8" i="31"/>
  <c r="J9" i="30"/>
  <c r="J17" i="30"/>
  <c r="J29" i="30"/>
  <c r="J41" i="30"/>
  <c r="J57" i="30"/>
  <c r="J70" i="30"/>
  <c r="J10" i="29"/>
  <c r="J23" i="29"/>
  <c r="J34" i="29"/>
  <c r="J70" i="31"/>
  <c r="J37" i="31"/>
  <c r="J29" i="31"/>
  <c r="J10" i="31"/>
  <c r="J10" i="39"/>
  <c r="J24" i="39"/>
  <c r="J36" i="39"/>
  <c r="J65" i="39"/>
  <c r="J68" i="39"/>
  <c r="J71" i="39"/>
  <c r="J61" i="31"/>
  <c r="J17" i="31"/>
  <c r="J14" i="31"/>
  <c r="J30" i="39"/>
  <c r="J58" i="39"/>
  <c r="J81" i="39"/>
  <c r="J7" i="30"/>
  <c r="J37" i="30"/>
  <c r="J65" i="30"/>
  <c r="J73" i="30"/>
  <c r="J7" i="29"/>
  <c r="J15" i="29"/>
  <c r="J36" i="29"/>
  <c r="J44" i="31"/>
  <c r="J20" i="31"/>
  <c r="J13" i="39"/>
  <c r="J54" i="39"/>
  <c r="J74" i="39"/>
  <c r="J55" i="30"/>
  <c r="J68" i="30"/>
  <c r="J48" i="39"/>
  <c r="J23" i="30"/>
  <c r="J79" i="31"/>
  <c r="J21" i="30"/>
  <c r="J52" i="30"/>
  <c r="J60" i="30"/>
  <c r="J40" i="29"/>
  <c r="J47" i="31"/>
  <c r="J26" i="31"/>
  <c r="J23" i="31"/>
  <c r="J13" i="31"/>
  <c r="J5" i="39"/>
  <c r="J20" i="39"/>
  <c r="J41" i="39"/>
  <c r="J78" i="39"/>
  <c r="J11" i="39"/>
  <c r="J11" i="30"/>
  <c r="J15" i="30"/>
  <c r="J47" i="30"/>
  <c r="J5" i="30"/>
  <c r="J18" i="29"/>
  <c r="J26" i="29"/>
  <c r="J31" i="29"/>
  <c r="J39" i="29"/>
  <c r="J53" i="31"/>
  <c r="J50" i="31"/>
  <c r="J25" i="30"/>
  <c r="J71" i="30"/>
  <c r="J21" i="29"/>
  <c r="J5" i="29"/>
  <c r="J63" i="30"/>
  <c r="J8" i="29"/>
  <c r="J13" i="29"/>
  <c r="J13" i="30"/>
  <c r="J103" i="31"/>
  <c r="J67" i="31"/>
  <c r="J51" i="39"/>
  <c r="J55" i="39"/>
  <c r="J63" i="39"/>
  <c r="J53" i="30"/>
  <c r="J58" i="30"/>
  <c r="J66" i="30"/>
  <c r="J106" i="31"/>
  <c r="J25" i="31"/>
  <c r="J47" i="39"/>
  <c r="J60" i="39"/>
  <c r="J67" i="39"/>
  <c r="J35" i="30"/>
  <c r="J16" i="29"/>
  <c r="J24" i="29"/>
  <c r="J29" i="29"/>
  <c r="J32" i="29"/>
  <c r="J37" i="29"/>
  <c r="J49" i="31"/>
  <c r="J22" i="31"/>
  <c r="J5" i="31"/>
  <c r="J69" i="30"/>
  <c r="J6" i="29"/>
  <c r="J11" i="29"/>
  <c r="J19" i="29"/>
  <c r="J35" i="31"/>
  <c r="J6" i="39"/>
  <c r="J16" i="39"/>
  <c r="J28" i="39"/>
  <c r="J64" i="39"/>
  <c r="J80" i="39"/>
  <c r="J39" i="30"/>
  <c r="J45" i="30"/>
  <c r="J51" i="30"/>
  <c r="J56" i="30"/>
  <c r="J64" i="30"/>
  <c r="J22" i="39"/>
  <c r="J72" i="39"/>
  <c r="J7" i="31"/>
  <c r="J59" i="30"/>
  <c r="J72" i="30"/>
  <c r="J22" i="29"/>
  <c r="J30" i="29"/>
  <c r="J35" i="29"/>
  <c r="J33" i="29"/>
  <c r="J62" i="30"/>
  <c r="J34" i="39"/>
  <c r="J75" i="30"/>
  <c r="J69" i="39"/>
  <c r="J54" i="30"/>
  <c r="J25" i="29"/>
  <c r="J9" i="29"/>
  <c r="J41" i="29"/>
  <c r="J11" i="31"/>
  <c r="J44" i="39"/>
  <c r="J20" i="29"/>
  <c r="J94" i="31"/>
  <c r="J57" i="39"/>
  <c r="J6" i="30"/>
  <c r="J67" i="30"/>
  <c r="J17" i="29"/>
  <c r="J34" i="31"/>
  <c r="J33" i="30"/>
  <c r="J18" i="39"/>
  <c r="J73" i="39"/>
  <c r="J28" i="29"/>
  <c r="J41" i="31"/>
  <c r="J77" i="39"/>
  <c r="J49" i="30"/>
  <c r="J61" i="39"/>
  <c r="J27" i="30"/>
  <c r="J12" i="29"/>
  <c r="J15" i="28"/>
  <c r="J27" i="28"/>
  <c r="J39" i="28"/>
  <c r="J10" i="18"/>
  <c r="J15" i="18"/>
  <c r="J27" i="18"/>
  <c r="J39" i="18"/>
  <c r="J5" i="18"/>
  <c r="J8" i="28"/>
  <c r="J20" i="28"/>
  <c r="J32" i="28"/>
  <c r="J20" i="18"/>
  <c r="J32" i="18"/>
  <c r="J44" i="18"/>
  <c r="J25" i="18"/>
  <c r="J49" i="18"/>
  <c r="J22" i="27"/>
  <c r="J38" i="27"/>
  <c r="J42" i="27"/>
  <c r="J44" i="27"/>
  <c r="J13" i="18"/>
  <c r="J30" i="18"/>
  <c r="J33" i="18"/>
  <c r="J9" i="18"/>
  <c r="J26" i="18"/>
  <c r="J50" i="18"/>
  <c r="J7" i="28"/>
  <c r="J19" i="28"/>
  <c r="J24" i="28"/>
  <c r="J9" i="27"/>
  <c r="J13" i="27"/>
  <c r="J19" i="27"/>
  <c r="J23" i="27"/>
  <c r="J27" i="27"/>
  <c r="J31" i="27"/>
  <c r="J35" i="27"/>
  <c r="J39" i="27"/>
  <c r="J43" i="27"/>
  <c r="J36" i="18"/>
  <c r="J12" i="18"/>
  <c r="J46" i="18"/>
  <c r="J30" i="27"/>
  <c r="J8" i="18"/>
  <c r="J22" i="28"/>
  <c r="J22" i="18"/>
  <c r="J13" i="28"/>
  <c r="J25" i="28"/>
  <c r="J37" i="28"/>
  <c r="J37" i="18"/>
  <c r="J36" i="27"/>
  <c r="J18" i="18"/>
  <c r="J42" i="18"/>
  <c r="J45" i="18"/>
  <c r="J14" i="28"/>
  <c r="J6" i="28"/>
  <c r="J18" i="28"/>
  <c r="J30" i="28"/>
  <c r="J5" i="28"/>
  <c r="J6" i="27"/>
  <c r="J8" i="27"/>
  <c r="J10" i="27"/>
  <c r="J12" i="27"/>
  <c r="J14" i="27"/>
  <c r="J16" i="27"/>
  <c r="J18" i="27"/>
  <c r="J20" i="27"/>
  <c r="J24" i="27"/>
  <c r="J26" i="27"/>
  <c r="J28" i="27"/>
  <c r="J32" i="27"/>
  <c r="J34" i="27"/>
  <c r="J40" i="27"/>
  <c r="J46" i="27"/>
  <c r="J38" i="18"/>
  <c r="J12" i="28"/>
  <c r="J11" i="28"/>
  <c r="J23" i="28"/>
  <c r="J35" i="28"/>
  <c r="J23" i="18"/>
  <c r="J35" i="18"/>
  <c r="J47" i="18"/>
  <c r="J16" i="28"/>
  <c r="J28" i="28"/>
  <c r="J6" i="18"/>
  <c r="J11" i="18"/>
  <c r="J16" i="18"/>
  <c r="J28" i="18"/>
  <c r="J40" i="18"/>
  <c r="J9" i="28"/>
  <c r="J21" i="28"/>
  <c r="J33" i="28"/>
  <c r="J21" i="18"/>
  <c r="J26" i="28"/>
  <c r="J38" i="28"/>
  <c r="J31" i="28"/>
  <c r="J14" i="18"/>
  <c r="J19" i="18"/>
  <c r="J31" i="18"/>
  <c r="J43" i="18"/>
  <c r="J36" i="28"/>
  <c r="J5" i="27"/>
  <c r="J7" i="27"/>
  <c r="J11" i="27"/>
  <c r="J15" i="27"/>
  <c r="J17" i="27"/>
  <c r="J21" i="27"/>
  <c r="J25" i="27"/>
  <c r="J29" i="27"/>
  <c r="J33" i="27"/>
  <c r="J37" i="27"/>
  <c r="J41" i="27"/>
  <c r="J45" i="27"/>
  <c r="J24" i="18"/>
  <c r="J48" i="18"/>
  <c r="J17" i="28"/>
  <c r="J29" i="28"/>
  <c r="J7" i="18"/>
  <c r="J17" i="18"/>
  <c r="J29" i="18"/>
  <c r="J41" i="18"/>
  <c r="J10" i="28"/>
  <c r="J34" i="28"/>
  <c r="J34" i="18"/>
  <c r="H15" i="28"/>
  <c r="H13" i="27"/>
  <c r="H5" i="28"/>
  <c r="H28" i="18"/>
  <c r="H17" i="28"/>
  <c r="H29" i="28"/>
  <c r="H31" i="18"/>
  <c r="H13" i="18"/>
  <c r="H26" i="27"/>
  <c r="H18" i="28"/>
  <c r="H41" i="29"/>
  <c r="H28" i="29"/>
  <c r="H30" i="30"/>
  <c r="H67" i="30"/>
  <c r="H27" i="29"/>
  <c r="H67" i="31"/>
  <c r="H69" i="30"/>
  <c r="H72" i="30"/>
  <c r="H58" i="30"/>
  <c r="H38" i="29"/>
  <c r="H39" i="29"/>
  <c r="H10" i="31"/>
  <c r="H19" i="29"/>
  <c r="H96" i="31"/>
  <c r="H17" i="30"/>
  <c r="H82" i="31"/>
  <c r="H24" i="31"/>
  <c r="H79" i="39"/>
  <c r="H80" i="39"/>
  <c r="H45" i="39"/>
  <c r="H111" i="31"/>
  <c r="H97" i="31"/>
  <c r="H41" i="31"/>
  <c r="O96" i="31"/>
  <c r="O79" i="31"/>
  <c r="O75" i="31"/>
  <c r="O62" i="31"/>
  <c r="O58" i="31"/>
  <c r="O41" i="31"/>
  <c r="O24" i="31"/>
  <c r="O105" i="31"/>
  <c r="O92" i="31"/>
  <c r="O88" i="31"/>
  <c r="O71" i="31"/>
  <c r="O54" i="31"/>
  <c r="O37" i="31"/>
  <c r="O33" i="31"/>
  <c r="O20" i="31"/>
  <c r="O16" i="31"/>
  <c r="O106" i="31"/>
  <c r="O89" i="31"/>
  <c r="O72" i="31"/>
  <c r="O55" i="31"/>
  <c r="O51" i="31"/>
  <c r="O38" i="31"/>
  <c r="O34" i="31"/>
  <c r="O17" i="31"/>
  <c r="O102" i="31"/>
  <c r="O85" i="31"/>
  <c r="O81" i="31"/>
  <c r="O68" i="31"/>
  <c r="O64" i="31"/>
  <c r="O47" i="31"/>
  <c r="O30" i="31"/>
  <c r="O13" i="31"/>
  <c r="O111" i="31"/>
  <c r="O109" i="31"/>
  <c r="O101" i="31"/>
  <c r="O84" i="31"/>
  <c r="O67" i="31"/>
  <c r="O63" i="31"/>
  <c r="O50" i="31"/>
  <c r="O46" i="31"/>
  <c r="O29" i="31"/>
  <c r="O12" i="31"/>
  <c r="O93" i="31"/>
  <c r="O80" i="31"/>
  <c r="O76" i="31"/>
  <c r="O59" i="31"/>
  <c r="O42" i="31"/>
  <c r="O25" i="31"/>
  <c r="O21" i="31"/>
  <c r="O110" i="31"/>
  <c r="O97" i="31"/>
  <c r="O65" i="31"/>
  <c r="O44" i="31"/>
  <c r="O23" i="31"/>
  <c r="O87" i="31"/>
  <c r="O77" i="31"/>
  <c r="O56" i="31"/>
  <c r="O28" i="31"/>
  <c r="O10" i="31"/>
  <c r="O53" i="31"/>
  <c r="O74" i="31"/>
  <c r="O39" i="31"/>
  <c r="O32" i="31"/>
  <c r="O14" i="31"/>
  <c r="O104" i="31"/>
  <c r="O86" i="31"/>
  <c r="O48" i="31"/>
  <c r="O108" i="31"/>
  <c r="O90" i="31"/>
  <c r="O83" i="31"/>
  <c r="O69" i="31"/>
  <c r="O45" i="31"/>
  <c r="O27" i="31"/>
  <c r="O94" i="31"/>
  <c r="O66" i="31"/>
  <c r="O52" i="31"/>
  <c r="O73" i="31"/>
  <c r="O49" i="31"/>
  <c r="O31" i="31"/>
  <c r="O98" i="31"/>
  <c r="O91" i="31"/>
  <c r="O70" i="31"/>
  <c r="O35" i="31"/>
  <c r="O95" i="31"/>
  <c r="O5" i="39"/>
  <c r="O60" i="31"/>
  <c r="O99" i="31"/>
  <c r="O78" i="31"/>
  <c r="O57" i="31"/>
  <c r="O36" i="31"/>
  <c r="O18" i="31"/>
  <c r="O11" i="31"/>
  <c r="O43" i="31"/>
  <c r="O22" i="31"/>
  <c r="O15" i="31"/>
  <c r="O103" i="31"/>
  <c r="O61" i="31"/>
  <c r="O40" i="31"/>
  <c r="O19" i="31"/>
  <c r="O107" i="31"/>
  <c r="O82" i="31"/>
  <c r="O26" i="31"/>
  <c r="O100" i="31"/>
  <c r="O7" i="31"/>
  <c r="O8" i="31"/>
  <c r="O5" i="31"/>
  <c r="O6" i="31"/>
  <c r="O9" i="31"/>
  <c r="O44" i="30"/>
  <c r="O17" i="30"/>
  <c r="O9" i="30"/>
  <c r="O66" i="30"/>
  <c r="O60" i="30"/>
  <c r="O15" i="30"/>
  <c r="O13" i="30"/>
  <c r="O11" i="30"/>
  <c r="O64" i="30"/>
  <c r="O58" i="30"/>
  <c r="O50" i="30"/>
  <c r="O48" i="30"/>
  <c r="O46" i="30"/>
  <c r="O42" i="30"/>
  <c r="O40" i="30"/>
  <c r="O21" i="30"/>
  <c r="O19" i="30"/>
  <c r="O7" i="30"/>
  <c r="O36" i="30"/>
  <c r="O27" i="30"/>
  <c r="O23" i="30"/>
  <c r="O38" i="30"/>
  <c r="O30" i="30"/>
  <c r="O12" i="30"/>
  <c r="O20" i="30"/>
  <c r="O28" i="30"/>
  <c r="O29" i="30"/>
  <c r="O37" i="30"/>
  <c r="O45" i="30"/>
  <c r="O53" i="30"/>
  <c r="O61" i="30"/>
  <c r="O69" i="30"/>
  <c r="O74" i="30"/>
  <c r="O34" i="30"/>
  <c r="O68" i="30"/>
  <c r="O5" i="29"/>
  <c r="O62" i="30"/>
  <c r="O54" i="30"/>
  <c r="O6" i="30"/>
  <c r="O14" i="30"/>
  <c r="O22" i="30"/>
  <c r="O31" i="30"/>
  <c r="O39" i="30"/>
  <c r="O47" i="30"/>
  <c r="O55" i="30"/>
  <c r="O63" i="30"/>
  <c r="O71" i="30"/>
  <c r="O72" i="30"/>
  <c r="O25" i="30"/>
  <c r="O10" i="30"/>
  <c r="O26" i="30"/>
  <c r="O35" i="30"/>
  <c r="O51" i="30"/>
  <c r="O67" i="30"/>
  <c r="O75" i="30"/>
  <c r="O56" i="30"/>
  <c r="O59" i="30"/>
  <c r="O24" i="30"/>
  <c r="O33" i="30"/>
  <c r="O65" i="30"/>
  <c r="O5" i="30"/>
  <c r="O32" i="30"/>
  <c r="O16" i="30"/>
  <c r="O52" i="30"/>
  <c r="O41" i="30"/>
  <c r="O57" i="30"/>
  <c r="O73" i="30"/>
  <c r="O70" i="30"/>
  <c r="O18" i="30"/>
  <c r="O43" i="30"/>
  <c r="O8" i="30"/>
  <c r="O49" i="30"/>
  <c r="P2" i="40" l="1"/>
  <c r="P15" i="40"/>
  <c r="P18" i="40"/>
  <c r="Q17" i="29"/>
  <c r="P3" i="40"/>
  <c r="Q29" i="29"/>
  <c r="Q43" i="27"/>
  <c r="P4" i="40"/>
  <c r="P16" i="40"/>
  <c r="P11" i="40"/>
  <c r="P12" i="40"/>
  <c r="P14" i="40"/>
  <c r="Q32" i="30"/>
  <c r="Q26" i="18"/>
  <c r="P1" i="40"/>
  <c r="P6" i="40"/>
  <c r="P9" i="40"/>
  <c r="P5" i="40"/>
  <c r="P8" i="40"/>
  <c r="Q36" i="31"/>
  <c r="Q41" i="27"/>
  <c r="Q34" i="31"/>
  <c r="Q16" i="18"/>
  <c r="Q48" i="18"/>
  <c r="Q37" i="18"/>
  <c r="Q36" i="39"/>
  <c r="P10" i="40"/>
  <c r="Q29" i="27"/>
  <c r="Q5" i="28"/>
  <c r="Q46" i="27"/>
  <c r="Q11" i="27"/>
  <c r="Q36" i="28"/>
  <c r="Q9" i="18"/>
  <c r="Q35" i="18"/>
  <c r="Q27" i="28"/>
  <c r="Q31" i="31"/>
  <c r="Q46" i="31"/>
  <c r="Q30" i="28"/>
  <c r="Q36" i="27"/>
  <c r="Q7" i="29"/>
  <c r="Q8" i="28"/>
  <c r="Q95" i="31"/>
  <c r="Q90" i="31"/>
  <c r="Q47" i="31"/>
  <c r="Q14" i="39"/>
  <c r="Q19" i="29"/>
  <c r="Q59" i="39"/>
  <c r="Q51" i="39"/>
  <c r="Q16" i="39"/>
  <c r="Q34" i="39"/>
  <c r="Q5" i="18"/>
  <c r="Q14" i="27"/>
  <c r="Q6" i="30"/>
  <c r="Q42" i="30"/>
  <c r="Q72" i="39"/>
  <c r="Q84" i="31"/>
  <c r="Q33" i="39"/>
  <c r="Q40" i="39"/>
  <c r="Q41" i="29"/>
  <c r="Q16" i="30"/>
  <c r="Q15" i="39"/>
  <c r="Q25" i="28"/>
  <c r="Q47" i="39"/>
  <c r="Q61" i="31"/>
  <c r="Q63" i="39"/>
  <c r="Q103" i="31"/>
  <c r="Q64" i="31"/>
  <c r="Q16" i="31"/>
  <c r="Q9" i="31"/>
  <c r="Q23" i="39"/>
  <c r="Q69" i="39"/>
  <c r="Q78" i="31"/>
  <c r="Q24" i="39"/>
  <c r="Q109" i="31"/>
  <c r="Q20" i="31"/>
  <c r="Q25" i="39"/>
  <c r="Q35" i="28"/>
  <c r="Q19" i="27"/>
  <c r="Q31" i="27"/>
  <c r="Q22" i="27"/>
  <c r="Q61" i="30"/>
  <c r="Q55" i="39"/>
  <c r="Q23" i="31"/>
  <c r="Q27" i="39"/>
  <c r="Q55" i="31"/>
  <c r="Q29" i="28"/>
  <c r="Q27" i="18"/>
  <c r="Q21" i="39"/>
  <c r="Q78" i="39"/>
  <c r="Q23" i="28"/>
  <c r="Q32" i="27"/>
  <c r="Q57" i="39"/>
  <c r="Q74" i="31"/>
  <c r="Q49" i="39"/>
  <c r="Q48" i="30"/>
  <c r="Q46" i="39"/>
  <c r="Q48" i="39"/>
  <c r="Q38" i="31"/>
  <c r="Q46" i="18"/>
  <c r="Q6" i="27"/>
  <c r="Q40" i="29"/>
  <c r="Q39" i="39"/>
  <c r="Q100" i="31"/>
  <c r="Q66" i="31"/>
  <c r="Q35" i="39"/>
  <c r="Q8" i="30"/>
  <c r="Q70" i="30"/>
  <c r="Q6" i="29"/>
  <c r="Q48" i="31"/>
  <c r="Q66" i="39"/>
  <c r="Q21" i="18"/>
  <c r="Q17" i="28"/>
  <c r="Q39" i="28"/>
  <c r="Q56" i="30"/>
  <c r="Q13" i="30"/>
  <c r="Q12" i="31"/>
  <c r="Q58" i="31"/>
  <c r="Q37" i="27"/>
  <c r="Q11" i="28"/>
  <c r="Q6" i="18"/>
  <c r="Q33" i="28"/>
  <c r="Q5" i="27"/>
  <c r="Q27" i="27"/>
  <c r="Q37" i="29"/>
  <c r="Q54" i="30"/>
  <c r="Q66" i="30"/>
  <c r="Q21" i="27"/>
  <c r="Q32" i="28"/>
  <c r="Q15" i="28"/>
  <c r="Q26" i="29"/>
  <c r="Q10" i="39"/>
  <c r="Q20" i="28"/>
  <c r="Q28" i="27"/>
  <c r="Q38" i="28"/>
  <c r="Q24" i="28"/>
  <c r="Q10" i="28"/>
  <c r="Q26" i="28"/>
  <c r="Q40" i="27"/>
  <c r="Q8" i="27"/>
  <c r="Q45" i="39"/>
  <c r="Q13" i="29"/>
  <c r="Q15" i="18"/>
  <c r="Q97" i="31"/>
  <c r="Q31" i="18"/>
  <c r="Q108" i="31"/>
  <c r="Q30" i="29"/>
  <c r="Q8" i="29"/>
  <c r="Q35" i="31"/>
  <c r="Q79" i="39"/>
  <c r="Q51" i="31"/>
  <c r="Q10" i="30"/>
  <c r="Q99" i="31"/>
  <c r="Q111" i="31"/>
  <c r="Q13" i="39"/>
  <c r="Q29" i="30"/>
  <c r="Q31" i="29"/>
  <c r="Q22" i="18"/>
  <c r="Q91" i="31"/>
  <c r="Q31" i="39"/>
  <c r="Q37" i="31"/>
  <c r="Q14" i="18"/>
  <c r="Q44" i="18"/>
  <c r="Q15" i="31"/>
  <c r="Q98" i="31"/>
  <c r="Q65" i="31"/>
  <c r="Q102" i="31"/>
  <c r="Q41" i="31"/>
  <c r="Q34" i="29"/>
  <c r="Q35" i="29"/>
  <c r="Q58" i="30"/>
  <c r="Q41" i="18"/>
  <c r="Q42" i="18"/>
  <c r="Q40" i="18"/>
  <c r="Q11" i="18"/>
  <c r="Q70" i="39"/>
  <c r="Q22" i="31"/>
  <c r="Q19" i="39"/>
  <c r="Q11" i="39"/>
  <c r="Q56" i="39"/>
  <c r="Q86" i="31"/>
  <c r="Q56" i="31"/>
  <c r="Q42" i="31"/>
  <c r="Q54" i="39"/>
  <c r="Q77" i="39"/>
  <c r="Q106" i="31"/>
  <c r="Q71" i="31"/>
  <c r="Q43" i="30"/>
  <c r="Q65" i="30"/>
  <c r="Q39" i="30"/>
  <c r="Q7" i="30"/>
  <c r="Q33" i="18"/>
  <c r="Q34" i="18"/>
  <c r="Q36" i="18"/>
  <c r="Q7" i="18"/>
  <c r="Q82" i="31"/>
  <c r="Q43" i="31"/>
  <c r="Q60" i="31"/>
  <c r="Q32" i="39"/>
  <c r="Q104" i="31"/>
  <c r="Q77" i="31"/>
  <c r="Q7" i="39"/>
  <c r="Q59" i="31"/>
  <c r="Q29" i="31"/>
  <c r="Q42" i="39"/>
  <c r="Q65" i="39"/>
  <c r="Q74" i="39"/>
  <c r="Q88" i="31"/>
  <c r="Q62" i="31"/>
  <c r="Q10" i="31"/>
  <c r="Q49" i="18"/>
  <c r="Q89" i="31"/>
  <c r="Q57" i="30"/>
  <c r="Q32" i="18"/>
  <c r="Q107" i="31"/>
  <c r="Q68" i="39"/>
  <c r="Q60" i="39"/>
  <c r="Q27" i="31"/>
  <c r="Q44" i="39"/>
  <c r="Q58" i="39"/>
  <c r="Q41" i="39"/>
  <c r="Q76" i="31"/>
  <c r="Q30" i="39"/>
  <c r="Q53" i="39"/>
  <c r="Q62" i="39"/>
  <c r="Q92" i="31"/>
  <c r="Q75" i="31"/>
  <c r="Q37" i="39"/>
  <c r="Q85" i="31"/>
  <c r="Q25" i="18"/>
  <c r="Q7" i="31"/>
  <c r="Q74" i="30"/>
  <c r="Q28" i="18"/>
  <c r="Q71" i="39"/>
  <c r="Q20" i="39"/>
  <c r="Q49" i="31"/>
  <c r="Q45" i="31"/>
  <c r="Q14" i="31"/>
  <c r="Q6" i="39"/>
  <c r="Q110" i="31"/>
  <c r="Q80" i="31"/>
  <c r="Q50" i="31"/>
  <c r="Q18" i="39"/>
  <c r="Q29" i="39"/>
  <c r="Q50" i="39"/>
  <c r="Q105" i="31"/>
  <c r="Q79" i="31"/>
  <c r="Q23" i="30"/>
  <c r="Q21" i="31"/>
  <c r="Q36" i="30"/>
  <c r="Q8" i="39"/>
  <c r="Q11" i="30"/>
  <c r="Q24" i="30"/>
  <c r="Q17" i="18"/>
  <c r="Q69" i="31"/>
  <c r="Q52" i="39"/>
  <c r="Q32" i="29"/>
  <c r="Q13" i="18"/>
  <c r="Q12" i="18"/>
  <c r="Q57" i="31"/>
  <c r="Q12" i="39"/>
  <c r="Q101" i="31"/>
  <c r="Q49" i="30"/>
  <c r="Q45" i="30"/>
  <c r="Q8" i="18"/>
  <c r="Q52" i="31"/>
  <c r="Q53" i="31"/>
  <c r="Q28" i="39"/>
  <c r="Q68" i="31"/>
  <c r="Q71" i="30"/>
  <c r="Q30" i="18"/>
  <c r="Q23" i="18"/>
  <c r="Q70" i="31"/>
  <c r="Q81" i="31"/>
  <c r="Q33" i="31"/>
  <c r="Q27" i="30"/>
  <c r="Q8" i="31"/>
  <c r="Q22" i="39"/>
  <c r="Q67" i="39"/>
  <c r="Q94" i="31"/>
  <c r="Q44" i="31"/>
  <c r="Q72" i="31"/>
  <c r="Q24" i="31"/>
  <c r="Q55" i="30"/>
  <c r="Q68" i="30"/>
  <c r="Q50" i="18"/>
  <c r="Q26" i="31"/>
  <c r="Q43" i="39"/>
  <c r="Q80" i="39"/>
  <c r="Q28" i="31"/>
  <c r="Q25" i="31"/>
  <c r="Q54" i="31"/>
  <c r="Q24" i="29"/>
  <c r="Q33" i="30"/>
  <c r="Q10" i="29"/>
  <c r="Q23" i="29"/>
  <c r="Q9" i="30"/>
  <c r="Q18" i="30"/>
  <c r="Q12" i="30"/>
  <c r="Q45" i="18"/>
  <c r="Q18" i="18"/>
  <c r="Q47" i="18"/>
  <c r="Q36" i="29"/>
  <c r="Q25" i="29"/>
  <c r="Q67" i="30"/>
  <c r="Q22" i="30"/>
  <c r="Q5" i="29"/>
  <c r="Q21" i="30"/>
  <c r="Q15" i="30"/>
  <c r="Q10" i="18"/>
  <c r="Q24" i="18"/>
  <c r="Q43" i="18"/>
  <c r="Q19" i="31"/>
  <c r="Q11" i="31"/>
  <c r="Q9" i="39"/>
  <c r="Q73" i="31"/>
  <c r="Q32" i="31"/>
  <c r="Q76" i="39"/>
  <c r="Q93" i="31"/>
  <c r="Q63" i="31"/>
  <c r="Q13" i="31"/>
  <c r="Q17" i="39"/>
  <c r="Q38" i="39"/>
  <c r="Q73" i="39"/>
  <c r="Q96" i="31"/>
  <c r="Q52" i="30"/>
  <c r="Q59" i="30"/>
  <c r="Q51" i="30"/>
  <c r="Q69" i="30"/>
  <c r="Q38" i="29"/>
  <c r="Q60" i="30"/>
  <c r="Q29" i="18"/>
  <c r="Q6" i="31"/>
  <c r="Q20" i="18"/>
  <c r="Q39" i="18"/>
  <c r="Q40" i="31"/>
  <c r="Q18" i="31"/>
  <c r="Q5" i="39"/>
  <c r="Q81" i="39"/>
  <c r="Q83" i="31"/>
  <c r="Q39" i="31"/>
  <c r="Q87" i="31"/>
  <c r="Q64" i="39"/>
  <c r="Q75" i="39"/>
  <c r="Q67" i="31"/>
  <c r="Q30" i="31"/>
  <c r="Q17" i="31"/>
  <c r="Q26" i="39"/>
  <c r="Q61" i="39"/>
  <c r="Q73" i="30"/>
  <c r="Q14" i="29"/>
  <c r="Q5" i="30"/>
  <c r="Q25" i="27"/>
  <c r="Q75" i="30"/>
  <c r="Q35" i="30"/>
  <c r="Q11" i="29"/>
  <c r="Q16" i="29"/>
  <c r="Q16" i="27"/>
  <c r="Q25" i="30"/>
  <c r="Q7" i="28"/>
  <c r="Q47" i="30"/>
  <c r="Q23" i="27"/>
  <c r="Q37" i="28"/>
  <c r="Q28" i="29"/>
  <c r="Q62" i="30"/>
  <c r="Q33" i="29"/>
  <c r="Q34" i="30"/>
  <c r="Q37" i="30"/>
  <c r="Q35" i="27"/>
  <c r="Q12" i="28"/>
  <c r="Q13" i="27"/>
  <c r="Q15" i="27"/>
  <c r="Q38" i="30"/>
  <c r="Q6" i="28"/>
  <c r="Q19" i="30"/>
  <c r="Q18" i="27"/>
  <c r="Q50" i="30"/>
  <c r="Q64" i="30"/>
  <c r="Q20" i="29"/>
  <c r="Q44" i="27"/>
  <c r="Q19" i="28"/>
  <c r="Q17" i="30"/>
  <c r="Q9" i="27"/>
  <c r="Q21" i="29"/>
  <c r="Q12" i="27"/>
  <c r="Q24" i="27"/>
  <c r="Q33" i="27"/>
  <c r="Q44" i="30"/>
  <c r="Q27" i="29"/>
  <c r="Q9" i="29"/>
  <c r="Q28" i="30"/>
  <c r="Q14" i="28"/>
  <c r="Q42" i="27"/>
  <c r="Q34" i="28"/>
  <c r="Q5" i="31"/>
  <c r="Q41" i="30"/>
  <c r="Q38" i="27"/>
  <c r="Q15" i="29"/>
  <c r="Q18" i="29"/>
  <c r="Q26" i="30"/>
  <c r="Q13" i="28"/>
  <c r="Q39" i="27"/>
  <c r="Q45" i="27"/>
  <c r="Q72" i="30"/>
  <c r="Q63" i="30"/>
  <c r="Q31" i="30"/>
  <c r="Q14" i="30"/>
  <c r="Q39" i="29"/>
  <c r="Q16" i="28"/>
  <c r="Q17" i="27"/>
  <c r="Q20" i="27"/>
  <c r="Q53" i="30"/>
  <c r="Q12" i="29"/>
  <c r="Q20" i="30"/>
  <c r="Q30" i="30"/>
  <c r="Q26" i="27"/>
  <c r="Q28" i="28"/>
  <c r="Q22" i="28"/>
  <c r="Q31" i="28"/>
  <c r="Q30" i="27"/>
  <c r="Q7" i="27"/>
  <c r="Q40" i="30"/>
  <c r="Q46" i="30"/>
  <c r="Q9" i="28"/>
  <c r="Q34" i="27"/>
  <c r="Q21" i="28"/>
  <c r="Q10" i="27"/>
  <c r="Q22" i="29"/>
  <c r="Q18" i="28"/>
</calcChain>
</file>

<file path=xl/sharedStrings.xml><?xml version="1.0" encoding="utf-8"?>
<sst xmlns="http://schemas.openxmlformats.org/spreadsheetml/2006/main" count="302" uniqueCount="97">
  <si>
    <t>[Assumptions as presented below correspond to the base case presented in the report]</t>
  </si>
  <si>
    <t>[Scenarios 1 and 2 alter the discount rate used in calculations]</t>
  </si>
  <si>
    <t>Result</t>
  </si>
  <si>
    <t>Calculation</t>
  </si>
  <si>
    <t>Requires Input</t>
  </si>
  <si>
    <t>Linked cell</t>
  </si>
  <si>
    <t>Predicted Demand (TWh)</t>
  </si>
  <si>
    <t>Renewable Capacity Ratios</t>
  </si>
  <si>
    <t>Large Scale Solar</t>
  </si>
  <si>
    <t>Wind</t>
  </si>
  <si>
    <t>Offshore Wind</t>
  </si>
  <si>
    <t>Onshore Wind</t>
  </si>
  <si>
    <t>Capacity Factors (Yearly Average)</t>
  </si>
  <si>
    <t>Nuclear</t>
  </si>
  <si>
    <t>As per Hinkley Point C (HPC)</t>
  </si>
  <si>
    <t>Weighted Average Renewables</t>
  </si>
  <si>
    <t>61% according to department for net-zero</t>
  </si>
  <si>
    <t>45% According to department for net-zero</t>
  </si>
  <si>
    <t>LCOE (2024 GBP)</t>
  </si>
  <si>
    <t>% of Total</t>
  </si>
  <si>
    <t>GBP/MWh</t>
  </si>
  <si>
    <t>Weighted Average Nuclear</t>
  </si>
  <si>
    <t>Presently we do not know what the mix of SMRs and big nuclear will be. 78 GBP/MWh is the BEIS central prediction for the cost of nuclear in 2040.</t>
  </si>
  <si>
    <t>Existing Nuclear incl. HPC</t>
  </si>
  <si>
    <t>These can be used to give a weighted average sum when the nuclear fleet mix and its costs become more accurately known</t>
  </si>
  <si>
    <t>Big Nuclear</t>
  </si>
  <si>
    <t>SMRs</t>
  </si>
  <si>
    <t>Projects commisioning in 2025 (BEIS, 2023)</t>
  </si>
  <si>
    <t>Projects commisioning in 2040 (BEIS, 2023)</t>
  </si>
  <si>
    <t>Storage Costs</t>
  </si>
  <si>
    <t>Discount rate 1 (%)</t>
  </si>
  <si>
    <t>Scenario 1</t>
  </si>
  <si>
    <t>Discount rate 2 (%)</t>
  </si>
  <si>
    <t>Scenario 2</t>
  </si>
  <si>
    <t>Catalysers</t>
  </si>
  <si>
    <t>Uncertainty</t>
  </si>
  <si>
    <t>Efficiency (In)</t>
  </si>
  <si>
    <t>CAPEX ($/KWe)</t>
  </si>
  <si>
    <t>O&amp;M (% of CAPEX)</t>
  </si>
  <si>
    <t>Financial Lifetime (Years)</t>
  </si>
  <si>
    <t>Annualised GBP/GW (Discount rate 1)</t>
  </si>
  <si>
    <t>CAPEX x ([r/(1-(1/1+r)^N]+O&amp;M as % of CAPEX)</t>
  </si>
  <si>
    <t>Annualised GBP/GW (Discount rate 2)</t>
  </si>
  <si>
    <t>Storage (salt-cavern solution mining)</t>
  </si>
  <si>
    <t>Efficiency (out)</t>
  </si>
  <si>
    <t>CAPEX (GBP/TWh delivered)</t>
  </si>
  <si>
    <t>The reference to delivered electricity accounts for the fact that storage has to be 1/0.55x bigger due to 0.55 efficiency of the storage disscharge.</t>
  </si>
  <si>
    <t>Annualised GBP/TWh (LHV) (Discount rate 1)</t>
  </si>
  <si>
    <t>Annualised GBP/TWh (LHV) (Discount rate 2)</t>
  </si>
  <si>
    <t>Hydrogen Electricity Generation</t>
  </si>
  <si>
    <t>Other Assumptions</t>
  </si>
  <si>
    <t>Transport + Rapid Response Costs (GBP/MWh)</t>
  </si>
  <si>
    <t>USD/GBP</t>
  </si>
  <si>
    <t>2024 Average Closing USD/GBP rate</t>
  </si>
  <si>
    <t>Annual Costs (GBP/MWh)</t>
  </si>
  <si>
    <t>Nuclear (GW)</t>
  </si>
  <si>
    <t>Renewables (GW)</t>
  </si>
  <si>
    <t>Storage (TWh)</t>
  </si>
  <si>
    <t>Electrolyser Power (GW)</t>
  </si>
  <si>
    <t>Electricity Generation Capacity (GW)</t>
  </si>
  <si>
    <t>Renewables</t>
  </si>
  <si>
    <t>Hydrogen Electrolysers</t>
  </si>
  <si>
    <t>Hydrogen Storage</t>
  </si>
  <si>
    <t>Other Costs</t>
  </si>
  <si>
    <t>Total (GBP/MWh)</t>
  </si>
  <si>
    <t>Combination</t>
  </si>
  <si>
    <t>DAC</t>
  </si>
  <si>
    <t>DAC Capacity (GW)</t>
  </si>
  <si>
    <t>DAC Demand (TWh) Net-Zero</t>
  </si>
  <si>
    <t>Total Demand (TWh) Net-Zero</t>
  </si>
  <si>
    <t>DAC Demand (TWh) Net-Negative</t>
  </si>
  <si>
    <t>Total Demand (TWh) Net-Negative</t>
  </si>
  <si>
    <t>GBP/EURO</t>
  </si>
  <si>
    <t>In (kJ/t)</t>
  </si>
  <si>
    <t>43 case</t>
  </si>
  <si>
    <t>101 case</t>
  </si>
  <si>
    <t>162 case</t>
  </si>
  <si>
    <t>Capacity Factor</t>
  </si>
  <si>
    <t>Carbon Storage</t>
  </si>
  <si>
    <r>
      <t>CAPEX (€/t</t>
    </r>
    <r>
      <rPr>
        <sz val="9"/>
        <color theme="1"/>
        <rFont val="Calibri"/>
        <family val="2"/>
        <scheme val="minor"/>
      </rPr>
      <t>CO</t>
    </r>
    <r>
      <rPr>
        <sz val="8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) -not used</t>
    </r>
  </si>
  <si>
    <t>Low CAPEX ($/KWe)</t>
  </si>
  <si>
    <t>Mid CAPEX (€/KWe)</t>
  </si>
  <si>
    <t>High CAPEX (€/KWe)</t>
  </si>
  <si>
    <t>Minimum</t>
  </si>
  <si>
    <t>Storage Cost %</t>
  </si>
  <si>
    <t>162 case, 100 year</t>
    <phoneticPr fontId="15"/>
  </si>
  <si>
    <t>Avg</t>
  </si>
  <si>
    <t>for</t>
  </si>
  <si>
    <t>renewable</t>
  </si>
  <si>
    <t>each</t>
  </si>
  <si>
    <t>Extreme</t>
  </si>
  <si>
    <t>Carbon Storage and Transport</t>
  </si>
  <si>
    <t>£/tCO2</t>
  </si>
  <si>
    <t>±2.5</t>
  </si>
  <si>
    <t xml:space="preserve">total removal: Net Zero (tCO2/yr) </t>
  </si>
  <si>
    <t xml:space="preserve">total removal: Net Negative (tCO2/yr) </t>
  </si>
  <si>
    <t xml:space="preserve">total removal: Net Negative(100yr) (tCO2/yr)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</si>
</sst>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.00_);_(* \(#,##0.00\);_(* &quot;-&quot;??_);_(@_)"/>
    <numFmt numFmtId="165" formatCode="_(* #,##0_);_(* \(#,##0\);_(* &quot;-&quot;??_);_(@_)"/>
    <numFmt numFmtId="166" formatCode="_-[$£-809]* #,##0.00_-;\-[$£-809]* #,##0.00_-;_-[$£-809]* &quot;-&quot;??_-;_-@_-"/>
    <numFmt numFmtId="167" formatCode="_(* #,##0.0_);_(* \(#,##0.0\);_(* &quot;-&quot;??_);_(@_)"/>
    <numFmt numFmtId="168" formatCode="_(* #,##0.000_);_(* \(#,##0.000\);_(* &quot;-&quot;??_);_(@_)"/>
    <numFmt numFmtId="169" formatCode="0_ "/>
    <numFmt numFmtId="170" formatCode="0.0_ "/>
    <numFmt numFmtId="171" formatCode="0.0"/>
    <numFmt numFmtId="172" formatCode="0.0000"/>
  </numFmts>
  <fonts count="1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128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3" fillId="2" borderId="2" xfId="4"/>
    <xf numFmtId="0" fontId="5" fillId="3" borderId="2" xfId="6"/>
    <xf numFmtId="0" fontId="4" fillId="3" borderId="3" xfId="5"/>
    <xf numFmtId="0" fontId="0" fillId="0" borderId="0" xfId="0" applyAlignment="1">
      <alignment horizontal="right"/>
    </xf>
    <xf numFmtId="9" fontId="3" fillId="2" borderId="2" xfId="4" applyNumberFormat="1"/>
    <xf numFmtId="0" fontId="0" fillId="0" borderId="0" xfId="0" applyAlignment="1">
      <alignment horizontal="left" indent="1"/>
    </xf>
    <xf numFmtId="1" fontId="3" fillId="2" borderId="2" xfId="4" applyNumberFormat="1"/>
    <xf numFmtId="165" fontId="5" fillId="3" borderId="2" xfId="6" applyNumberFormat="1"/>
    <xf numFmtId="9" fontId="5" fillId="3" borderId="2" xfId="6" applyNumberFormat="1"/>
    <xf numFmtId="2" fontId="3" fillId="2" borderId="2" xfId="4" applyNumberFormat="1"/>
    <xf numFmtId="0" fontId="6" fillId="0" borderId="0" xfId="7"/>
    <xf numFmtId="0" fontId="2" fillId="0" borderId="0" xfId="3" applyBorder="1"/>
    <xf numFmtId="0" fontId="7" fillId="0" borderId="4" xfId="0" applyFont="1" applyBorder="1" applyAlignment="1">
      <alignment horizontal="right"/>
    </xf>
    <xf numFmtId="0" fontId="6" fillId="0" borderId="0" xfId="7" applyBorder="1"/>
    <xf numFmtId="0" fontId="2" fillId="0" borderId="0" xfId="3" applyBorder="1" applyAlignment="1">
      <alignment horizontal="left"/>
    </xf>
    <xf numFmtId="10" fontId="3" fillId="2" borderId="2" xfId="4" applyNumberFormat="1"/>
    <xf numFmtId="2" fontId="5" fillId="3" borderId="2" xfId="6" applyNumberFormat="1"/>
    <xf numFmtId="166" fontId="5" fillId="3" borderId="2" xfId="6" applyNumberFormat="1"/>
    <xf numFmtId="0" fontId="7" fillId="0" borderId="0" xfId="0" applyFont="1"/>
    <xf numFmtId="165" fontId="3" fillId="2" borderId="2" xfId="4" applyNumberFormat="1"/>
    <xf numFmtId="0" fontId="7" fillId="0" borderId="0" xfId="0" applyFont="1" applyAlignment="1">
      <alignment horizontal="left"/>
    </xf>
    <xf numFmtId="0" fontId="3" fillId="2" borderId="2" xfId="4" applyAlignment="1">
      <alignment horizontal="right"/>
    </xf>
    <xf numFmtId="0" fontId="7" fillId="0" borderId="0" xfId="0" applyFont="1" applyAlignment="1">
      <alignment horizontal="right"/>
    </xf>
    <xf numFmtId="165" fontId="6" fillId="0" borderId="0" xfId="1" applyNumberFormat="1" applyFont="1"/>
    <xf numFmtId="0" fontId="8" fillId="0" borderId="5" xfId="0" applyFont="1" applyBorder="1"/>
    <xf numFmtId="167" fontId="7" fillId="0" borderId="4" xfId="1" applyNumberFormat="1" applyFont="1" applyBorder="1" applyAlignment="1">
      <alignment horizontal="right"/>
    </xf>
    <xf numFmtId="0" fontId="4" fillId="3" borderId="6" xfId="5" applyBorder="1" applyAlignment="1">
      <alignment horizontal="right"/>
    </xf>
    <xf numFmtId="164" fontId="3" fillId="2" borderId="2" xfId="1" applyFont="1" applyFill="1" applyBorder="1" applyAlignment="1">
      <alignment horizontal="left"/>
    </xf>
    <xf numFmtId="168" fontId="0" fillId="0" borderId="0" xfId="1" applyNumberFormat="1" applyFont="1" applyAlignment="1">
      <alignment horizontal="right"/>
    </xf>
    <xf numFmtId="0" fontId="9" fillId="0" borderId="0" xfId="0" applyFont="1"/>
    <xf numFmtId="0" fontId="3" fillId="2" borderId="8" xfId="4" applyBorder="1"/>
    <xf numFmtId="164" fontId="6" fillId="0" borderId="0" xfId="7" applyNumberFormat="1"/>
    <xf numFmtId="9" fontId="10" fillId="0" borderId="0" xfId="2" applyFont="1"/>
    <xf numFmtId="0" fontId="10" fillId="0" borderId="7" xfId="0" applyFont="1" applyBorder="1"/>
    <xf numFmtId="0" fontId="6" fillId="0" borderId="0" xfId="7" applyFill="1" applyBorder="1"/>
    <xf numFmtId="165" fontId="5" fillId="3" borderId="2" xfId="1" applyNumberFormat="1" applyFont="1" applyFill="1" applyBorder="1"/>
    <xf numFmtId="165" fontId="11" fillId="0" borderId="0" xfId="1" applyNumberFormat="1" applyFont="1" applyFill="1"/>
    <xf numFmtId="0" fontId="11" fillId="0" borderId="0" xfId="0" applyFont="1"/>
    <xf numFmtId="1" fontId="11" fillId="0" borderId="0" xfId="0" applyNumberFormat="1" applyFont="1"/>
    <xf numFmtId="167" fontId="11" fillId="0" borderId="0" xfId="1" applyNumberFormat="1" applyFont="1" applyFill="1" applyAlignment="1">
      <alignment horizontal="right"/>
    </xf>
    <xf numFmtId="165" fontId="0" fillId="0" borderId="0" xfId="0" applyNumberFormat="1"/>
    <xf numFmtId="164" fontId="4" fillId="3" borderId="9" xfId="5" applyNumberFormat="1" applyBorder="1" applyAlignment="1">
      <alignment horizontal="right"/>
    </xf>
    <xf numFmtId="0" fontId="4" fillId="0" borderId="10" xfId="5" applyFill="1" applyBorder="1" applyAlignment="1">
      <alignment horizontal="right"/>
    </xf>
    <xf numFmtId="164" fontId="4" fillId="0" borderId="0" xfId="5" applyNumberFormat="1" applyFill="1" applyBorder="1" applyAlignment="1">
      <alignment horizontal="right"/>
    </xf>
    <xf numFmtId="1" fontId="14" fillId="0" borderId="0" xfId="0" applyNumberFormat="1" applyFont="1"/>
    <xf numFmtId="169" fontId="0" fillId="0" borderId="0" xfId="0" applyNumberFormat="1"/>
    <xf numFmtId="170" fontId="11" fillId="0" borderId="0" xfId="0" applyNumberFormat="1" applyFont="1" applyAlignment="1">
      <alignment horizontal="right"/>
    </xf>
    <xf numFmtId="171" fontId="11" fillId="0" borderId="0" xfId="0" applyNumberFormat="1" applyFont="1"/>
    <xf numFmtId="0" fontId="8" fillId="0" borderId="0" xfId="0" applyFont="1"/>
    <xf numFmtId="0" fontId="11" fillId="0" borderId="0" xfId="0" applyFont="1" applyAlignment="1">
      <alignment horizontal="right"/>
    </xf>
    <xf numFmtId="164" fontId="4" fillId="3" borderId="11" xfId="5" applyNumberFormat="1" applyBorder="1" applyAlignment="1">
      <alignment horizontal="right"/>
    </xf>
    <xf numFmtId="9" fontId="0" fillId="0" borderId="0" xfId="2" applyFont="1"/>
    <xf numFmtId="172" fontId="3" fillId="2" borderId="2" xfId="4" applyNumberFormat="1"/>
    <xf numFmtId="171" fontId="11" fillId="0" borderId="0" xfId="0" applyNumberFormat="1" applyFont="1" applyAlignment="1">
      <alignment horizontal="right"/>
    </xf>
    <xf numFmtId="0" fontId="8" fillId="0" borderId="4" xfId="0" applyFont="1" applyBorder="1" applyAlignment="1">
      <alignment horizontal="center"/>
    </xf>
  </cellXfs>
  <cellStyles count="8">
    <cellStyle name="Calculation" xfId="6" builtinId="22"/>
    <cellStyle name="Comma" xfId="1" builtinId="3"/>
    <cellStyle name="Explanatory Text" xfId="7" builtinId="53"/>
    <cellStyle name="Heading 3" xfId="3" builtinId="18"/>
    <cellStyle name="Input" xfId="4" builtinId="20"/>
    <cellStyle name="Normal" xfId="0" builtinId="0"/>
    <cellStyle name="Output" xfId="5" builtinId="21"/>
    <cellStyle name="Percent" xfId="2" builtinId="5"/>
  </cellStyles>
  <dxfs count="0"/>
  <tableStyles count="0" defaultTableStyle="TableStyleMedium2" defaultPivotStyle="PivotStyleLight16"/>
  <colors>
    <mruColors>
      <color rgb="FFFF3A22"/>
      <color rgb="FFFF71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2400" b="1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 b="1" i="0" u="none"/>
              <a:t>Electricity</a:t>
            </a:r>
            <a:r>
              <a:rPr lang="en-GB" sz="2400" b="1" i="0" u="none" baseline="0"/>
              <a:t> Costs Under Nuclear:12GW</a:t>
            </a:r>
            <a:endParaRPr lang="en-GB" sz="2400" b="1" i="0" u="none"/>
          </a:p>
        </c:rich>
      </c:tx>
      <c:layout>
        <c:manualLayout>
          <c:xMode val="edge"/>
          <c:yMode val="edge"/>
          <c:x val="0.26434984395262112"/>
          <c:y val="3.415576102800772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36534921289404"/>
          <c:y val="0.21419665277679509"/>
          <c:w val="0.8633489732734061"/>
          <c:h val="0.63127066464918036"/>
        </c:manualLayout>
      </c:layout>
      <c:barChart>
        <c:barDir val="col"/>
        <c:grouping val="stacked"/>
        <c:varyColors val="0"/>
        <c:ser>
          <c:idx val="5"/>
          <c:order val="0"/>
          <c:tx>
            <c:v>Other Costs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B217-B746-802D-36D47FEAC0A7}"/>
            </c:ext>
          </c:extLst>
        </c:ser>
        <c:ser>
          <c:idx val="4"/>
          <c:order val="1"/>
          <c:tx>
            <c:strRef>
              <c:f>'No DAC'!$K$4</c:f>
              <c:strCache>
                <c:ptCount val="1"/>
                <c:pt idx="0">
                  <c:v>Hydrogen Electricity Generation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217-B746-802D-36D47FEAC0A7}"/>
            </c:ext>
          </c:extLst>
        </c:ser>
        <c:ser>
          <c:idx val="1"/>
          <c:order val="2"/>
          <c:tx>
            <c:v>Renewables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17-B746-802D-36D47FEAC0A7}"/>
            </c:ext>
          </c:extLst>
        </c:ser>
        <c:ser>
          <c:idx val="0"/>
          <c:order val="3"/>
          <c:tx>
            <c:strRef>
              <c:f>'No DAC'!$G$4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17-B746-802D-36D47FEAC0A7}"/>
            </c:ext>
          </c:extLst>
        </c:ser>
        <c:ser>
          <c:idx val="2"/>
          <c:order val="4"/>
          <c:tx>
            <c:strRef>
              <c:f>'No DAC'!$I$4</c:f>
              <c:strCache>
                <c:ptCount val="1"/>
                <c:pt idx="0">
                  <c:v>Hydrogen Electrolysers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217-B746-802D-36D47FEAC0A7}"/>
            </c:ext>
          </c:extLst>
        </c:ser>
        <c:ser>
          <c:idx val="3"/>
          <c:order val="5"/>
          <c:tx>
            <c:strRef>
              <c:f>'No DAC'!$J$4</c:f>
              <c:strCache>
                <c:ptCount val="1"/>
                <c:pt idx="0">
                  <c:v>Hydrogen Storage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217-B746-802D-36D47FEAC0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2"/>
        <c:overlap val="100"/>
        <c:axId val="337285120"/>
        <c:axId val="351005504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ln>
                      <a:noFill/>
                    </a:ln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B217-B746-802D-36D47FEAC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285120"/>
        <c:axId val="351005504"/>
      </c:lineChart>
      <c:catAx>
        <c:axId val="3372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2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(Nuclear Capacity [GW], Renewable Capacity [GW], Storage Capacity [TWh], Catalyser Capacity [GW])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05504"/>
        <c:crosses val="autoZero"/>
        <c:auto val="1"/>
        <c:lblAlgn val="ctr"/>
        <c:lblOffset val="100"/>
        <c:noMultiLvlLbl val="0"/>
      </c:catAx>
      <c:valAx>
        <c:axId val="3510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Electricity</a:t>
                </a:r>
                <a:r>
                  <a:rPr lang="en-GB" sz="1600" baseline="0"/>
                  <a:t> Price (GBP/MWh)</a:t>
                </a:r>
              </a:p>
            </c:rich>
          </c:tx>
          <c:layout>
            <c:manualLayout>
              <c:xMode val="edge"/>
              <c:yMode val="edge"/>
              <c:x val="7.280459566928453E-2"/>
              <c:y val="0.3470969027008716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2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057725542779932"/>
          <c:y val="0.13396393166194565"/>
          <c:w val="0.64963244855710489"/>
          <c:h val="3.3240059117168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tx1"/>
      </a:solidFill>
      <a:prstDash val="solid"/>
      <a:miter lim="800000"/>
    </a:ln>
    <a:effectLst/>
  </c:spPr>
  <c:txPr>
    <a:bodyPr/>
    <a:lstStyle/>
    <a:p>
      <a:pPr>
        <a:defRPr sz="1200">
          <a:ln>
            <a:noFill/>
          </a:ln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 (Net-Zero)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</c:v>
          </c:tx>
          <c:marker>
            <c:symbol val="diamond"/>
            <c:size val="10"/>
          </c:marker>
          <c:cat>
            <c:strRef>
              <c:f>'Zero 101'!$U$5:$U$46</c:f>
              <c:strCache>
                <c:ptCount val="42"/>
                <c:pt idx="0">
                  <c:v> (230,116,70) </c:v>
                </c:pt>
                <c:pt idx="1">
                  <c:v> (230,113,80) </c:v>
                </c:pt>
                <c:pt idx="2">
                  <c:v> (230,111,90) </c:v>
                </c:pt>
                <c:pt idx="3">
                  <c:v> (230,110,100) </c:v>
                </c:pt>
                <c:pt idx="4">
                  <c:v> (240,99,50) </c:v>
                </c:pt>
                <c:pt idx="5">
                  <c:v> (240,91,60) </c:v>
                </c:pt>
                <c:pt idx="6">
                  <c:v> (240,85,70) </c:v>
                </c:pt>
                <c:pt idx="7">
                  <c:v> (240,81,80) </c:v>
                </c:pt>
                <c:pt idx="8">
                  <c:v> (240,79,90) </c:v>
                </c:pt>
                <c:pt idx="9">
                  <c:v> (240,79,100) </c:v>
                </c:pt>
                <c:pt idx="10">
                  <c:v> (250,84,40) </c:v>
                </c:pt>
                <c:pt idx="11">
                  <c:v> (250,71,50) </c:v>
                </c:pt>
                <c:pt idx="12">
                  <c:v> (250,69,60) </c:v>
                </c:pt>
                <c:pt idx="13">
                  <c:v> (250,68,70) </c:v>
                </c:pt>
                <c:pt idx="14">
                  <c:v> (250,67,80) </c:v>
                </c:pt>
                <c:pt idx="15">
                  <c:v> (250,67,90) </c:v>
                </c:pt>
                <c:pt idx="16">
                  <c:v> (250,67,100) </c:v>
                </c:pt>
                <c:pt idx="17">
                  <c:v> (260,81,30) </c:v>
                </c:pt>
                <c:pt idx="18">
                  <c:v> (260,63,40) </c:v>
                </c:pt>
                <c:pt idx="19">
                  <c:v> (260,60,50) </c:v>
                </c:pt>
                <c:pt idx="20">
                  <c:v> (260,58,60) </c:v>
                </c:pt>
                <c:pt idx="21">
                  <c:v> (260,57,70) </c:v>
                </c:pt>
                <c:pt idx="22">
                  <c:v> (260,56,80) </c:v>
                </c:pt>
                <c:pt idx="23">
                  <c:v> (260,55,90) </c:v>
                </c:pt>
                <c:pt idx="24">
                  <c:v> (260,55,100) </c:v>
                </c:pt>
                <c:pt idx="25">
                  <c:v> (270,61,30) </c:v>
                </c:pt>
                <c:pt idx="26">
                  <c:v> (270,53,40) </c:v>
                </c:pt>
                <c:pt idx="27">
                  <c:v> (270,50,50) </c:v>
                </c:pt>
                <c:pt idx="28">
                  <c:v> (270,47,60) </c:v>
                </c:pt>
                <c:pt idx="29">
                  <c:v> (270,46,70) </c:v>
                </c:pt>
                <c:pt idx="30">
                  <c:v> (270,45,80) </c:v>
                </c:pt>
                <c:pt idx="31">
                  <c:v> (270,44,90) </c:v>
                </c:pt>
                <c:pt idx="32">
                  <c:v> (270,44,100) </c:v>
                </c:pt>
                <c:pt idx="33">
                  <c:v> (280,74,20) </c:v>
                </c:pt>
                <c:pt idx="34">
                  <c:v> (280,52,30) </c:v>
                </c:pt>
                <c:pt idx="35">
                  <c:v> (280,44,40) </c:v>
                </c:pt>
                <c:pt idx="36">
                  <c:v> (280,42,50) </c:v>
                </c:pt>
                <c:pt idx="37">
                  <c:v> (280,42,60) </c:v>
                </c:pt>
                <c:pt idx="38">
                  <c:v> (280,42,70) </c:v>
                </c:pt>
                <c:pt idx="39">
                  <c:v> (280,42,80) </c:v>
                </c:pt>
                <c:pt idx="40">
                  <c:v> (280,42,90) </c:v>
                </c:pt>
                <c:pt idx="41">
                  <c:v> (280,42,100) </c:v>
                </c:pt>
              </c:strCache>
            </c:strRef>
          </c:cat>
          <c:val>
            <c:numRef>
              <c:f>'Zero 101'!$N$5:$N$46</c:f>
              <c:numCache>
                <c:formatCode>0</c:formatCode>
                <c:ptCount val="42"/>
                <c:pt idx="0">
                  <c:v>89</c:v>
                </c:pt>
                <c:pt idx="1">
                  <c:v>66</c:v>
                </c:pt>
                <c:pt idx="2">
                  <c:v>60</c:v>
                </c:pt>
                <c:pt idx="3">
                  <c:v>58</c:v>
                </c:pt>
                <c:pt idx="4">
                  <c:v>52</c:v>
                </c:pt>
                <c:pt idx="5">
                  <c:v>36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41</c:v>
                </c:pt>
                <c:pt idx="11">
                  <c:v>27</c:v>
                </c:pt>
                <c:pt idx="12">
                  <c:v>23</c:v>
                </c:pt>
                <c:pt idx="13">
                  <c:v>21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53</c:v>
                </c:pt>
                <c:pt idx="18">
                  <c:v>24</c:v>
                </c:pt>
                <c:pt idx="19">
                  <c:v>19</c:v>
                </c:pt>
                <c:pt idx="20">
                  <c:v>17</c:v>
                </c:pt>
                <c:pt idx="21">
                  <c:v>16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27</c:v>
                </c:pt>
                <c:pt idx="26">
                  <c:v>18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97</c:v>
                </c:pt>
                <c:pt idx="34">
                  <c:v>19</c:v>
                </c:pt>
                <c:pt idx="35">
                  <c:v>14</c:v>
                </c:pt>
                <c:pt idx="36">
                  <c:v>13</c:v>
                </c:pt>
                <c:pt idx="37">
                  <c:v>12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73472"/>
        <c:axId val="352221952"/>
      </c:lineChart>
      <c:lineChart>
        <c:grouping val="standard"/>
        <c:varyColors val="0"/>
        <c:ser>
          <c:idx val="1"/>
          <c:order val="1"/>
          <c:tx>
            <c:v>Capacity Factor</c:v>
          </c:tx>
          <c:marker>
            <c:symbol val="square"/>
            <c:size val="8"/>
          </c:marker>
          <c:val>
            <c:numRef>
              <c:f>'Zero 101'!$M$5:$M$46</c:f>
              <c:numCache>
                <c:formatCode>0</c:formatCode>
                <c:ptCount val="42"/>
                <c:pt idx="0">
                  <c:v>9.0299999999999994</c:v>
                </c:pt>
                <c:pt idx="1">
                  <c:v>10.09</c:v>
                </c:pt>
                <c:pt idx="2">
                  <c:v>10.54</c:v>
                </c:pt>
                <c:pt idx="3">
                  <c:v>10.8</c:v>
                </c:pt>
                <c:pt idx="4">
                  <c:v>11.44</c:v>
                </c:pt>
                <c:pt idx="5">
                  <c:v>14.98</c:v>
                </c:pt>
                <c:pt idx="6">
                  <c:v>16.829999999999998</c:v>
                </c:pt>
                <c:pt idx="7">
                  <c:v>17.87</c:v>
                </c:pt>
                <c:pt idx="8">
                  <c:v>18.489999999999998</c:v>
                </c:pt>
                <c:pt idx="9">
                  <c:v>18.73</c:v>
                </c:pt>
                <c:pt idx="10">
                  <c:v>13.49</c:v>
                </c:pt>
                <c:pt idx="11">
                  <c:v>19.02</c:v>
                </c:pt>
                <c:pt idx="12">
                  <c:v>22.2</c:v>
                </c:pt>
                <c:pt idx="13">
                  <c:v>24.08</c:v>
                </c:pt>
                <c:pt idx="14">
                  <c:v>25.04</c:v>
                </c:pt>
                <c:pt idx="15">
                  <c:v>25.64</c:v>
                </c:pt>
                <c:pt idx="16">
                  <c:v>26.03</c:v>
                </c:pt>
                <c:pt idx="17">
                  <c:v>11.05</c:v>
                </c:pt>
                <c:pt idx="18">
                  <c:v>20.66</c:v>
                </c:pt>
                <c:pt idx="19">
                  <c:v>25.81</c:v>
                </c:pt>
                <c:pt idx="20">
                  <c:v>28.82</c:v>
                </c:pt>
                <c:pt idx="21">
                  <c:v>30.61</c:v>
                </c:pt>
                <c:pt idx="22">
                  <c:v>31.81</c:v>
                </c:pt>
                <c:pt idx="23">
                  <c:v>32.380000000000003</c:v>
                </c:pt>
                <c:pt idx="24">
                  <c:v>32.659999999999997</c:v>
                </c:pt>
                <c:pt idx="25">
                  <c:v>18.579999999999998</c:v>
                </c:pt>
                <c:pt idx="26">
                  <c:v>27.51</c:v>
                </c:pt>
                <c:pt idx="27">
                  <c:v>32.18</c:v>
                </c:pt>
                <c:pt idx="28">
                  <c:v>34.85</c:v>
                </c:pt>
                <c:pt idx="29">
                  <c:v>36.299999999999997</c:v>
                </c:pt>
                <c:pt idx="30">
                  <c:v>37.200000000000003</c:v>
                </c:pt>
                <c:pt idx="31">
                  <c:v>37.78</c:v>
                </c:pt>
                <c:pt idx="32">
                  <c:v>38.090000000000003</c:v>
                </c:pt>
                <c:pt idx="33">
                  <c:v>7.47</c:v>
                </c:pt>
                <c:pt idx="34">
                  <c:v>25.46</c:v>
                </c:pt>
                <c:pt idx="35">
                  <c:v>33.65</c:v>
                </c:pt>
                <c:pt idx="36">
                  <c:v>37.94</c:v>
                </c:pt>
                <c:pt idx="37">
                  <c:v>40.44</c:v>
                </c:pt>
                <c:pt idx="38">
                  <c:v>41.88</c:v>
                </c:pt>
                <c:pt idx="39">
                  <c:v>42.79</c:v>
                </c:pt>
                <c:pt idx="40">
                  <c:v>43.3</c:v>
                </c:pt>
                <c:pt idx="41">
                  <c:v>43.63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64736"/>
        <c:axId val="352222528"/>
      </c:lineChart>
      <c:catAx>
        <c:axId val="3736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[GW], Storage Capacity [TWh], Electrolyser Power [GW]</a:t>
                </a:r>
                <a:endParaRPr lang="en-GB" sz="1000">
                  <a:effectLst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-4620000"/>
          <a:lstStyle/>
          <a:p>
            <a:pPr>
              <a:defRPr/>
            </a:pPr>
            <a:endParaRPr lang="en-US"/>
          </a:p>
        </c:txPr>
        <c:crossAx val="352221952"/>
        <c:crosses val="autoZero"/>
        <c:auto val="1"/>
        <c:lblAlgn val="ctr"/>
        <c:lblOffset val="100"/>
        <c:noMultiLvlLbl val="0"/>
      </c:catAx>
      <c:valAx>
        <c:axId val="352221952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3673472"/>
        <c:crosses val="autoZero"/>
        <c:crossBetween val="between"/>
      </c:valAx>
      <c:valAx>
        <c:axId val="3522225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74964736"/>
        <c:crosses val="max"/>
        <c:crossBetween val="between"/>
      </c:valAx>
      <c:catAx>
        <c:axId val="374964736"/>
        <c:scaling>
          <c:orientation val="minMax"/>
        </c:scaling>
        <c:delete val="1"/>
        <c:axPos val="b"/>
        <c:majorTickMark val="out"/>
        <c:minorTickMark val="none"/>
        <c:tickLblPos val="nextTo"/>
        <c:crossAx val="352222528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in components for each Renewable Capacity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43'!$L$6,'Zero 43'!$L$12,'Zero 43'!$L$20,'Zero 43'!$L$27,'Zero 43'!$L$35,'Zero 43'!$L$43)</c:f>
              <c:numCache>
                <c:formatCode>0.0_ 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43'!$G$6,'Zero 43'!$G$12,'Zero 43'!$G$20,'Zero 43'!$G$27,'Zero 43'!$G$35,'Zero 43'!$G$43)</c:f>
              <c:numCache>
                <c:formatCode>_(* #,##0.0_);_(* \(#,##0.0\);_(* "-"??_);_(@_)</c:formatCode>
                <c:ptCount val="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43'!$H$6,'Zero 43'!$H$12,'Zero 43'!$H$20,'Zero 43'!$H$27,'Zero 43'!$H$35,'Zero 43'!$H$43)</c:f>
              <c:numCache>
                <c:formatCode>_(* #,##0.0_);_(* \(#,##0.0\);_(* "-"??_);_(@_)</c:formatCode>
                <c:ptCount val="6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45.619957830488204</c:v>
                </c:pt>
                <c:pt idx="4">
                  <c:v>47.374571593199285</c:v>
                </c:pt>
                <c:pt idx="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43'!$J$6,'Zero 43'!$J$12,'Zero 43'!$J$20,'Zero 43'!$J$27,'Zero 43'!$J$35,'Zero 43'!$J$43)</c:f>
              <c:numCache>
                <c:formatCode>_(* #,##0.0_);_(* \(#,##0.0\);_(* "-"??_);_(@_)</c:formatCode>
                <c:ptCount val="6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3.5047465429835976</c:v>
                </c:pt>
                <c:pt idx="4">
                  <c:v>2.9484375679068364</c:v>
                </c:pt>
                <c:pt idx="5">
                  <c:v>2.89280667039916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43'!$I$6,'Zero 43'!$I$12,'Zero 43'!$I$20,'Zero 43'!$I$27,'Zero 43'!$I$35,'Zero 43'!$I$43)</c:f>
              <c:numCache>
                <c:formatCode>_(* #,##0.0_);_(* \(#,##0.0\);_(* "-"??_);_(@_)</c:formatCode>
                <c:ptCount val="6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1.9731952501814143</c:v>
                </c:pt>
                <c:pt idx="4">
                  <c:v>1.9731952501814143</c:v>
                </c:pt>
                <c:pt idx="5">
                  <c:v>1.479896437636061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43'!$K$6,'Zero 43'!$K$12,'Zero 43'!$K$20,'Zero 43'!$K$27,'Zero 43'!$K$35,'Zero 43'!$K$43)</c:f>
              <c:numCache>
                <c:formatCode>_(* #,##0.0_);_(* \(#,##0.0\);_(* "-"??_);_(@_)</c:formatCode>
                <c:ptCount val="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43'!$P$6,'Zero 43'!$P$12,'Zero 43'!$P$20,'Zero 43'!$P$27,'Zero 43'!$P$35,'Zero 43'!$P$43)</c:f>
              <c:numCache>
                <c:formatCode>0.0</c:formatCode>
                <c:ptCount val="6"/>
                <c:pt idx="0">
                  <c:v>0.74469814087879027</c:v>
                </c:pt>
                <c:pt idx="1">
                  <c:v>0.74469814087879027</c:v>
                </c:pt>
                <c:pt idx="2">
                  <c:v>0.74469814087879027</c:v>
                </c:pt>
                <c:pt idx="3">
                  <c:v>0.74469814087879027</c:v>
                </c:pt>
                <c:pt idx="4">
                  <c:v>0.74469814087879027</c:v>
                </c:pt>
                <c:pt idx="5">
                  <c:v>0.74469814087879027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43'!$O$6,'Zero 43'!$O$12,'Zero 43'!$O$20,'Zero 43'!$O$27,'Zero 43'!$O$35,'Zero 43'!$O$43)</c:f>
              <c:numCache>
                <c:formatCode>_(* #,##0.00_);_(* \(#,##0.00\);_(* "-"??_);_(@_)</c:formatCode>
                <c:ptCount val="6"/>
                <c:pt idx="0">
                  <c:v>1.4508560102142667</c:v>
                </c:pt>
                <c:pt idx="1">
                  <c:v>1.3612186514640137</c:v>
                </c:pt>
                <c:pt idx="2">
                  <c:v>1.3830330529297834</c:v>
                </c:pt>
                <c:pt idx="3">
                  <c:v>1.3657137402508996</c:v>
                </c:pt>
                <c:pt idx="4">
                  <c:v>1.2729694818979465</c:v>
                </c:pt>
                <c:pt idx="5">
                  <c:v>1.3464113001660372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966784"/>
        <c:axId val="37536678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('Zero 43'!$Q$6,'Zero 43'!$Q$12,'Zero 43'!$Q$20,'Zero 43'!$Q$27,'Zero 43'!$Q$35,'Zero 43'!$Q$43)</c:f>
              <c:numCache>
                <c:formatCode>_(* #,##0.00_);_(* \(#,##0.00\);_(* "-"??_);_(@_)</c:formatCode>
                <c:ptCount val="6"/>
                <c:pt idx="0">
                  <c:v>73.735516266309162</c:v>
                </c:pt>
                <c:pt idx="1">
                  <c:v>73.683314112555777</c:v>
                </c:pt>
                <c:pt idx="2">
                  <c:v>73.902077146517712</c:v>
                </c:pt>
                <c:pt idx="3">
                  <c:v>74.701025603943123</c:v>
                </c:pt>
                <c:pt idx="4">
                  <c:v>75.806586133224499</c:v>
                </c:pt>
                <c:pt idx="5">
                  <c:v>77.085712004150651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966784"/>
        <c:axId val="375366784"/>
      </c:lineChart>
      <c:catAx>
        <c:axId val="374966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75366784"/>
        <c:crosses val="autoZero"/>
        <c:auto val="1"/>
        <c:lblAlgn val="ctr"/>
        <c:lblOffset val="100"/>
        <c:noMultiLvlLbl val="0"/>
      </c:catAx>
      <c:valAx>
        <c:axId val="375366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74966784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162'!$L$5:$L$39</c:f>
              <c:numCache>
                <c:formatCode>0.0_ 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32-0A46-BD0D-82BF5AA43925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162'!$G$5:$G$39</c:f>
              <c:numCache>
                <c:formatCode>_(* #,##0.0_);_(* \(#,##0.0\);_(* "-"??_);_(@_)</c:formatCode>
                <c:ptCount val="35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32-0A46-BD0D-82BF5AA43925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162'!$H$5:$H$39</c:f>
              <c:numCache>
                <c:formatCode>_(* #,##0.0_);_(* \(#,##0.0\);_(* "-"??_);_(@_)</c:formatCode>
                <c:ptCount val="35"/>
                <c:pt idx="0">
                  <c:v>42.110730305066035</c:v>
                </c:pt>
                <c:pt idx="1">
                  <c:v>42.110730305066035</c:v>
                </c:pt>
                <c:pt idx="2">
                  <c:v>42.110730305066035</c:v>
                </c:pt>
                <c:pt idx="3">
                  <c:v>42.110730305066035</c:v>
                </c:pt>
                <c:pt idx="4">
                  <c:v>42.110730305066035</c:v>
                </c:pt>
                <c:pt idx="5">
                  <c:v>43.86534406777713</c:v>
                </c:pt>
                <c:pt idx="6">
                  <c:v>43.86534406777713</c:v>
                </c:pt>
                <c:pt idx="7">
                  <c:v>43.86534406777713</c:v>
                </c:pt>
                <c:pt idx="8">
                  <c:v>43.86534406777713</c:v>
                </c:pt>
                <c:pt idx="9">
                  <c:v>43.86534406777713</c:v>
                </c:pt>
                <c:pt idx="10">
                  <c:v>43.86534406777713</c:v>
                </c:pt>
                <c:pt idx="11">
                  <c:v>43.86534406777713</c:v>
                </c:pt>
                <c:pt idx="12">
                  <c:v>45.619957830488204</c:v>
                </c:pt>
                <c:pt idx="13">
                  <c:v>45.619957830488204</c:v>
                </c:pt>
                <c:pt idx="14">
                  <c:v>45.619957830488204</c:v>
                </c:pt>
                <c:pt idx="15">
                  <c:v>45.619957830488204</c:v>
                </c:pt>
                <c:pt idx="16">
                  <c:v>45.619957830488204</c:v>
                </c:pt>
                <c:pt idx="17">
                  <c:v>45.619957830488204</c:v>
                </c:pt>
                <c:pt idx="18">
                  <c:v>45.619957830488204</c:v>
                </c:pt>
                <c:pt idx="19">
                  <c:v>47.374571593199285</c:v>
                </c:pt>
                <c:pt idx="20">
                  <c:v>47.374571593199285</c:v>
                </c:pt>
                <c:pt idx="21">
                  <c:v>47.374571593199285</c:v>
                </c:pt>
                <c:pt idx="22">
                  <c:v>47.374571593199285</c:v>
                </c:pt>
                <c:pt idx="23">
                  <c:v>47.374571593199285</c:v>
                </c:pt>
                <c:pt idx="24">
                  <c:v>47.374571593199285</c:v>
                </c:pt>
                <c:pt idx="25">
                  <c:v>47.374571593199285</c:v>
                </c:pt>
                <c:pt idx="26">
                  <c:v>47.374571593199285</c:v>
                </c:pt>
                <c:pt idx="27">
                  <c:v>49.129185355910373</c:v>
                </c:pt>
                <c:pt idx="28">
                  <c:v>49.129185355910373</c:v>
                </c:pt>
                <c:pt idx="29">
                  <c:v>49.129185355910373</c:v>
                </c:pt>
                <c:pt idx="30">
                  <c:v>49.129185355910373</c:v>
                </c:pt>
                <c:pt idx="31">
                  <c:v>49.129185355910373</c:v>
                </c:pt>
                <c:pt idx="32">
                  <c:v>49.129185355910373</c:v>
                </c:pt>
                <c:pt idx="33">
                  <c:v>49.129185355910373</c:v>
                </c:pt>
                <c:pt idx="34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332-0A46-BD0D-82BF5AA43925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162'!$J$5:$J$39</c:f>
              <c:numCache>
                <c:formatCode>_(* #,##0.0_);_(* \(#,##0.0\);_(* "-"??_);_(@_)</c:formatCode>
                <c:ptCount val="35"/>
                <c:pt idx="0">
                  <c:v>5.0624116731985298</c:v>
                </c:pt>
                <c:pt idx="1">
                  <c:v>4.7286262881524737</c:v>
                </c:pt>
                <c:pt idx="2">
                  <c:v>4.5061026981217687</c:v>
                </c:pt>
                <c:pt idx="3">
                  <c:v>4.3948409031064157</c:v>
                </c:pt>
                <c:pt idx="4">
                  <c:v>4.3948409031064157</c:v>
                </c:pt>
                <c:pt idx="5">
                  <c:v>4.6729953906447976</c:v>
                </c:pt>
                <c:pt idx="6">
                  <c:v>3.9497937230450071</c:v>
                </c:pt>
                <c:pt idx="7">
                  <c:v>3.8385319280296546</c:v>
                </c:pt>
                <c:pt idx="8">
                  <c:v>3.782901030521979</c:v>
                </c:pt>
                <c:pt idx="9">
                  <c:v>3.7272701330143021</c:v>
                </c:pt>
                <c:pt idx="10">
                  <c:v>3.7272701330143021</c:v>
                </c:pt>
                <c:pt idx="11">
                  <c:v>3.7272701330143021</c:v>
                </c:pt>
                <c:pt idx="12">
                  <c:v>3.5047465429835976</c:v>
                </c:pt>
                <c:pt idx="13">
                  <c:v>3.3378538504605695</c:v>
                </c:pt>
                <c:pt idx="14">
                  <c:v>3.226592055445217</c:v>
                </c:pt>
                <c:pt idx="15">
                  <c:v>3.170961157937541</c:v>
                </c:pt>
                <c:pt idx="16">
                  <c:v>3.1153302604298649</c:v>
                </c:pt>
                <c:pt idx="17">
                  <c:v>3.0596993629221889</c:v>
                </c:pt>
                <c:pt idx="18">
                  <c:v>3.0596993629221889</c:v>
                </c:pt>
                <c:pt idx="19">
                  <c:v>3.393484747968246</c:v>
                </c:pt>
                <c:pt idx="20">
                  <c:v>2.9484375679068364</c:v>
                </c:pt>
                <c:pt idx="21">
                  <c:v>2.7815448753838083</c:v>
                </c:pt>
                <c:pt idx="22">
                  <c:v>2.6146521828607794</c:v>
                </c:pt>
                <c:pt idx="23">
                  <c:v>2.5590212853531038</c:v>
                </c:pt>
                <c:pt idx="24">
                  <c:v>2.5033903878454269</c:v>
                </c:pt>
                <c:pt idx="25">
                  <c:v>2.4477594903377509</c:v>
                </c:pt>
                <c:pt idx="26">
                  <c:v>2.4477594903377509</c:v>
                </c:pt>
                <c:pt idx="27">
                  <c:v>2.89280667039916</c:v>
                </c:pt>
                <c:pt idx="28">
                  <c:v>2.4477594903377509</c:v>
                </c:pt>
                <c:pt idx="29">
                  <c:v>2.3364976953223988</c:v>
                </c:pt>
                <c:pt idx="30">
                  <c:v>2.3364976953223988</c:v>
                </c:pt>
                <c:pt idx="31">
                  <c:v>2.3364976953223988</c:v>
                </c:pt>
                <c:pt idx="32">
                  <c:v>2.3364976953223988</c:v>
                </c:pt>
                <c:pt idx="33">
                  <c:v>2.3364976953223988</c:v>
                </c:pt>
                <c:pt idx="34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32-0A46-BD0D-82BF5AA43925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162'!$I$5:$I$39</c:f>
              <c:numCache>
                <c:formatCode>_(* #,##0.0_);_(* \(#,##0.0\);_(* "-"??_);_(@_)</c:formatCode>
                <c:ptCount val="35"/>
                <c:pt idx="0">
                  <c:v>2.9597928752721221</c:v>
                </c:pt>
                <c:pt idx="1">
                  <c:v>3.4530916878174751</c:v>
                </c:pt>
                <c:pt idx="2">
                  <c:v>3.9463905003628286</c:v>
                </c:pt>
                <c:pt idx="3">
                  <c:v>4.4396893129081834</c:v>
                </c:pt>
                <c:pt idx="4">
                  <c:v>4.9329881254535364</c:v>
                </c:pt>
                <c:pt idx="5">
                  <c:v>1.9731952501814143</c:v>
                </c:pt>
                <c:pt idx="6">
                  <c:v>2.4664940627267682</c:v>
                </c:pt>
                <c:pt idx="7">
                  <c:v>2.9597928752721221</c:v>
                </c:pt>
                <c:pt idx="8">
                  <c:v>3.4530916878174751</c:v>
                </c:pt>
                <c:pt idx="9">
                  <c:v>3.9463905003628286</c:v>
                </c:pt>
                <c:pt idx="10">
                  <c:v>4.4396893129081834</c:v>
                </c:pt>
                <c:pt idx="11">
                  <c:v>4.9329881254535364</c:v>
                </c:pt>
                <c:pt idx="12">
                  <c:v>1.9731952501814143</c:v>
                </c:pt>
                <c:pt idx="13">
                  <c:v>2.4664940627267682</c:v>
                </c:pt>
                <c:pt idx="14">
                  <c:v>2.9597928752721221</c:v>
                </c:pt>
                <c:pt idx="15">
                  <c:v>3.4530916878174751</c:v>
                </c:pt>
                <c:pt idx="16">
                  <c:v>3.9463905003628286</c:v>
                </c:pt>
                <c:pt idx="17">
                  <c:v>4.4396893129081834</c:v>
                </c:pt>
                <c:pt idx="18">
                  <c:v>4.9329881254535364</c:v>
                </c:pt>
                <c:pt idx="19">
                  <c:v>1.479896437636061</c:v>
                </c:pt>
                <c:pt idx="20">
                  <c:v>1.9731952501814143</c:v>
                </c:pt>
                <c:pt idx="21">
                  <c:v>2.4664940627267682</c:v>
                </c:pt>
                <c:pt idx="22">
                  <c:v>2.9597928752721221</c:v>
                </c:pt>
                <c:pt idx="23">
                  <c:v>3.4530916878174751</c:v>
                </c:pt>
                <c:pt idx="24">
                  <c:v>3.9463905003628286</c:v>
                </c:pt>
                <c:pt idx="25">
                  <c:v>4.4396893129081834</c:v>
                </c:pt>
                <c:pt idx="26">
                  <c:v>4.9329881254535364</c:v>
                </c:pt>
                <c:pt idx="27">
                  <c:v>1.479896437636061</c:v>
                </c:pt>
                <c:pt idx="28">
                  <c:v>1.9731952501814143</c:v>
                </c:pt>
                <c:pt idx="29">
                  <c:v>2.4664940627267682</c:v>
                </c:pt>
                <c:pt idx="30">
                  <c:v>2.9597928752721221</c:v>
                </c:pt>
                <c:pt idx="31">
                  <c:v>3.4530916878174751</c:v>
                </c:pt>
                <c:pt idx="32">
                  <c:v>3.9463905003628286</c:v>
                </c:pt>
                <c:pt idx="33">
                  <c:v>4.4396893129081834</c:v>
                </c:pt>
                <c:pt idx="34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332-0A46-BD0D-82BF5AA43925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162'!$K$5:$K$39</c:f>
              <c:numCache>
                <c:formatCode>_(* #,##0.0_);_(* \(#,##0.0\);_(* "-"??_);_(@_)</c:formatCode>
                <c:ptCount val="35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32-0A46-BD0D-82BF5AA43925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162'!$P$5:$P$39</c:f>
              <c:numCache>
                <c:formatCode>0.0</c:formatCode>
                <c:ptCount val="35"/>
                <c:pt idx="0">
                  <c:v>0.69300342293188655</c:v>
                </c:pt>
                <c:pt idx="1">
                  <c:v>0.69300342293188655</c:v>
                </c:pt>
                <c:pt idx="2">
                  <c:v>0.69300342293188655</c:v>
                </c:pt>
                <c:pt idx="3">
                  <c:v>0.69300342293188655</c:v>
                </c:pt>
                <c:pt idx="4">
                  <c:v>0.69300342293188655</c:v>
                </c:pt>
                <c:pt idx="5">
                  <c:v>0.69300342293188655</c:v>
                </c:pt>
                <c:pt idx="6">
                  <c:v>0.69300342293188655</c:v>
                </c:pt>
                <c:pt idx="7">
                  <c:v>0.69300342293188655</c:v>
                </c:pt>
                <c:pt idx="8">
                  <c:v>0.69300342293188655</c:v>
                </c:pt>
                <c:pt idx="9">
                  <c:v>0.69300342293188655</c:v>
                </c:pt>
                <c:pt idx="10">
                  <c:v>0.69300342293188655</c:v>
                </c:pt>
                <c:pt idx="11">
                  <c:v>0.69300342293188655</c:v>
                </c:pt>
                <c:pt idx="12">
                  <c:v>0.69300342293188655</c:v>
                </c:pt>
                <c:pt idx="13">
                  <c:v>0.69300342293188655</c:v>
                </c:pt>
                <c:pt idx="14">
                  <c:v>0.69300342293188655</c:v>
                </c:pt>
                <c:pt idx="15">
                  <c:v>0.69300342293188655</c:v>
                </c:pt>
                <c:pt idx="16">
                  <c:v>0.69300342293188655</c:v>
                </c:pt>
                <c:pt idx="17">
                  <c:v>0.69300342293188655</c:v>
                </c:pt>
                <c:pt idx="18">
                  <c:v>0.69300342293188655</c:v>
                </c:pt>
                <c:pt idx="19">
                  <c:v>0.69300342293188655</c:v>
                </c:pt>
                <c:pt idx="20">
                  <c:v>0.69300342293188655</c:v>
                </c:pt>
                <c:pt idx="21">
                  <c:v>0.69300342293188655</c:v>
                </c:pt>
                <c:pt idx="22">
                  <c:v>0.69300342293188655</c:v>
                </c:pt>
                <c:pt idx="23">
                  <c:v>0.69300342293188655</c:v>
                </c:pt>
                <c:pt idx="24">
                  <c:v>0.69300342293188655</c:v>
                </c:pt>
                <c:pt idx="25">
                  <c:v>0.69300342293188655</c:v>
                </c:pt>
                <c:pt idx="26">
                  <c:v>0.69300342293188655</c:v>
                </c:pt>
                <c:pt idx="27">
                  <c:v>0.69300342293188655</c:v>
                </c:pt>
                <c:pt idx="28">
                  <c:v>0.69300342293188655</c:v>
                </c:pt>
                <c:pt idx="29">
                  <c:v>0.69300342293188655</c:v>
                </c:pt>
                <c:pt idx="30">
                  <c:v>0.69300342293188655</c:v>
                </c:pt>
                <c:pt idx="31">
                  <c:v>0.69300342293188655</c:v>
                </c:pt>
                <c:pt idx="32">
                  <c:v>0.69300342293188655</c:v>
                </c:pt>
                <c:pt idx="33">
                  <c:v>0.69300342293188655</c:v>
                </c:pt>
                <c:pt idx="34">
                  <c:v>0.69300342293188655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332-0A46-BD0D-82BF5AA43925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162'!$O$5:$O$39</c:f>
              <c:numCache>
                <c:formatCode>_(* #,##0.00_);_(* \(#,##0.00\);_(* "-"??_);_(@_)</c:formatCode>
                <c:ptCount val="35"/>
                <c:pt idx="0">
                  <c:v>7.4641662502914583</c:v>
                </c:pt>
                <c:pt idx="1">
                  <c:v>6.4188950827680742</c:v>
                </c:pt>
                <c:pt idx="2">
                  <c:v>6.265906064781336</c:v>
                </c:pt>
                <c:pt idx="3">
                  <c:v>6.1420753879790411</c:v>
                </c:pt>
                <c:pt idx="4">
                  <c:v>6.1065809515583149</c:v>
                </c:pt>
                <c:pt idx="5">
                  <c:v>8.7963456525917429</c:v>
                </c:pt>
                <c:pt idx="6">
                  <c:v>5.8501228832082095</c:v>
                </c:pt>
                <c:pt idx="7">
                  <c:v>5.4625753105035653</c:v>
                </c:pt>
                <c:pt idx="8">
                  <c:v>5.3326546004159123</c:v>
                </c:pt>
                <c:pt idx="9">
                  <c:v>5.3912173447357246</c:v>
                </c:pt>
                <c:pt idx="10">
                  <c:v>5.3626741584285886</c:v>
                </c:pt>
                <c:pt idx="11">
                  <c:v>5.2841188805962354</c:v>
                </c:pt>
                <c:pt idx="12">
                  <c:v>5.4649128990373388</c:v>
                </c:pt>
                <c:pt idx="13">
                  <c:v>5.2394586365036036</c:v>
                </c:pt>
                <c:pt idx="14">
                  <c:v>5.1413414335728271</c:v>
                </c:pt>
                <c:pt idx="15">
                  <c:v>5.0840705144953615</c:v>
                </c:pt>
                <c:pt idx="16">
                  <c:v>5.0876999282714843</c:v>
                </c:pt>
                <c:pt idx="17">
                  <c:v>4.9796787318160316</c:v>
                </c:pt>
                <c:pt idx="18">
                  <c:v>5.0227395732276587</c:v>
                </c:pt>
                <c:pt idx="19">
                  <c:v>5.6004930339962335</c:v>
                </c:pt>
                <c:pt idx="20">
                  <c:v>5.0768732024308472</c:v>
                </c:pt>
                <c:pt idx="21">
                  <c:v>4.9489209879505838</c:v>
                </c:pt>
                <c:pt idx="22">
                  <c:v>4.9307739190699689</c:v>
                </c:pt>
                <c:pt idx="23">
                  <c:v>4.912626850189354</c:v>
                </c:pt>
                <c:pt idx="24">
                  <c:v>4.805589901537596</c:v>
                </c:pt>
                <c:pt idx="25">
                  <c:v>4.8805157655938274</c:v>
                </c:pt>
                <c:pt idx="26">
                  <c:v>4.9205623481066407</c:v>
                </c:pt>
                <c:pt idx="27">
                  <c:v>5.1684082481744191</c:v>
                </c:pt>
                <c:pt idx="28">
                  <c:v>4.9679907891471604</c:v>
                </c:pt>
                <c:pt idx="29">
                  <c:v>4.9011849694714078</c:v>
                </c:pt>
                <c:pt idx="30">
                  <c:v>4.9753726476748685</c:v>
                </c:pt>
                <c:pt idx="31">
                  <c:v>4.894910389722857</c:v>
                </c:pt>
                <c:pt idx="32">
                  <c:v>4.7380458960090719</c:v>
                </c:pt>
                <c:pt idx="33">
                  <c:v>4.7945171137460338</c:v>
                </c:pt>
                <c:pt idx="34">
                  <c:v>4.8310573134581869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332-0A46-BD0D-82BF5AA4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408640"/>
        <c:axId val="383697472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162'!$Q$5:$Q$39</c:f>
              <c:numCache>
                <c:formatCode>_(* #,##0.00_);_(* \(#,##0.00\);_(* "-"??_);_(@_)</c:formatCode>
                <c:ptCount val="35"/>
                <c:pt idx="0">
                  <c:v>79.782818625920243</c:v>
                </c:pt>
                <c:pt idx="1">
                  <c:v>78.897060885896167</c:v>
                </c:pt>
                <c:pt idx="2">
                  <c:v>79.01484709042407</c:v>
                </c:pt>
                <c:pt idx="3">
                  <c:v>79.27305343115178</c:v>
                </c:pt>
                <c:pt idx="4">
                  <c:v>79.730857807276408</c:v>
                </c:pt>
                <c:pt idx="5">
                  <c:v>81.49359788328718</c:v>
                </c:pt>
                <c:pt idx="6">
                  <c:v>78.317472258849222</c:v>
                </c:pt>
                <c:pt idx="7">
                  <c:v>78.311961703674569</c:v>
                </c:pt>
                <c:pt idx="8">
                  <c:v>78.619708908624588</c:v>
                </c:pt>
                <c:pt idx="9">
                  <c:v>79.115939567982096</c:v>
                </c:pt>
                <c:pt idx="10">
                  <c:v>79.580695194220311</c:v>
                </c:pt>
                <c:pt idx="11">
                  <c:v>79.995438728933308</c:v>
                </c:pt>
                <c:pt idx="12">
                  <c:v>78.748530044782655</c:v>
                </c:pt>
                <c:pt idx="13">
                  <c:v>78.849481902271251</c:v>
                </c:pt>
                <c:pt idx="14">
                  <c:v>79.13340171687048</c:v>
                </c:pt>
                <c:pt idx="15">
                  <c:v>79.513798712830692</c:v>
                </c:pt>
                <c:pt idx="16">
                  <c:v>79.955096041644495</c:v>
                </c:pt>
                <c:pt idx="17">
                  <c:v>80.28474276022672</c:v>
                </c:pt>
                <c:pt idx="18">
                  <c:v>80.821102414183684</c:v>
                </c:pt>
                <c:pt idx="19">
                  <c:v>80.034163334891929</c:v>
                </c:pt>
                <c:pt idx="20">
                  <c:v>79.558795135810485</c:v>
                </c:pt>
                <c:pt idx="21">
                  <c:v>79.757249041352551</c:v>
                </c:pt>
                <c:pt idx="22">
                  <c:v>80.065508092494255</c:v>
                </c:pt>
                <c:pt idx="23">
                  <c:v>80.485028938651325</c:v>
                </c:pt>
                <c:pt idx="24">
                  <c:v>80.815659905037251</c:v>
                </c:pt>
                <c:pt idx="25">
                  <c:v>81.328253684131141</c:v>
                </c:pt>
                <c:pt idx="26">
                  <c:v>81.861599079189318</c:v>
                </c:pt>
                <c:pt idx="27">
                  <c:v>80.856014234212111</c:v>
                </c:pt>
                <c:pt idx="28">
                  <c:v>80.703848407668801</c:v>
                </c:pt>
                <c:pt idx="29">
                  <c:v>81.019079605523046</c:v>
                </c:pt>
                <c:pt idx="30">
                  <c:v>81.586566096271866</c:v>
                </c:pt>
                <c:pt idx="31">
                  <c:v>81.999402650865193</c:v>
                </c:pt>
                <c:pt idx="32">
                  <c:v>82.335836969696771</c:v>
                </c:pt>
                <c:pt idx="33">
                  <c:v>82.885606999979089</c:v>
                </c:pt>
                <c:pt idx="34">
                  <c:v>83.4154460122366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2332-0A46-BD0D-82BF5AA43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08640"/>
        <c:axId val="383697472"/>
      </c:lineChart>
      <c:catAx>
        <c:axId val="3834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697472"/>
        <c:crosses val="autoZero"/>
        <c:auto val="1"/>
        <c:lblAlgn val="ctr"/>
        <c:lblOffset val="100"/>
        <c:noMultiLvlLbl val="0"/>
      </c:catAx>
      <c:valAx>
        <c:axId val="38369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408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162'!$S$5:$S$39</c:f>
              <c:strCache>
                <c:ptCount val="35"/>
                <c:pt idx="0">
                  <c:v> (240,91,60,100,81,0.15) </c:v>
                </c:pt>
                <c:pt idx="1">
                  <c:v> (240,85,70,100,62,0.17) </c:v>
                </c:pt>
                <c:pt idx="2">
                  <c:v> (240,81,80,100,57,0.18) </c:v>
                </c:pt>
                <c:pt idx="3">
                  <c:v> (240,79,90,100,54,0.18) </c:v>
                </c:pt>
                <c:pt idx="4">
                  <c:v> (240,79,100,100,53,0.19) </c:v>
                </c:pt>
                <c:pt idx="5">
                  <c:v> (250,84,40,100,106,0.13) </c:v>
                </c:pt>
                <c:pt idx="6">
                  <c:v> (250,71,50,100,50,0.19) </c:v>
                </c:pt>
                <c:pt idx="7">
                  <c:v> (250,69,60,100,40,0.22) </c:v>
                </c:pt>
                <c:pt idx="8">
                  <c:v> (250,68,70,100,36,0.24) </c:v>
                </c:pt>
                <c:pt idx="9">
                  <c:v> (250,67,80,100,35,0.25) </c:v>
                </c:pt>
                <c:pt idx="10">
                  <c:v> (250,67,90,100,34,0.26) </c:v>
                </c:pt>
                <c:pt idx="11">
                  <c:v> (250,67,100,100,33,0.26) </c:v>
                </c:pt>
                <c:pt idx="12">
                  <c:v> (260,63,40,100,43,0.21) </c:v>
                </c:pt>
                <c:pt idx="13">
                  <c:v> (260,60,50,100,33,0.26) </c:v>
                </c:pt>
                <c:pt idx="14">
                  <c:v> (260,58,60,100,29,0.29) </c:v>
                </c:pt>
                <c:pt idx="15">
                  <c:v> (260,57,70,100,27,0.31) </c:v>
                </c:pt>
                <c:pt idx="16">
                  <c:v> (260,56,80,100,26,0.32) </c:v>
                </c:pt>
                <c:pt idx="17">
                  <c:v> (260,55,90,100,25,0.32) </c:v>
                </c:pt>
                <c:pt idx="18">
                  <c:v> (260,55,100,100,25,0.33) </c:v>
                </c:pt>
                <c:pt idx="19">
                  <c:v> (270,61,30,100,49,0.19) </c:v>
                </c:pt>
                <c:pt idx="20">
                  <c:v> (270,53,40,100,30,0.28) </c:v>
                </c:pt>
                <c:pt idx="21">
                  <c:v> (270,50,50,100,25,0.32) </c:v>
                </c:pt>
                <c:pt idx="22">
                  <c:v> (270,47,60,100,23,0.35) </c:v>
                </c:pt>
                <c:pt idx="23">
                  <c:v> (270,46,70,100,22,0.36) </c:v>
                </c:pt>
                <c:pt idx="24">
                  <c:v> (270,45,80,100,21,0.37) </c:v>
                </c:pt>
                <c:pt idx="25">
                  <c:v> (270,44,90,100,21,0.38) </c:v>
                </c:pt>
                <c:pt idx="26">
                  <c:v> (270,44,100,100,21,0.38) </c:v>
                </c:pt>
                <c:pt idx="27">
                  <c:v> (280,52,30,100,33,0.25) </c:v>
                </c:pt>
                <c:pt idx="28">
                  <c:v> (280,44,40,100,24,0.34) </c:v>
                </c:pt>
                <c:pt idx="29">
                  <c:v> (280,42,50,100,21,0.38) </c:v>
                </c:pt>
                <c:pt idx="30">
                  <c:v> (280,42,60,100,20,0.4) </c:v>
                </c:pt>
                <c:pt idx="31">
                  <c:v> (280,42,70,100,19,0.42) </c:v>
                </c:pt>
                <c:pt idx="32">
                  <c:v> (280,42,80,100,18,0.43) </c:v>
                </c:pt>
                <c:pt idx="33">
                  <c:v> (280,42,90,100,18,0.43) </c:v>
                </c:pt>
                <c:pt idx="34">
                  <c:v> (280,42,100,100,18,0.44) </c:v>
                </c:pt>
              </c:strCache>
            </c:strRef>
          </c:cat>
          <c:val>
            <c:numRef>
              <c:f>'Zero 162'!$Q$5:$Q$39</c:f>
              <c:numCache>
                <c:formatCode>_(* #,##0.00_);_(* \(#,##0.00\);_(* "-"??_);_(@_)</c:formatCode>
                <c:ptCount val="35"/>
                <c:pt idx="0">
                  <c:v>79.782818625920243</c:v>
                </c:pt>
                <c:pt idx="1">
                  <c:v>78.897060885896167</c:v>
                </c:pt>
                <c:pt idx="2">
                  <c:v>79.01484709042407</c:v>
                </c:pt>
                <c:pt idx="3">
                  <c:v>79.27305343115178</c:v>
                </c:pt>
                <c:pt idx="4">
                  <c:v>79.730857807276408</c:v>
                </c:pt>
                <c:pt idx="5">
                  <c:v>81.49359788328718</c:v>
                </c:pt>
                <c:pt idx="6">
                  <c:v>78.317472258849222</c:v>
                </c:pt>
                <c:pt idx="7">
                  <c:v>78.311961703674569</c:v>
                </c:pt>
                <c:pt idx="8">
                  <c:v>78.619708908624588</c:v>
                </c:pt>
                <c:pt idx="9">
                  <c:v>79.115939567982096</c:v>
                </c:pt>
                <c:pt idx="10">
                  <c:v>79.580695194220311</c:v>
                </c:pt>
                <c:pt idx="11">
                  <c:v>79.995438728933308</c:v>
                </c:pt>
                <c:pt idx="12">
                  <c:v>78.748530044782655</c:v>
                </c:pt>
                <c:pt idx="13">
                  <c:v>78.849481902271251</c:v>
                </c:pt>
                <c:pt idx="14">
                  <c:v>79.13340171687048</c:v>
                </c:pt>
                <c:pt idx="15">
                  <c:v>79.513798712830692</c:v>
                </c:pt>
                <c:pt idx="16">
                  <c:v>79.955096041644495</c:v>
                </c:pt>
                <c:pt idx="17">
                  <c:v>80.28474276022672</c:v>
                </c:pt>
                <c:pt idx="18">
                  <c:v>80.821102414183684</c:v>
                </c:pt>
                <c:pt idx="19">
                  <c:v>80.034163334891929</c:v>
                </c:pt>
                <c:pt idx="20">
                  <c:v>79.558795135810485</c:v>
                </c:pt>
                <c:pt idx="21">
                  <c:v>79.757249041352551</c:v>
                </c:pt>
                <c:pt idx="22">
                  <c:v>80.065508092494255</c:v>
                </c:pt>
                <c:pt idx="23">
                  <c:v>80.485028938651325</c:v>
                </c:pt>
                <c:pt idx="24">
                  <c:v>80.815659905037251</c:v>
                </c:pt>
                <c:pt idx="25">
                  <c:v>81.328253684131141</c:v>
                </c:pt>
                <c:pt idx="26">
                  <c:v>81.861599079189318</c:v>
                </c:pt>
                <c:pt idx="27">
                  <c:v>80.856014234212111</c:v>
                </c:pt>
                <c:pt idx="28">
                  <c:v>80.703848407668801</c:v>
                </c:pt>
                <c:pt idx="29">
                  <c:v>81.019079605523046</c:v>
                </c:pt>
                <c:pt idx="30">
                  <c:v>81.586566096271866</c:v>
                </c:pt>
                <c:pt idx="31">
                  <c:v>81.999402650865193</c:v>
                </c:pt>
                <c:pt idx="32">
                  <c:v>82.335836969696771</c:v>
                </c:pt>
                <c:pt idx="33">
                  <c:v>82.885606999979089</c:v>
                </c:pt>
                <c:pt idx="34">
                  <c:v>83.4154460122366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3B-EE48-8744-FF7EF60A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09664"/>
        <c:axId val="383696896"/>
      </c:lineChart>
      <c:catAx>
        <c:axId val="3834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83696896"/>
        <c:crosses val="autoZero"/>
        <c:auto val="1"/>
        <c:lblAlgn val="ctr"/>
        <c:lblOffset val="100"/>
        <c:noMultiLvlLbl val="0"/>
      </c:catAx>
      <c:valAx>
        <c:axId val="38369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409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Neg_43!$Q$5:$Q$41</c:f>
              <c:numCache>
                <c:formatCode>_(* #,##0.00_);_(* \(#,##0.00\);_(* "-"??_);_(@_)</c:formatCode>
                <c:ptCount val="37"/>
                <c:pt idx="0">
                  <c:v>96.139469419737438</c:v>
                </c:pt>
                <c:pt idx="1">
                  <c:v>94.282690228160703</c:v>
                </c:pt>
                <c:pt idx="2">
                  <c:v>94.192024872978166</c:v>
                </c:pt>
                <c:pt idx="3">
                  <c:v>94.301471109430935</c:v>
                </c:pt>
                <c:pt idx="4">
                  <c:v>94.52772606485199</c:v>
                </c:pt>
                <c:pt idx="5">
                  <c:v>95.902241758961082</c:v>
                </c:pt>
                <c:pt idx="6">
                  <c:v>93.109000342499186</c:v>
                </c:pt>
                <c:pt idx="7">
                  <c:v>92.757949237924819</c:v>
                </c:pt>
                <c:pt idx="8">
                  <c:v>92.901916242222057</c:v>
                </c:pt>
                <c:pt idx="9">
                  <c:v>93.250362353051372</c:v>
                </c:pt>
                <c:pt idx="10">
                  <c:v>93.45765832335222</c:v>
                </c:pt>
                <c:pt idx="11">
                  <c:v>94.034307087539432</c:v>
                </c:pt>
                <c:pt idx="12">
                  <c:v>97.478798826838656</c:v>
                </c:pt>
                <c:pt idx="13">
                  <c:v>93.158483035592553</c:v>
                </c:pt>
                <c:pt idx="14">
                  <c:v>92.863614054463412</c:v>
                </c:pt>
                <c:pt idx="15">
                  <c:v>92.910106067200189</c:v>
                </c:pt>
                <c:pt idx="16">
                  <c:v>93.311657188706533</c:v>
                </c:pt>
                <c:pt idx="17">
                  <c:v>93.765866643229998</c:v>
                </c:pt>
                <c:pt idx="18">
                  <c:v>94.121807012575417</c:v>
                </c:pt>
                <c:pt idx="19">
                  <c:v>94.453031218073008</c:v>
                </c:pt>
                <c:pt idx="20">
                  <c:v>94.308457916456632</c:v>
                </c:pt>
                <c:pt idx="21">
                  <c:v>93.503753506498114</c:v>
                </c:pt>
                <c:pt idx="22">
                  <c:v>93.561958400094525</c:v>
                </c:pt>
                <c:pt idx="23">
                  <c:v>93.82578390979829</c:v>
                </c:pt>
                <c:pt idx="24">
                  <c:v>94.299051611144165</c:v>
                </c:pt>
                <c:pt idx="25">
                  <c:v>94.700255316692804</c:v>
                </c:pt>
                <c:pt idx="26">
                  <c:v>95.284944278758218</c:v>
                </c:pt>
                <c:pt idx="27">
                  <c:v>95.577754205504405</c:v>
                </c:pt>
                <c:pt idx="28">
                  <c:v>100.01368392112155</c:v>
                </c:pt>
                <c:pt idx="29">
                  <c:v>94.675091957856338</c:v>
                </c:pt>
                <c:pt idx="30">
                  <c:v>94.491147928935732</c:v>
                </c:pt>
                <c:pt idx="31">
                  <c:v>95.004864773928119</c:v>
                </c:pt>
                <c:pt idx="32">
                  <c:v>95.101136530318229</c:v>
                </c:pt>
                <c:pt idx="33">
                  <c:v>95.810994498857895</c:v>
                </c:pt>
                <c:pt idx="34">
                  <c:v>95.891632537151509</c:v>
                </c:pt>
                <c:pt idx="35">
                  <c:v>96.460340365162708</c:v>
                </c:pt>
                <c:pt idx="36">
                  <c:v>96.996490354852298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00-DA43-BE14-73B1F80FF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01184"/>
        <c:axId val="375370240"/>
      </c:lineChart>
      <c:catAx>
        <c:axId val="38390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75370240"/>
        <c:crosses val="autoZero"/>
        <c:auto val="1"/>
        <c:lblAlgn val="ctr"/>
        <c:lblOffset val="100"/>
        <c:noMultiLvlLbl val="0"/>
      </c:catAx>
      <c:valAx>
        <c:axId val="37537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901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Neg_43!$L$5:$L$41</c:f>
              <c:numCache>
                <c:formatCode>0.0_ </c:formatCode>
                <c:ptCount val="37"/>
                <c:pt idx="0">
                  <c:v>3.8524645164669762</c:v>
                </c:pt>
                <c:pt idx="1">
                  <c:v>3.8524645164669762</c:v>
                </c:pt>
                <c:pt idx="2">
                  <c:v>3.8524645164669762</c:v>
                </c:pt>
                <c:pt idx="3">
                  <c:v>3.8524645164669762</c:v>
                </c:pt>
                <c:pt idx="4">
                  <c:v>3.8524645164669762</c:v>
                </c:pt>
                <c:pt idx="5">
                  <c:v>3.8524645164669762</c:v>
                </c:pt>
                <c:pt idx="6">
                  <c:v>3.8524645164669762</c:v>
                </c:pt>
                <c:pt idx="7">
                  <c:v>3.8524645164669762</c:v>
                </c:pt>
                <c:pt idx="8">
                  <c:v>3.8524645164669762</c:v>
                </c:pt>
                <c:pt idx="9">
                  <c:v>3.8524645164669762</c:v>
                </c:pt>
                <c:pt idx="10">
                  <c:v>3.8524645164669762</c:v>
                </c:pt>
                <c:pt idx="11">
                  <c:v>3.8524645164669762</c:v>
                </c:pt>
                <c:pt idx="12">
                  <c:v>3.8524645164669762</c:v>
                </c:pt>
                <c:pt idx="13">
                  <c:v>3.8524645164669762</c:v>
                </c:pt>
                <c:pt idx="14">
                  <c:v>3.8524645164669762</c:v>
                </c:pt>
                <c:pt idx="15">
                  <c:v>3.8524645164669762</c:v>
                </c:pt>
                <c:pt idx="16">
                  <c:v>3.8524645164669762</c:v>
                </c:pt>
                <c:pt idx="17">
                  <c:v>3.8524645164669762</c:v>
                </c:pt>
                <c:pt idx="18">
                  <c:v>3.8524645164669762</c:v>
                </c:pt>
                <c:pt idx="19">
                  <c:v>3.8524645164669762</c:v>
                </c:pt>
                <c:pt idx="20">
                  <c:v>3.8524645164669762</c:v>
                </c:pt>
                <c:pt idx="21">
                  <c:v>3.8524645164669762</c:v>
                </c:pt>
                <c:pt idx="22">
                  <c:v>3.8524645164669762</c:v>
                </c:pt>
                <c:pt idx="23">
                  <c:v>3.8524645164669762</c:v>
                </c:pt>
                <c:pt idx="24">
                  <c:v>3.8524645164669762</c:v>
                </c:pt>
                <c:pt idx="25">
                  <c:v>3.8524645164669762</c:v>
                </c:pt>
                <c:pt idx="26">
                  <c:v>3.8524645164669762</c:v>
                </c:pt>
                <c:pt idx="27">
                  <c:v>3.8524645164669762</c:v>
                </c:pt>
                <c:pt idx="28">
                  <c:v>3.8524645164669762</c:v>
                </c:pt>
                <c:pt idx="29">
                  <c:v>3.8524645164669762</c:v>
                </c:pt>
                <c:pt idx="30">
                  <c:v>3.8524645164669762</c:v>
                </c:pt>
                <c:pt idx="31">
                  <c:v>3.8524645164669762</c:v>
                </c:pt>
                <c:pt idx="32">
                  <c:v>3.8524645164669762</c:v>
                </c:pt>
                <c:pt idx="33">
                  <c:v>3.8524645164669762</c:v>
                </c:pt>
                <c:pt idx="34">
                  <c:v>3.8524645164669762</c:v>
                </c:pt>
                <c:pt idx="35">
                  <c:v>3.8524645164669762</c:v>
                </c:pt>
                <c:pt idx="36">
                  <c:v>3.8524645164669762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C6-0E49-AF70-918524C13A7B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Neg_43!$G$5:$G$41</c:f>
              <c:numCache>
                <c:formatCode>_(* #,##0.0_);_(* \(#,##0.0\);_(* "-"??_);_(@_)</c:formatCode>
                <c:ptCount val="37"/>
                <c:pt idx="0">
                  <c:v>12.360421353028176</c:v>
                </c:pt>
                <c:pt idx="1">
                  <c:v>12.360421353028176</c:v>
                </c:pt>
                <c:pt idx="2">
                  <c:v>12.360421353028176</c:v>
                </c:pt>
                <c:pt idx="3">
                  <c:v>12.360421353028176</c:v>
                </c:pt>
                <c:pt idx="4">
                  <c:v>12.360421353028176</c:v>
                </c:pt>
                <c:pt idx="5">
                  <c:v>12.360421353028176</c:v>
                </c:pt>
                <c:pt idx="6">
                  <c:v>12.360421353028176</c:v>
                </c:pt>
                <c:pt idx="7">
                  <c:v>12.360421353028176</c:v>
                </c:pt>
                <c:pt idx="8">
                  <c:v>12.360421353028176</c:v>
                </c:pt>
                <c:pt idx="9">
                  <c:v>12.360421353028176</c:v>
                </c:pt>
                <c:pt idx="10">
                  <c:v>12.360421353028176</c:v>
                </c:pt>
                <c:pt idx="11">
                  <c:v>12.360421353028176</c:v>
                </c:pt>
                <c:pt idx="12">
                  <c:v>12.360421353028176</c:v>
                </c:pt>
                <c:pt idx="13">
                  <c:v>12.360421353028176</c:v>
                </c:pt>
                <c:pt idx="14">
                  <c:v>12.360421353028176</c:v>
                </c:pt>
                <c:pt idx="15">
                  <c:v>12.360421353028176</c:v>
                </c:pt>
                <c:pt idx="16">
                  <c:v>12.360421353028176</c:v>
                </c:pt>
                <c:pt idx="17">
                  <c:v>12.360421353028176</c:v>
                </c:pt>
                <c:pt idx="18">
                  <c:v>12.360421353028176</c:v>
                </c:pt>
                <c:pt idx="19">
                  <c:v>12.360421353028176</c:v>
                </c:pt>
                <c:pt idx="20">
                  <c:v>12.360421353028176</c:v>
                </c:pt>
                <c:pt idx="21">
                  <c:v>12.360421353028176</c:v>
                </c:pt>
                <c:pt idx="22">
                  <c:v>12.360421353028176</c:v>
                </c:pt>
                <c:pt idx="23">
                  <c:v>12.360421353028176</c:v>
                </c:pt>
                <c:pt idx="24">
                  <c:v>12.360421353028176</c:v>
                </c:pt>
                <c:pt idx="25">
                  <c:v>12.360421353028176</c:v>
                </c:pt>
                <c:pt idx="26">
                  <c:v>12.360421353028176</c:v>
                </c:pt>
                <c:pt idx="27">
                  <c:v>12.360421353028176</c:v>
                </c:pt>
                <c:pt idx="28">
                  <c:v>12.360421353028176</c:v>
                </c:pt>
                <c:pt idx="29">
                  <c:v>12.360421353028176</c:v>
                </c:pt>
                <c:pt idx="30">
                  <c:v>12.360421353028176</c:v>
                </c:pt>
                <c:pt idx="31">
                  <c:v>12.360421353028176</c:v>
                </c:pt>
                <c:pt idx="32">
                  <c:v>12.360421353028176</c:v>
                </c:pt>
                <c:pt idx="33">
                  <c:v>12.360421353028176</c:v>
                </c:pt>
                <c:pt idx="34">
                  <c:v>12.360421353028176</c:v>
                </c:pt>
                <c:pt idx="35">
                  <c:v>12.360421353028176</c:v>
                </c:pt>
                <c:pt idx="36">
                  <c:v>12.360421353028176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C6-0E49-AF70-918524C13A7B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Neg_43!$H$5:$H$41</c:f>
              <c:numCache>
                <c:formatCode>_(* #,##0.0_);_(* \(#,##0.0\);_(* "-"??_);_(@_)</c:formatCode>
                <c:ptCount val="37"/>
                <c:pt idx="0">
                  <c:v>45.62721401140616</c:v>
                </c:pt>
                <c:pt idx="1">
                  <c:v>45.62721401140616</c:v>
                </c:pt>
                <c:pt idx="2">
                  <c:v>45.62721401140616</c:v>
                </c:pt>
                <c:pt idx="3">
                  <c:v>45.62721401140616</c:v>
                </c:pt>
                <c:pt idx="4">
                  <c:v>45.62721401140616</c:v>
                </c:pt>
                <c:pt idx="5">
                  <c:v>47.317110826643422</c:v>
                </c:pt>
                <c:pt idx="6">
                  <c:v>47.317110826643422</c:v>
                </c:pt>
                <c:pt idx="7">
                  <c:v>47.317110826643422</c:v>
                </c:pt>
                <c:pt idx="8">
                  <c:v>47.317110826643422</c:v>
                </c:pt>
                <c:pt idx="9">
                  <c:v>47.317110826643422</c:v>
                </c:pt>
                <c:pt idx="10">
                  <c:v>47.317110826643422</c:v>
                </c:pt>
                <c:pt idx="11">
                  <c:v>47.317110826643422</c:v>
                </c:pt>
                <c:pt idx="12">
                  <c:v>49.007007641880691</c:v>
                </c:pt>
                <c:pt idx="13">
                  <c:v>49.007007641880691</c:v>
                </c:pt>
                <c:pt idx="14">
                  <c:v>49.007007641880691</c:v>
                </c:pt>
                <c:pt idx="15">
                  <c:v>49.007007641880691</c:v>
                </c:pt>
                <c:pt idx="16">
                  <c:v>49.007007641880691</c:v>
                </c:pt>
                <c:pt idx="17">
                  <c:v>49.007007641880691</c:v>
                </c:pt>
                <c:pt idx="18">
                  <c:v>49.007007641880691</c:v>
                </c:pt>
                <c:pt idx="19">
                  <c:v>49.007007641880691</c:v>
                </c:pt>
                <c:pt idx="20">
                  <c:v>50.696904457117959</c:v>
                </c:pt>
                <c:pt idx="21">
                  <c:v>50.696904457117959</c:v>
                </c:pt>
                <c:pt idx="22">
                  <c:v>50.696904457117959</c:v>
                </c:pt>
                <c:pt idx="23">
                  <c:v>50.696904457117959</c:v>
                </c:pt>
                <c:pt idx="24">
                  <c:v>50.696904457117959</c:v>
                </c:pt>
                <c:pt idx="25">
                  <c:v>50.696904457117959</c:v>
                </c:pt>
                <c:pt idx="26">
                  <c:v>50.696904457117959</c:v>
                </c:pt>
                <c:pt idx="27">
                  <c:v>50.696904457117959</c:v>
                </c:pt>
                <c:pt idx="28">
                  <c:v>52.386801272355221</c:v>
                </c:pt>
                <c:pt idx="29">
                  <c:v>52.386801272355221</c:v>
                </c:pt>
                <c:pt idx="30">
                  <c:v>52.386801272355221</c:v>
                </c:pt>
                <c:pt idx="31">
                  <c:v>52.386801272355221</c:v>
                </c:pt>
                <c:pt idx="32">
                  <c:v>52.386801272355221</c:v>
                </c:pt>
                <c:pt idx="33">
                  <c:v>52.386801272355221</c:v>
                </c:pt>
                <c:pt idx="34">
                  <c:v>52.386801272355221</c:v>
                </c:pt>
                <c:pt idx="35">
                  <c:v>52.386801272355221</c:v>
                </c:pt>
                <c:pt idx="36">
                  <c:v>52.386801272355221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5C6-0E49-AF70-918524C13A7B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Neg_43!$J$5:$J$41</c:f>
              <c:numCache>
                <c:formatCode>_(* #,##0.0_);_(* \(#,##0.0\);_(* "-"??_);_(@_)</c:formatCode>
                <c:ptCount val="37"/>
                <c:pt idx="0">
                  <c:v>2.5182136893435194</c:v>
                </c:pt>
                <c:pt idx="1">
                  <c:v>2.4646346746766361</c:v>
                </c:pt>
                <c:pt idx="2">
                  <c:v>2.4110556600097528</c:v>
                </c:pt>
                <c:pt idx="3">
                  <c:v>2.3574766453428695</c:v>
                </c:pt>
                <c:pt idx="4">
                  <c:v>2.3574766453428695</c:v>
                </c:pt>
                <c:pt idx="5">
                  <c:v>2.3574766453428695</c:v>
                </c:pt>
                <c:pt idx="6">
                  <c:v>2.2503186160091024</c:v>
                </c:pt>
                <c:pt idx="7">
                  <c:v>2.2503186160091024</c:v>
                </c:pt>
                <c:pt idx="8">
                  <c:v>2.2503186160091024</c:v>
                </c:pt>
                <c:pt idx="9">
                  <c:v>2.2503186160091024</c:v>
                </c:pt>
                <c:pt idx="10">
                  <c:v>2.2503186160091024</c:v>
                </c:pt>
                <c:pt idx="11">
                  <c:v>2.2503186160091024</c:v>
                </c:pt>
                <c:pt idx="12">
                  <c:v>2.4646346746766361</c:v>
                </c:pt>
                <c:pt idx="13">
                  <c:v>2.1967396013422187</c:v>
                </c:pt>
                <c:pt idx="14">
                  <c:v>2.1967396013422187</c:v>
                </c:pt>
                <c:pt idx="15">
                  <c:v>2.1967396013422187</c:v>
                </c:pt>
                <c:pt idx="16">
                  <c:v>2.1967396013422187</c:v>
                </c:pt>
                <c:pt idx="17">
                  <c:v>2.1967396013422187</c:v>
                </c:pt>
                <c:pt idx="18">
                  <c:v>2.1967396013422187</c:v>
                </c:pt>
                <c:pt idx="19">
                  <c:v>2.1967396013422187</c:v>
                </c:pt>
                <c:pt idx="20">
                  <c:v>2.1967396013422187</c:v>
                </c:pt>
                <c:pt idx="21">
                  <c:v>2.1431605866753358</c:v>
                </c:pt>
                <c:pt idx="22">
                  <c:v>2.1431605866753358</c:v>
                </c:pt>
                <c:pt idx="23">
                  <c:v>2.1431605866753358</c:v>
                </c:pt>
                <c:pt idx="24">
                  <c:v>2.1431605866753358</c:v>
                </c:pt>
                <c:pt idx="25">
                  <c:v>2.1431605866753358</c:v>
                </c:pt>
                <c:pt idx="26">
                  <c:v>2.1431605866753358</c:v>
                </c:pt>
                <c:pt idx="27">
                  <c:v>2.1431605866753358</c:v>
                </c:pt>
                <c:pt idx="28">
                  <c:v>2.3574766453428695</c:v>
                </c:pt>
                <c:pt idx="29">
                  <c:v>2.0895815720084521</c:v>
                </c:pt>
                <c:pt idx="30">
                  <c:v>2.0895815720084521</c:v>
                </c:pt>
                <c:pt idx="31">
                  <c:v>2.0895815720084521</c:v>
                </c:pt>
                <c:pt idx="32">
                  <c:v>2.0895815720084521</c:v>
                </c:pt>
                <c:pt idx="33">
                  <c:v>2.0895815720084521</c:v>
                </c:pt>
                <c:pt idx="34">
                  <c:v>2.0895815720084521</c:v>
                </c:pt>
                <c:pt idx="35">
                  <c:v>2.0895815720084521</c:v>
                </c:pt>
                <c:pt idx="36">
                  <c:v>2.0895815720084521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5C6-0E49-AF70-918524C13A7B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Neg_43!$I$5:$I$41</c:f>
              <c:numCache>
                <c:formatCode>_(* #,##0.0_);_(* \(#,##0.0\);_(* "-"??_);_(@_)</c:formatCode>
                <c:ptCount val="37"/>
                <c:pt idx="0">
                  <c:v>2.8506242570194043</c:v>
                </c:pt>
                <c:pt idx="1">
                  <c:v>3.3257282998559714</c:v>
                </c:pt>
                <c:pt idx="2">
                  <c:v>3.8008323426925386</c:v>
                </c:pt>
                <c:pt idx="3">
                  <c:v>4.275936385529107</c:v>
                </c:pt>
                <c:pt idx="4">
                  <c:v>4.7510404283656733</c:v>
                </c:pt>
                <c:pt idx="5">
                  <c:v>1.9004161713462693</c:v>
                </c:pt>
                <c:pt idx="6">
                  <c:v>2.3755202141828367</c:v>
                </c:pt>
                <c:pt idx="7">
                  <c:v>2.8506242570194043</c:v>
                </c:pt>
                <c:pt idx="8">
                  <c:v>3.3257282998559714</c:v>
                </c:pt>
                <c:pt idx="9">
                  <c:v>3.8008323426925386</c:v>
                </c:pt>
                <c:pt idx="10">
                  <c:v>4.275936385529107</c:v>
                </c:pt>
                <c:pt idx="11">
                  <c:v>4.7510404283656733</c:v>
                </c:pt>
                <c:pt idx="12">
                  <c:v>1.4253121285097021</c:v>
                </c:pt>
                <c:pt idx="13">
                  <c:v>1.9004161713462693</c:v>
                </c:pt>
                <c:pt idx="14">
                  <c:v>2.3755202141828367</c:v>
                </c:pt>
                <c:pt idx="15">
                  <c:v>2.8506242570194043</c:v>
                </c:pt>
                <c:pt idx="16">
                  <c:v>3.3257282998559714</c:v>
                </c:pt>
                <c:pt idx="17">
                  <c:v>3.8008323426925386</c:v>
                </c:pt>
                <c:pt idx="18">
                  <c:v>4.275936385529107</c:v>
                </c:pt>
                <c:pt idx="19">
                  <c:v>4.7510404283656733</c:v>
                </c:pt>
                <c:pt idx="20">
                  <c:v>1.4253121285097021</c:v>
                </c:pt>
                <c:pt idx="21">
                  <c:v>1.9004161713462693</c:v>
                </c:pt>
                <c:pt idx="22">
                  <c:v>2.3755202141828367</c:v>
                </c:pt>
                <c:pt idx="23">
                  <c:v>2.8506242570194043</c:v>
                </c:pt>
                <c:pt idx="24">
                  <c:v>3.3257282998559714</c:v>
                </c:pt>
                <c:pt idx="25">
                  <c:v>3.8008323426925386</c:v>
                </c:pt>
                <c:pt idx="26">
                  <c:v>4.275936385529107</c:v>
                </c:pt>
                <c:pt idx="27">
                  <c:v>4.7510404283656733</c:v>
                </c:pt>
                <c:pt idx="28">
                  <c:v>0.95020808567313464</c:v>
                </c:pt>
                <c:pt idx="29">
                  <c:v>1.4253121285097021</c:v>
                </c:pt>
                <c:pt idx="30">
                  <c:v>1.9004161713462693</c:v>
                </c:pt>
                <c:pt idx="31">
                  <c:v>2.3755202141828367</c:v>
                </c:pt>
                <c:pt idx="32">
                  <c:v>2.8506242570194043</c:v>
                </c:pt>
                <c:pt idx="33">
                  <c:v>3.3257282998559714</c:v>
                </c:pt>
                <c:pt idx="34">
                  <c:v>3.8008323426925386</c:v>
                </c:pt>
                <c:pt idx="35">
                  <c:v>4.275936385529107</c:v>
                </c:pt>
                <c:pt idx="36">
                  <c:v>4.7510404283656733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5C6-0E49-AF70-918524C13A7B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Neg_43!$K$5:$K$41</c:f>
              <c:numCache>
                <c:formatCode>_(* #,##0.0_);_(* \(#,##0.0\);_(* "-"??_);_(@_)</c:formatCode>
                <c:ptCount val="37"/>
                <c:pt idx="0">
                  <c:v>4.4870937379009144</c:v>
                </c:pt>
                <c:pt idx="1">
                  <c:v>4.4870937379009144</c:v>
                </c:pt>
                <c:pt idx="2">
                  <c:v>4.4870937379009144</c:v>
                </c:pt>
                <c:pt idx="3">
                  <c:v>4.4870937379009144</c:v>
                </c:pt>
                <c:pt idx="4">
                  <c:v>4.4870937379009144</c:v>
                </c:pt>
                <c:pt idx="5">
                  <c:v>4.4870937379009144</c:v>
                </c:pt>
                <c:pt idx="6">
                  <c:v>4.4870937379009144</c:v>
                </c:pt>
                <c:pt idx="7">
                  <c:v>4.4870937379009144</c:v>
                </c:pt>
                <c:pt idx="8">
                  <c:v>4.4870937379009144</c:v>
                </c:pt>
                <c:pt idx="9">
                  <c:v>4.4870937379009144</c:v>
                </c:pt>
                <c:pt idx="10">
                  <c:v>4.4870937379009144</c:v>
                </c:pt>
                <c:pt idx="11">
                  <c:v>4.4870937379009144</c:v>
                </c:pt>
                <c:pt idx="12">
                  <c:v>4.4870937379009144</c:v>
                </c:pt>
                <c:pt idx="13">
                  <c:v>4.4870937379009144</c:v>
                </c:pt>
                <c:pt idx="14">
                  <c:v>4.4870937379009144</c:v>
                </c:pt>
                <c:pt idx="15">
                  <c:v>4.4870937379009144</c:v>
                </c:pt>
                <c:pt idx="16">
                  <c:v>4.4870937379009144</c:v>
                </c:pt>
                <c:pt idx="17">
                  <c:v>4.4870937379009144</c:v>
                </c:pt>
                <c:pt idx="18">
                  <c:v>4.4870937379009144</c:v>
                </c:pt>
                <c:pt idx="19">
                  <c:v>4.4870937379009144</c:v>
                </c:pt>
                <c:pt idx="20">
                  <c:v>4.4870937379009144</c:v>
                </c:pt>
                <c:pt idx="21">
                  <c:v>4.4870937379009144</c:v>
                </c:pt>
                <c:pt idx="22">
                  <c:v>4.4870937379009144</c:v>
                </c:pt>
                <c:pt idx="23">
                  <c:v>4.4870937379009144</c:v>
                </c:pt>
                <c:pt idx="24">
                  <c:v>4.4870937379009144</c:v>
                </c:pt>
                <c:pt idx="25">
                  <c:v>4.4870937379009144</c:v>
                </c:pt>
                <c:pt idx="26">
                  <c:v>4.4870937379009144</c:v>
                </c:pt>
                <c:pt idx="27">
                  <c:v>4.4870937379009144</c:v>
                </c:pt>
                <c:pt idx="28">
                  <c:v>4.4870937379009144</c:v>
                </c:pt>
                <c:pt idx="29">
                  <c:v>4.4870937379009144</c:v>
                </c:pt>
                <c:pt idx="30">
                  <c:v>4.4870937379009144</c:v>
                </c:pt>
                <c:pt idx="31">
                  <c:v>4.4870937379009144</c:v>
                </c:pt>
                <c:pt idx="32">
                  <c:v>4.4870937379009144</c:v>
                </c:pt>
                <c:pt idx="33">
                  <c:v>4.4870937379009144</c:v>
                </c:pt>
                <c:pt idx="34">
                  <c:v>4.4870937379009144</c:v>
                </c:pt>
                <c:pt idx="35">
                  <c:v>4.4870937379009144</c:v>
                </c:pt>
                <c:pt idx="36">
                  <c:v>4.4870937379009144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5C6-0E49-AF70-918524C13A7B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Neg_43!$P$5:$P$41</c:f>
              <c:numCache>
                <c:formatCode>0.0</c:formatCode>
                <c:ptCount val="37"/>
                <c:pt idx="0">
                  <c:v>5.5904146014630776</c:v>
                </c:pt>
                <c:pt idx="1">
                  <c:v>5.5904146014630776</c:v>
                </c:pt>
                <c:pt idx="2">
                  <c:v>5.5904146014630776</c:v>
                </c:pt>
                <c:pt idx="3">
                  <c:v>5.5904146014630776</c:v>
                </c:pt>
                <c:pt idx="4">
                  <c:v>5.5904146014630776</c:v>
                </c:pt>
                <c:pt idx="5">
                  <c:v>5.5904146014630776</c:v>
                </c:pt>
                <c:pt idx="6">
                  <c:v>5.5904146014630776</c:v>
                </c:pt>
                <c:pt idx="7">
                  <c:v>5.5904146014630776</c:v>
                </c:pt>
                <c:pt idx="8">
                  <c:v>5.5904146014630776</c:v>
                </c:pt>
                <c:pt idx="9">
                  <c:v>5.5904146014630776</c:v>
                </c:pt>
                <c:pt idx="10">
                  <c:v>5.5904146014630776</c:v>
                </c:pt>
                <c:pt idx="11">
                  <c:v>5.5904146014630776</c:v>
                </c:pt>
                <c:pt idx="12">
                  <c:v>5.5904146014630776</c:v>
                </c:pt>
                <c:pt idx="13">
                  <c:v>5.5904146014630776</c:v>
                </c:pt>
                <c:pt idx="14">
                  <c:v>5.5904146014630776</c:v>
                </c:pt>
                <c:pt idx="15">
                  <c:v>5.5904146014630776</c:v>
                </c:pt>
                <c:pt idx="16">
                  <c:v>5.5904146014630776</c:v>
                </c:pt>
                <c:pt idx="17">
                  <c:v>5.5904146014630776</c:v>
                </c:pt>
                <c:pt idx="18">
                  <c:v>5.5904146014630776</c:v>
                </c:pt>
                <c:pt idx="19">
                  <c:v>5.5904146014630776</c:v>
                </c:pt>
                <c:pt idx="20">
                  <c:v>5.5904146014630776</c:v>
                </c:pt>
                <c:pt idx="21">
                  <c:v>5.5904146014630776</c:v>
                </c:pt>
                <c:pt idx="22">
                  <c:v>5.5904146014630776</c:v>
                </c:pt>
                <c:pt idx="23">
                  <c:v>5.5904146014630776</c:v>
                </c:pt>
                <c:pt idx="24">
                  <c:v>5.5904146014630776</c:v>
                </c:pt>
                <c:pt idx="25">
                  <c:v>5.5904146014630776</c:v>
                </c:pt>
                <c:pt idx="26">
                  <c:v>5.5904146014630776</c:v>
                </c:pt>
                <c:pt idx="27">
                  <c:v>5.5904146014630776</c:v>
                </c:pt>
                <c:pt idx="28">
                  <c:v>5.5904146014630776</c:v>
                </c:pt>
                <c:pt idx="29">
                  <c:v>5.5904146014630776</c:v>
                </c:pt>
                <c:pt idx="30">
                  <c:v>5.5904146014630776</c:v>
                </c:pt>
                <c:pt idx="31">
                  <c:v>5.5904146014630776</c:v>
                </c:pt>
                <c:pt idx="32">
                  <c:v>5.5904146014630776</c:v>
                </c:pt>
                <c:pt idx="33">
                  <c:v>5.5904146014630776</c:v>
                </c:pt>
                <c:pt idx="34">
                  <c:v>5.5904146014630776</c:v>
                </c:pt>
                <c:pt idx="35">
                  <c:v>5.5904146014630776</c:v>
                </c:pt>
                <c:pt idx="36">
                  <c:v>5.5904146014630776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5C6-0E49-AF70-918524C13A7B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Neg_43!$S$5:$S$41</c:f>
              <c:strCache>
                <c:ptCount val="37"/>
                <c:pt idx="0">
                  <c:v> (270,47,60,100,109,0.35) </c:v>
                </c:pt>
                <c:pt idx="1">
                  <c:v> (270,46,70,100,92,0.36) </c:v>
                </c:pt>
                <c:pt idx="2">
                  <c:v> (270,45,80,100,87,0.37) </c:v>
                </c:pt>
                <c:pt idx="3">
                  <c:v> (270,44,90,100,84,0.38) </c:v>
                </c:pt>
                <c:pt idx="4">
                  <c:v> (270,44,100,100,82,0.38) </c:v>
                </c:pt>
                <c:pt idx="5">
                  <c:v> (280,44,40,100,108,0.34) </c:v>
                </c:pt>
                <c:pt idx="6">
                  <c:v> (280,42,50,100,79,0.38) </c:v>
                </c:pt>
                <c:pt idx="7">
                  <c:v> (280,42,60,100,70,0.4) </c:v>
                </c:pt>
                <c:pt idx="8">
                  <c:v> (280,42,70,100,66,0.42) </c:v>
                </c:pt>
                <c:pt idx="9">
                  <c:v> (280,42,80,100,64,0.43) </c:v>
                </c:pt>
                <c:pt idx="10">
                  <c:v> (280,42,90,100,62,0.43) </c:v>
                </c:pt>
                <c:pt idx="11">
                  <c:v> (280,42,100,100,62,0.44) </c:v>
                </c:pt>
                <c:pt idx="12">
                  <c:v> (290,46,30,100,117,0.32) </c:v>
                </c:pt>
                <c:pt idx="13">
                  <c:v> (290,41,40,100,71,0.39) </c:v>
                </c:pt>
                <c:pt idx="14">
                  <c:v> (290,41,50,100,61,0.43) </c:v>
                </c:pt>
                <c:pt idx="15">
                  <c:v> (290,41,60,100,56,0.45) </c:v>
                </c:pt>
                <c:pt idx="16">
                  <c:v> (290,41,70,100,54,0.47) </c:v>
                </c:pt>
                <c:pt idx="17">
                  <c:v> (290,41,80,100,53,0.47) </c:v>
                </c:pt>
                <c:pt idx="18">
                  <c:v> (290,41,90,100,52,0.48) </c:v>
                </c:pt>
                <c:pt idx="19">
                  <c:v> (290,41,100,100,51,0.48) </c:v>
                </c:pt>
                <c:pt idx="20">
                  <c:v> (300,41,30,100,74,0.37) </c:v>
                </c:pt>
                <c:pt idx="21">
                  <c:v> (300,40,40,100,57,0.44) </c:v>
                </c:pt>
                <c:pt idx="22">
                  <c:v> (300,40,50,100,51,0.48) </c:v>
                </c:pt>
                <c:pt idx="23">
                  <c:v> (300,40,60,100,48,0.5) </c:v>
                </c:pt>
                <c:pt idx="24">
                  <c:v> (300,40,70,100,47,0.51) </c:v>
                </c:pt>
                <c:pt idx="25">
                  <c:v> (300,40,80,100,46,0.52) </c:v>
                </c:pt>
                <c:pt idx="26">
                  <c:v> (300,40,90,100,46,0.52) </c:v>
                </c:pt>
                <c:pt idx="27">
                  <c:v> (300,40,100,100,45,0.52) </c:v>
                </c:pt>
                <c:pt idx="28">
                  <c:v> (310,44,20,100,126,0.29) </c:v>
                </c:pt>
                <c:pt idx="29">
                  <c:v> (310,39,30,100,59,0.43) </c:v>
                </c:pt>
                <c:pt idx="30">
                  <c:v> (310,39,40,100,49,0.49) </c:v>
                </c:pt>
                <c:pt idx="31">
                  <c:v> (310,39,50,100,46,0.52) </c:v>
                </c:pt>
                <c:pt idx="32">
                  <c:v> (310,39,60,100,43,0.54) </c:v>
                </c:pt>
                <c:pt idx="33">
                  <c:v> (310,39,70,100,43,0.55) </c:v>
                </c:pt>
                <c:pt idx="34">
                  <c:v> (310,39,80,100,41,0.56) </c:v>
                </c:pt>
                <c:pt idx="35">
                  <c:v> (310,39,90,100,41,0.56) </c:v>
                </c:pt>
                <c:pt idx="36">
                  <c:v> (310,39,100,100,41,0.56) </c:v>
                </c:pt>
              </c:strCache>
            </c:strRef>
          </c:cat>
          <c:val>
            <c:numRef>
              <c:f>Neg_43!$O$5:$O$41</c:f>
              <c:numCache>
                <c:formatCode>_(* #,##0.00_);_(* \(#,##0.00\);_(* "-"??_);_(@_)</c:formatCode>
                <c:ptCount val="37"/>
                <c:pt idx="0">
                  <c:v>18.853023253109196</c:v>
                </c:pt>
                <c:pt idx="1">
                  <c:v>16.574719033362765</c:v>
                </c:pt>
                <c:pt idx="2">
                  <c:v>16.062528650010556</c:v>
                </c:pt>
                <c:pt idx="3">
                  <c:v>15.750449858293631</c:v>
                </c:pt>
                <c:pt idx="4">
                  <c:v>15.501600770878131</c:v>
                </c:pt>
                <c:pt idx="5">
                  <c:v>18.036843906769366</c:v>
                </c:pt>
                <c:pt idx="6">
                  <c:v>14.87565647680467</c:v>
                </c:pt>
                <c:pt idx="7">
                  <c:v>14.049501329393737</c:v>
                </c:pt>
                <c:pt idx="8">
                  <c:v>13.718364290854401</c:v>
                </c:pt>
                <c:pt idx="9">
                  <c:v>13.591706358847148</c:v>
                </c:pt>
                <c:pt idx="10">
                  <c:v>13.32389828631144</c:v>
                </c:pt>
                <c:pt idx="11">
                  <c:v>13.425443007662084</c:v>
                </c:pt>
                <c:pt idx="12">
                  <c:v>18.291450172912469</c:v>
                </c:pt>
                <c:pt idx="13">
                  <c:v>13.763925412164218</c:v>
                </c:pt>
                <c:pt idx="14">
                  <c:v>12.993952388198506</c:v>
                </c:pt>
                <c:pt idx="15">
                  <c:v>12.565340358098728</c:v>
                </c:pt>
                <c:pt idx="16">
                  <c:v>12.491787436768503</c:v>
                </c:pt>
                <c:pt idx="17">
                  <c:v>12.470892848455392</c:v>
                </c:pt>
                <c:pt idx="18">
                  <c:v>12.351729174964241</c:v>
                </c:pt>
                <c:pt idx="19">
                  <c:v>12.207849337625282</c:v>
                </c:pt>
                <c:pt idx="20">
                  <c:v>13.699107520627591</c:v>
                </c:pt>
                <c:pt idx="21">
                  <c:v>12.472878082499394</c:v>
                </c:pt>
                <c:pt idx="22">
                  <c:v>12.055978933259221</c:v>
                </c:pt>
                <c:pt idx="23">
                  <c:v>11.844700400126435</c:v>
                </c:pt>
                <c:pt idx="24">
                  <c:v>11.842864058635737</c:v>
                </c:pt>
                <c:pt idx="25">
                  <c:v>11.768963721347804</c:v>
                </c:pt>
                <c:pt idx="26">
                  <c:v>11.87854864057665</c:v>
                </c:pt>
                <c:pt idx="27">
                  <c:v>11.696254524486273</c:v>
                </c:pt>
                <c:pt idx="28">
                  <c:v>18.028803708891157</c:v>
                </c:pt>
                <c:pt idx="29">
                  <c:v>12.483002776123797</c:v>
                </c:pt>
                <c:pt idx="30">
                  <c:v>11.823954704366626</c:v>
                </c:pt>
                <c:pt idx="31">
                  <c:v>11.862567506522444</c:v>
                </c:pt>
                <c:pt idx="32">
                  <c:v>11.483735220075989</c:v>
                </c:pt>
                <c:pt idx="33">
                  <c:v>11.718489145779083</c:v>
                </c:pt>
                <c:pt idx="34">
                  <c:v>11.324023141236124</c:v>
                </c:pt>
                <c:pt idx="35">
                  <c:v>11.417626926410762</c:v>
                </c:pt>
                <c:pt idx="36">
                  <c:v>11.478672873263786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5C6-0E49-AF70-918524C1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3900160"/>
        <c:axId val="375371968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Neg_43!$Q$5:$Q$41</c:f>
              <c:numCache>
                <c:formatCode>_(* #,##0.00_);_(* \(#,##0.00\);_(* "-"??_);_(@_)</c:formatCode>
                <c:ptCount val="37"/>
                <c:pt idx="0">
                  <c:v>96.139469419737438</c:v>
                </c:pt>
                <c:pt idx="1">
                  <c:v>94.282690228160703</c:v>
                </c:pt>
                <c:pt idx="2">
                  <c:v>94.192024872978166</c:v>
                </c:pt>
                <c:pt idx="3">
                  <c:v>94.301471109430935</c:v>
                </c:pt>
                <c:pt idx="4">
                  <c:v>94.52772606485199</c:v>
                </c:pt>
                <c:pt idx="5">
                  <c:v>95.902241758961082</c:v>
                </c:pt>
                <c:pt idx="6">
                  <c:v>93.109000342499186</c:v>
                </c:pt>
                <c:pt idx="7">
                  <c:v>92.757949237924819</c:v>
                </c:pt>
                <c:pt idx="8">
                  <c:v>92.901916242222057</c:v>
                </c:pt>
                <c:pt idx="9">
                  <c:v>93.250362353051372</c:v>
                </c:pt>
                <c:pt idx="10">
                  <c:v>93.45765832335222</c:v>
                </c:pt>
                <c:pt idx="11">
                  <c:v>94.034307087539432</c:v>
                </c:pt>
                <c:pt idx="12">
                  <c:v>97.478798826838656</c:v>
                </c:pt>
                <c:pt idx="13">
                  <c:v>93.158483035592553</c:v>
                </c:pt>
                <c:pt idx="14">
                  <c:v>92.863614054463412</c:v>
                </c:pt>
                <c:pt idx="15">
                  <c:v>92.910106067200189</c:v>
                </c:pt>
                <c:pt idx="16">
                  <c:v>93.311657188706533</c:v>
                </c:pt>
                <c:pt idx="17">
                  <c:v>93.765866643229998</c:v>
                </c:pt>
                <c:pt idx="18">
                  <c:v>94.121807012575417</c:v>
                </c:pt>
                <c:pt idx="19">
                  <c:v>94.453031218073008</c:v>
                </c:pt>
                <c:pt idx="20">
                  <c:v>94.308457916456632</c:v>
                </c:pt>
                <c:pt idx="21">
                  <c:v>93.503753506498114</c:v>
                </c:pt>
                <c:pt idx="22">
                  <c:v>93.561958400094525</c:v>
                </c:pt>
                <c:pt idx="23">
                  <c:v>93.82578390979829</c:v>
                </c:pt>
                <c:pt idx="24">
                  <c:v>94.299051611144165</c:v>
                </c:pt>
                <c:pt idx="25">
                  <c:v>94.700255316692804</c:v>
                </c:pt>
                <c:pt idx="26">
                  <c:v>95.284944278758218</c:v>
                </c:pt>
                <c:pt idx="27">
                  <c:v>95.577754205504405</c:v>
                </c:pt>
                <c:pt idx="28">
                  <c:v>100.01368392112155</c:v>
                </c:pt>
                <c:pt idx="29">
                  <c:v>94.675091957856338</c:v>
                </c:pt>
                <c:pt idx="30">
                  <c:v>94.491147928935732</c:v>
                </c:pt>
                <c:pt idx="31">
                  <c:v>95.004864773928119</c:v>
                </c:pt>
                <c:pt idx="32">
                  <c:v>95.101136530318229</c:v>
                </c:pt>
                <c:pt idx="33">
                  <c:v>95.810994498857895</c:v>
                </c:pt>
                <c:pt idx="34">
                  <c:v>95.891632537151509</c:v>
                </c:pt>
                <c:pt idx="35">
                  <c:v>96.460340365162708</c:v>
                </c:pt>
                <c:pt idx="36">
                  <c:v>96.996490354852298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5C6-0E49-AF70-918524C13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00160"/>
        <c:axId val="375371968"/>
      </c:lineChart>
      <c:catAx>
        <c:axId val="383900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75371968"/>
        <c:crosses val="autoZero"/>
        <c:auto val="1"/>
        <c:lblAlgn val="ctr"/>
        <c:lblOffset val="100"/>
        <c:noMultiLvlLbl val="0"/>
      </c:catAx>
      <c:valAx>
        <c:axId val="37537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9001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Neg_101!$Q$5:$Q$75</c:f>
              <c:numCache>
                <c:formatCode>_(* #,##0.00_);_(* \(#,##0.00\);_(* "-"??_);_(@_)</c:formatCode>
                <c:ptCount val="71"/>
                <c:pt idx="0">
                  <c:v>122.01662292373108</c:v>
                </c:pt>
                <c:pt idx="1">
                  <c:v>120.65655597856214</c:v>
                </c:pt>
                <c:pt idx="2">
                  <c:v>120.15027837976025</c:v>
                </c:pt>
                <c:pt idx="3">
                  <c:v>120.01299623141125</c:v>
                </c:pt>
                <c:pt idx="4">
                  <c:v>120.02913727595448</c:v>
                </c:pt>
                <c:pt idx="5">
                  <c:v>117.55062346042136</c:v>
                </c:pt>
                <c:pt idx="6">
                  <c:v>116.43724229452287</c:v>
                </c:pt>
                <c:pt idx="7">
                  <c:v>116.48866872396253</c:v>
                </c:pt>
                <c:pt idx="8">
                  <c:v>116.63285087789794</c:v>
                </c:pt>
                <c:pt idx="9">
                  <c:v>116.95696900011733</c:v>
                </c:pt>
                <c:pt idx="10">
                  <c:v>117.22342183585958</c:v>
                </c:pt>
                <c:pt idx="11">
                  <c:v>115.83742987029167</c:v>
                </c:pt>
                <c:pt idx="12">
                  <c:v>115.31060487056112</c:v>
                </c:pt>
                <c:pt idx="13">
                  <c:v>115.42234786401711</c:v>
                </c:pt>
                <c:pt idx="14">
                  <c:v>115.34507036467984</c:v>
                </c:pt>
                <c:pt idx="15">
                  <c:v>115.70010706173116</c:v>
                </c:pt>
                <c:pt idx="16">
                  <c:v>116.26170947058505</c:v>
                </c:pt>
                <c:pt idx="17">
                  <c:v>116.51385320549083</c:v>
                </c:pt>
                <c:pt idx="18">
                  <c:v>116.01748237938976</c:v>
                </c:pt>
                <c:pt idx="19">
                  <c:v>115.00442087684876</c:v>
                </c:pt>
                <c:pt idx="20">
                  <c:v>115.09093774430698</c:v>
                </c:pt>
                <c:pt idx="21">
                  <c:v>115.07261218084088</c:v>
                </c:pt>
                <c:pt idx="22">
                  <c:v>115.50180667023805</c:v>
                </c:pt>
                <c:pt idx="23">
                  <c:v>115.78861196003109</c:v>
                </c:pt>
                <c:pt idx="24">
                  <c:v>116.04169143995071</c:v>
                </c:pt>
                <c:pt idx="25">
                  <c:v>116.56605899512934</c:v>
                </c:pt>
                <c:pt idx="26">
                  <c:v>118.56270784217708</c:v>
                </c:pt>
                <c:pt idx="27">
                  <c:v>115.61433125167416</c:v>
                </c:pt>
                <c:pt idx="28">
                  <c:v>115.36125065786391</c:v>
                </c:pt>
                <c:pt idx="29">
                  <c:v>115.24525670857948</c:v>
                </c:pt>
                <c:pt idx="30">
                  <c:v>115.4688992099391</c:v>
                </c:pt>
                <c:pt idx="31">
                  <c:v>115.817073776889</c:v>
                </c:pt>
                <c:pt idx="32">
                  <c:v>116.38686395461389</c:v>
                </c:pt>
                <c:pt idx="33">
                  <c:v>116.62263215177769</c:v>
                </c:pt>
                <c:pt idx="34">
                  <c:v>117.12637432727652</c:v>
                </c:pt>
                <c:pt idx="35">
                  <c:v>117.40327979641046</c:v>
                </c:pt>
                <c:pt idx="36">
                  <c:v>115.93045557707526</c:v>
                </c:pt>
                <c:pt idx="37">
                  <c:v>115.69573897916139</c:v>
                </c:pt>
                <c:pt idx="38">
                  <c:v>115.79215914801595</c:v>
                </c:pt>
                <c:pt idx="39">
                  <c:v>116.22770890563207</c:v>
                </c:pt>
                <c:pt idx="40">
                  <c:v>116.55790937044135</c:v>
                </c:pt>
                <c:pt idx="41">
                  <c:v>117.09026974761311</c:v>
                </c:pt>
                <c:pt idx="42">
                  <c:v>117.3270516685419</c:v>
                </c:pt>
                <c:pt idx="43">
                  <c:v>117.8280645877504</c:v>
                </c:pt>
                <c:pt idx="44">
                  <c:v>117.26545136949069</c:v>
                </c:pt>
                <c:pt idx="45">
                  <c:v>116.57385726857525</c:v>
                </c:pt>
                <c:pt idx="46">
                  <c:v>116.4534965092263</c:v>
                </c:pt>
                <c:pt idx="47">
                  <c:v>116.32015228781049</c:v>
                </c:pt>
                <c:pt idx="48">
                  <c:v>117.1434903749072</c:v>
                </c:pt>
                <c:pt idx="49">
                  <c:v>117.42893103655504</c:v>
                </c:pt>
                <c:pt idx="50">
                  <c:v>117.9604726368397</c:v>
                </c:pt>
                <c:pt idx="51">
                  <c:v>118.50078684662898</c:v>
                </c:pt>
                <c:pt idx="52">
                  <c:v>118.67389911724187</c:v>
                </c:pt>
                <c:pt idx="53">
                  <c:v>117.67187563623872</c:v>
                </c:pt>
                <c:pt idx="54">
                  <c:v>117.40456392034319</c:v>
                </c:pt>
                <c:pt idx="55">
                  <c:v>117.43368842695328</c:v>
                </c:pt>
                <c:pt idx="56">
                  <c:v>117.65475762952487</c:v>
                </c:pt>
                <c:pt idx="57">
                  <c:v>117.9981365032789</c:v>
                </c:pt>
                <c:pt idx="58">
                  <c:v>118.56044072089314</c:v>
                </c:pt>
                <c:pt idx="59">
                  <c:v>119.11151599834146</c:v>
                </c:pt>
                <c:pt idx="60">
                  <c:v>119.29176332468479</c:v>
                </c:pt>
                <c:pt idx="61">
                  <c:v>119.7806505480891</c:v>
                </c:pt>
                <c:pt idx="62">
                  <c:v>118.4189105405077</c:v>
                </c:pt>
                <c:pt idx="63">
                  <c:v>118.4157908335163</c:v>
                </c:pt>
                <c:pt idx="64">
                  <c:v>118.63327301353488</c:v>
                </c:pt>
                <c:pt idx="65">
                  <c:v>118.78213389253939</c:v>
                </c:pt>
                <c:pt idx="66">
                  <c:v>119.10332781159059</c:v>
                </c:pt>
                <c:pt idx="67">
                  <c:v>119.67206527617491</c:v>
                </c:pt>
                <c:pt idx="68">
                  <c:v>120.18968766937887</c:v>
                </c:pt>
                <c:pt idx="69">
                  <c:v>120.68309766035001</c:v>
                </c:pt>
                <c:pt idx="70">
                  <c:v>121.17650765132116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1A-4A4A-9FCD-4ECB5B7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66912"/>
        <c:axId val="383703232"/>
      </c:lineChart>
      <c:catAx>
        <c:axId val="38416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83703232"/>
        <c:crosses val="autoZero"/>
        <c:auto val="1"/>
        <c:lblAlgn val="ctr"/>
        <c:lblOffset val="100"/>
        <c:noMultiLvlLbl val="0"/>
      </c:catAx>
      <c:valAx>
        <c:axId val="38370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416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Neg_101!$L$5:$L$75</c:f>
              <c:numCache>
                <c:formatCode>0.0_ </c:formatCode>
                <c:ptCount val="71"/>
                <c:pt idx="0">
                  <c:v>3.717312990995091</c:v>
                </c:pt>
                <c:pt idx="1">
                  <c:v>3.717312990995091</c:v>
                </c:pt>
                <c:pt idx="2">
                  <c:v>3.717312990995091</c:v>
                </c:pt>
                <c:pt idx="3">
                  <c:v>3.717312990995091</c:v>
                </c:pt>
                <c:pt idx="4">
                  <c:v>3.717312990995091</c:v>
                </c:pt>
                <c:pt idx="5">
                  <c:v>3.717312990995091</c:v>
                </c:pt>
                <c:pt idx="6">
                  <c:v>3.717312990995091</c:v>
                </c:pt>
                <c:pt idx="7">
                  <c:v>3.717312990995091</c:v>
                </c:pt>
                <c:pt idx="8">
                  <c:v>3.717312990995091</c:v>
                </c:pt>
                <c:pt idx="9">
                  <c:v>3.717312990995091</c:v>
                </c:pt>
                <c:pt idx="10">
                  <c:v>3.717312990995091</c:v>
                </c:pt>
                <c:pt idx="11">
                  <c:v>3.717312990995091</c:v>
                </c:pt>
                <c:pt idx="12">
                  <c:v>3.717312990995091</c:v>
                </c:pt>
                <c:pt idx="13">
                  <c:v>3.717312990995091</c:v>
                </c:pt>
                <c:pt idx="14">
                  <c:v>3.717312990995091</c:v>
                </c:pt>
                <c:pt idx="15">
                  <c:v>3.717312990995091</c:v>
                </c:pt>
                <c:pt idx="16">
                  <c:v>3.717312990995091</c:v>
                </c:pt>
                <c:pt idx="17">
                  <c:v>3.717312990995091</c:v>
                </c:pt>
                <c:pt idx="18">
                  <c:v>3.717312990995091</c:v>
                </c:pt>
                <c:pt idx="19">
                  <c:v>3.717312990995091</c:v>
                </c:pt>
                <c:pt idx="20">
                  <c:v>3.717312990995091</c:v>
                </c:pt>
                <c:pt idx="21">
                  <c:v>3.717312990995091</c:v>
                </c:pt>
                <c:pt idx="22">
                  <c:v>3.717312990995091</c:v>
                </c:pt>
                <c:pt idx="23">
                  <c:v>3.717312990995091</c:v>
                </c:pt>
                <c:pt idx="24">
                  <c:v>3.717312990995091</c:v>
                </c:pt>
                <c:pt idx="25">
                  <c:v>3.717312990995091</c:v>
                </c:pt>
                <c:pt idx="26">
                  <c:v>3.717312990995091</c:v>
                </c:pt>
                <c:pt idx="27">
                  <c:v>3.717312990995091</c:v>
                </c:pt>
                <c:pt idx="28">
                  <c:v>3.717312990995091</c:v>
                </c:pt>
                <c:pt idx="29">
                  <c:v>3.717312990995091</c:v>
                </c:pt>
                <c:pt idx="30">
                  <c:v>3.717312990995091</c:v>
                </c:pt>
                <c:pt idx="31">
                  <c:v>3.717312990995091</c:v>
                </c:pt>
                <c:pt idx="32">
                  <c:v>3.717312990995091</c:v>
                </c:pt>
                <c:pt idx="33">
                  <c:v>3.717312990995091</c:v>
                </c:pt>
                <c:pt idx="34">
                  <c:v>3.717312990995091</c:v>
                </c:pt>
                <c:pt idx="35">
                  <c:v>3.717312990995091</c:v>
                </c:pt>
                <c:pt idx="36">
                  <c:v>3.717312990995091</c:v>
                </c:pt>
                <c:pt idx="37">
                  <c:v>3.717312990995091</c:v>
                </c:pt>
                <c:pt idx="38">
                  <c:v>3.717312990995091</c:v>
                </c:pt>
                <c:pt idx="39">
                  <c:v>3.717312990995091</c:v>
                </c:pt>
                <c:pt idx="40">
                  <c:v>3.717312990995091</c:v>
                </c:pt>
                <c:pt idx="41">
                  <c:v>3.717312990995091</c:v>
                </c:pt>
                <c:pt idx="42">
                  <c:v>3.717312990995091</c:v>
                </c:pt>
                <c:pt idx="43">
                  <c:v>3.717312990995091</c:v>
                </c:pt>
                <c:pt idx="44">
                  <c:v>3.717312990995091</c:v>
                </c:pt>
                <c:pt idx="45">
                  <c:v>3.717312990995091</c:v>
                </c:pt>
                <c:pt idx="46">
                  <c:v>3.717312990995091</c:v>
                </c:pt>
                <c:pt idx="47">
                  <c:v>3.717312990995091</c:v>
                </c:pt>
                <c:pt idx="48">
                  <c:v>3.717312990995091</c:v>
                </c:pt>
                <c:pt idx="49">
                  <c:v>3.717312990995091</c:v>
                </c:pt>
                <c:pt idx="50">
                  <c:v>3.717312990995091</c:v>
                </c:pt>
                <c:pt idx="51">
                  <c:v>3.717312990995091</c:v>
                </c:pt>
                <c:pt idx="52">
                  <c:v>3.717312990995091</c:v>
                </c:pt>
                <c:pt idx="53">
                  <c:v>3.717312990995091</c:v>
                </c:pt>
                <c:pt idx="54">
                  <c:v>3.717312990995091</c:v>
                </c:pt>
                <c:pt idx="55">
                  <c:v>3.717312990995091</c:v>
                </c:pt>
                <c:pt idx="56">
                  <c:v>3.717312990995091</c:v>
                </c:pt>
                <c:pt idx="57">
                  <c:v>3.717312990995091</c:v>
                </c:pt>
                <c:pt idx="58">
                  <c:v>3.717312990995091</c:v>
                </c:pt>
                <c:pt idx="59">
                  <c:v>3.717312990995091</c:v>
                </c:pt>
                <c:pt idx="60">
                  <c:v>3.717312990995091</c:v>
                </c:pt>
                <c:pt idx="61">
                  <c:v>3.717312990995091</c:v>
                </c:pt>
                <c:pt idx="62">
                  <c:v>3.717312990995091</c:v>
                </c:pt>
                <c:pt idx="63">
                  <c:v>3.717312990995091</c:v>
                </c:pt>
                <c:pt idx="64">
                  <c:v>3.717312990995091</c:v>
                </c:pt>
                <c:pt idx="65">
                  <c:v>3.717312990995091</c:v>
                </c:pt>
                <c:pt idx="66">
                  <c:v>3.717312990995091</c:v>
                </c:pt>
                <c:pt idx="67">
                  <c:v>3.717312990995091</c:v>
                </c:pt>
                <c:pt idx="68">
                  <c:v>3.717312990995091</c:v>
                </c:pt>
                <c:pt idx="69">
                  <c:v>3.717312990995091</c:v>
                </c:pt>
                <c:pt idx="70">
                  <c:v>3.717312990995091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24-7E4A-B6CE-54573B21AA0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Neg_101!$G$5:$G$75</c:f>
              <c:numCache>
                <c:formatCode>_(* #,##0.0_);_(* \(#,##0.0\);_(* "-"??_);_(@_)</c:formatCode>
                <c:ptCount val="71"/>
                <c:pt idx="0">
                  <c:v>11.926795087504766</c:v>
                </c:pt>
                <c:pt idx="1">
                  <c:v>11.926795087504766</c:v>
                </c:pt>
                <c:pt idx="2">
                  <c:v>11.926795087504766</c:v>
                </c:pt>
                <c:pt idx="3">
                  <c:v>11.926795087504766</c:v>
                </c:pt>
                <c:pt idx="4">
                  <c:v>11.926795087504766</c:v>
                </c:pt>
                <c:pt idx="5">
                  <c:v>11.926795087504766</c:v>
                </c:pt>
                <c:pt idx="6">
                  <c:v>11.926795087504766</c:v>
                </c:pt>
                <c:pt idx="7">
                  <c:v>11.926795087504766</c:v>
                </c:pt>
                <c:pt idx="8">
                  <c:v>11.926795087504766</c:v>
                </c:pt>
                <c:pt idx="9">
                  <c:v>11.926795087504766</c:v>
                </c:pt>
                <c:pt idx="10">
                  <c:v>11.926795087504766</c:v>
                </c:pt>
                <c:pt idx="11">
                  <c:v>11.926795087504766</c:v>
                </c:pt>
                <c:pt idx="12">
                  <c:v>11.926795087504766</c:v>
                </c:pt>
                <c:pt idx="13">
                  <c:v>11.926795087504766</c:v>
                </c:pt>
                <c:pt idx="14">
                  <c:v>11.926795087504766</c:v>
                </c:pt>
                <c:pt idx="15">
                  <c:v>11.926795087504766</c:v>
                </c:pt>
                <c:pt idx="16">
                  <c:v>11.926795087504766</c:v>
                </c:pt>
                <c:pt idx="17">
                  <c:v>11.926795087504766</c:v>
                </c:pt>
                <c:pt idx="18">
                  <c:v>11.926795087504766</c:v>
                </c:pt>
                <c:pt idx="19">
                  <c:v>11.926795087504766</c:v>
                </c:pt>
                <c:pt idx="20">
                  <c:v>11.926795087504766</c:v>
                </c:pt>
                <c:pt idx="21">
                  <c:v>11.926795087504766</c:v>
                </c:pt>
                <c:pt idx="22">
                  <c:v>11.926795087504766</c:v>
                </c:pt>
                <c:pt idx="23">
                  <c:v>11.926795087504766</c:v>
                </c:pt>
                <c:pt idx="24">
                  <c:v>11.926795087504766</c:v>
                </c:pt>
                <c:pt idx="25">
                  <c:v>11.926795087504766</c:v>
                </c:pt>
                <c:pt idx="26">
                  <c:v>11.926795087504766</c:v>
                </c:pt>
                <c:pt idx="27">
                  <c:v>11.926795087504766</c:v>
                </c:pt>
                <c:pt idx="28">
                  <c:v>11.926795087504766</c:v>
                </c:pt>
                <c:pt idx="29">
                  <c:v>11.926795087504766</c:v>
                </c:pt>
                <c:pt idx="30">
                  <c:v>11.926795087504766</c:v>
                </c:pt>
                <c:pt idx="31">
                  <c:v>11.926795087504766</c:v>
                </c:pt>
                <c:pt idx="32">
                  <c:v>11.926795087504766</c:v>
                </c:pt>
                <c:pt idx="33">
                  <c:v>11.926795087504766</c:v>
                </c:pt>
                <c:pt idx="34">
                  <c:v>11.926795087504766</c:v>
                </c:pt>
                <c:pt idx="35">
                  <c:v>11.926795087504766</c:v>
                </c:pt>
                <c:pt idx="36">
                  <c:v>11.926795087504766</c:v>
                </c:pt>
                <c:pt idx="37">
                  <c:v>11.926795087504766</c:v>
                </c:pt>
                <c:pt idx="38">
                  <c:v>11.926795087504766</c:v>
                </c:pt>
                <c:pt idx="39">
                  <c:v>11.926795087504766</c:v>
                </c:pt>
                <c:pt idx="40">
                  <c:v>11.926795087504766</c:v>
                </c:pt>
                <c:pt idx="41">
                  <c:v>11.926795087504766</c:v>
                </c:pt>
                <c:pt idx="42">
                  <c:v>11.926795087504766</c:v>
                </c:pt>
                <c:pt idx="43">
                  <c:v>11.926795087504766</c:v>
                </c:pt>
                <c:pt idx="44">
                  <c:v>11.926795087504766</c:v>
                </c:pt>
                <c:pt idx="45">
                  <c:v>11.926795087504766</c:v>
                </c:pt>
                <c:pt idx="46">
                  <c:v>11.926795087504766</c:v>
                </c:pt>
                <c:pt idx="47">
                  <c:v>11.926795087504766</c:v>
                </c:pt>
                <c:pt idx="48">
                  <c:v>11.926795087504766</c:v>
                </c:pt>
                <c:pt idx="49">
                  <c:v>11.926795087504766</c:v>
                </c:pt>
                <c:pt idx="50">
                  <c:v>11.926795087504766</c:v>
                </c:pt>
                <c:pt idx="51">
                  <c:v>11.926795087504766</c:v>
                </c:pt>
                <c:pt idx="52">
                  <c:v>11.926795087504766</c:v>
                </c:pt>
                <c:pt idx="53">
                  <c:v>11.926795087504766</c:v>
                </c:pt>
                <c:pt idx="54">
                  <c:v>11.926795087504766</c:v>
                </c:pt>
                <c:pt idx="55">
                  <c:v>11.926795087504766</c:v>
                </c:pt>
                <c:pt idx="56">
                  <c:v>11.926795087504766</c:v>
                </c:pt>
                <c:pt idx="57">
                  <c:v>11.926795087504766</c:v>
                </c:pt>
                <c:pt idx="58">
                  <c:v>11.926795087504766</c:v>
                </c:pt>
                <c:pt idx="59">
                  <c:v>11.926795087504766</c:v>
                </c:pt>
                <c:pt idx="60">
                  <c:v>11.926795087504766</c:v>
                </c:pt>
                <c:pt idx="61">
                  <c:v>11.926795087504766</c:v>
                </c:pt>
                <c:pt idx="62">
                  <c:v>11.926795087504766</c:v>
                </c:pt>
                <c:pt idx="63">
                  <c:v>11.926795087504766</c:v>
                </c:pt>
                <c:pt idx="64">
                  <c:v>11.926795087504766</c:v>
                </c:pt>
                <c:pt idx="65">
                  <c:v>11.926795087504766</c:v>
                </c:pt>
                <c:pt idx="66">
                  <c:v>11.926795087504766</c:v>
                </c:pt>
                <c:pt idx="67">
                  <c:v>11.926795087504766</c:v>
                </c:pt>
                <c:pt idx="68">
                  <c:v>11.926795087504766</c:v>
                </c:pt>
                <c:pt idx="69">
                  <c:v>11.926795087504766</c:v>
                </c:pt>
                <c:pt idx="70">
                  <c:v>11.926795087504766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C24-7E4A-B6CE-54573B21AA0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Neg_101!$H$5:$H$75</c:f>
              <c:numCache>
                <c:formatCode>_(* #,##0.0_);_(* \(#,##0.0\);_(* "-"??_);_(@_)</c:formatCode>
                <c:ptCount val="71"/>
                <c:pt idx="0">
                  <c:v>55.440812541589899</c:v>
                </c:pt>
                <c:pt idx="1">
                  <c:v>55.440812541589899</c:v>
                </c:pt>
                <c:pt idx="2">
                  <c:v>55.440812541589899</c:v>
                </c:pt>
                <c:pt idx="3">
                  <c:v>55.440812541589899</c:v>
                </c:pt>
                <c:pt idx="4">
                  <c:v>55.440812541589899</c:v>
                </c:pt>
                <c:pt idx="5">
                  <c:v>57.071424675166078</c:v>
                </c:pt>
                <c:pt idx="6">
                  <c:v>57.071424675166078</c:v>
                </c:pt>
                <c:pt idx="7">
                  <c:v>57.071424675166078</c:v>
                </c:pt>
                <c:pt idx="8">
                  <c:v>57.071424675166078</c:v>
                </c:pt>
                <c:pt idx="9">
                  <c:v>57.071424675166078</c:v>
                </c:pt>
                <c:pt idx="10">
                  <c:v>57.071424675166078</c:v>
                </c:pt>
                <c:pt idx="11">
                  <c:v>58.702036808742243</c:v>
                </c:pt>
                <c:pt idx="12">
                  <c:v>58.702036808742243</c:v>
                </c:pt>
                <c:pt idx="13">
                  <c:v>58.702036808742243</c:v>
                </c:pt>
                <c:pt idx="14">
                  <c:v>58.702036808742243</c:v>
                </c:pt>
                <c:pt idx="15">
                  <c:v>58.702036808742243</c:v>
                </c:pt>
                <c:pt idx="16">
                  <c:v>58.702036808742243</c:v>
                </c:pt>
                <c:pt idx="17">
                  <c:v>58.702036808742243</c:v>
                </c:pt>
                <c:pt idx="18">
                  <c:v>60.332648942318421</c:v>
                </c:pt>
                <c:pt idx="19">
                  <c:v>60.332648942318421</c:v>
                </c:pt>
                <c:pt idx="20">
                  <c:v>60.332648942318421</c:v>
                </c:pt>
                <c:pt idx="21">
                  <c:v>60.332648942318421</c:v>
                </c:pt>
                <c:pt idx="22">
                  <c:v>60.332648942318421</c:v>
                </c:pt>
                <c:pt idx="23">
                  <c:v>60.332648942318421</c:v>
                </c:pt>
                <c:pt idx="24">
                  <c:v>60.332648942318421</c:v>
                </c:pt>
                <c:pt idx="25">
                  <c:v>60.332648942318421</c:v>
                </c:pt>
                <c:pt idx="26">
                  <c:v>61.963261075894593</c:v>
                </c:pt>
                <c:pt idx="27">
                  <c:v>61.963261075894593</c:v>
                </c:pt>
                <c:pt idx="28">
                  <c:v>61.963261075894593</c:v>
                </c:pt>
                <c:pt idx="29">
                  <c:v>61.963261075894593</c:v>
                </c:pt>
                <c:pt idx="30">
                  <c:v>61.963261075894593</c:v>
                </c:pt>
                <c:pt idx="31">
                  <c:v>61.963261075894593</c:v>
                </c:pt>
                <c:pt idx="32">
                  <c:v>61.963261075894593</c:v>
                </c:pt>
                <c:pt idx="33">
                  <c:v>61.963261075894593</c:v>
                </c:pt>
                <c:pt idx="34">
                  <c:v>61.963261075894593</c:v>
                </c:pt>
                <c:pt idx="35">
                  <c:v>63.593873209470772</c:v>
                </c:pt>
                <c:pt idx="36">
                  <c:v>63.593873209470772</c:v>
                </c:pt>
                <c:pt idx="37">
                  <c:v>63.593873209470772</c:v>
                </c:pt>
                <c:pt idx="38">
                  <c:v>63.593873209470772</c:v>
                </c:pt>
                <c:pt idx="39">
                  <c:v>63.593873209470772</c:v>
                </c:pt>
                <c:pt idx="40">
                  <c:v>63.593873209470772</c:v>
                </c:pt>
                <c:pt idx="41">
                  <c:v>63.593873209470772</c:v>
                </c:pt>
                <c:pt idx="42">
                  <c:v>63.593873209470772</c:v>
                </c:pt>
                <c:pt idx="43">
                  <c:v>63.593873209470772</c:v>
                </c:pt>
                <c:pt idx="44">
                  <c:v>65.224485343046936</c:v>
                </c:pt>
                <c:pt idx="45">
                  <c:v>65.224485343046936</c:v>
                </c:pt>
                <c:pt idx="46">
                  <c:v>65.224485343046936</c:v>
                </c:pt>
                <c:pt idx="47">
                  <c:v>65.224485343046936</c:v>
                </c:pt>
                <c:pt idx="48">
                  <c:v>65.224485343046936</c:v>
                </c:pt>
                <c:pt idx="49">
                  <c:v>65.224485343046936</c:v>
                </c:pt>
                <c:pt idx="50">
                  <c:v>65.224485343046936</c:v>
                </c:pt>
                <c:pt idx="51">
                  <c:v>65.224485343046936</c:v>
                </c:pt>
                <c:pt idx="52">
                  <c:v>65.224485343046936</c:v>
                </c:pt>
                <c:pt idx="53">
                  <c:v>66.855097476623115</c:v>
                </c:pt>
                <c:pt idx="54">
                  <c:v>66.855097476623115</c:v>
                </c:pt>
                <c:pt idx="55">
                  <c:v>66.855097476623115</c:v>
                </c:pt>
                <c:pt idx="56">
                  <c:v>66.855097476623115</c:v>
                </c:pt>
                <c:pt idx="57">
                  <c:v>66.855097476623115</c:v>
                </c:pt>
                <c:pt idx="58">
                  <c:v>66.855097476623115</c:v>
                </c:pt>
                <c:pt idx="59">
                  <c:v>66.855097476623115</c:v>
                </c:pt>
                <c:pt idx="60">
                  <c:v>66.855097476623115</c:v>
                </c:pt>
                <c:pt idx="61">
                  <c:v>66.855097476623115</c:v>
                </c:pt>
                <c:pt idx="62">
                  <c:v>68.485709610199294</c:v>
                </c:pt>
                <c:pt idx="63">
                  <c:v>68.485709610199294</c:v>
                </c:pt>
                <c:pt idx="64">
                  <c:v>68.485709610199294</c:v>
                </c:pt>
                <c:pt idx="65">
                  <c:v>68.485709610199294</c:v>
                </c:pt>
                <c:pt idx="66">
                  <c:v>68.485709610199294</c:v>
                </c:pt>
                <c:pt idx="67">
                  <c:v>68.485709610199294</c:v>
                </c:pt>
                <c:pt idx="68">
                  <c:v>68.485709610199294</c:v>
                </c:pt>
                <c:pt idx="69">
                  <c:v>68.485709610199294</c:v>
                </c:pt>
                <c:pt idx="70">
                  <c:v>68.485709610199294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C24-7E4A-B6CE-54573B21AA0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Neg_101!$J$5:$J$75</c:f>
              <c:numCache>
                <c:formatCode>_(* #,##0.0_);_(* \(#,##0.0\);_(* "-"??_);_(@_)</c:formatCode>
                <c:ptCount val="71"/>
                <c:pt idx="0">
                  <c:v>1.9128764865555095</c:v>
                </c:pt>
                <c:pt idx="1">
                  <c:v>1.9128764865555095</c:v>
                </c:pt>
                <c:pt idx="2">
                  <c:v>1.9128764865555095</c:v>
                </c:pt>
                <c:pt idx="3">
                  <c:v>1.9128764865555095</c:v>
                </c:pt>
                <c:pt idx="4">
                  <c:v>1.9128764865555095</c:v>
                </c:pt>
                <c:pt idx="5">
                  <c:v>1.8611771220540094</c:v>
                </c:pt>
                <c:pt idx="6">
                  <c:v>1.8611771220540094</c:v>
                </c:pt>
                <c:pt idx="7">
                  <c:v>1.8611771220540094</c:v>
                </c:pt>
                <c:pt idx="8">
                  <c:v>1.8611771220540094</c:v>
                </c:pt>
                <c:pt idx="9">
                  <c:v>1.8611771220540094</c:v>
                </c:pt>
                <c:pt idx="10">
                  <c:v>1.8611771220540094</c:v>
                </c:pt>
                <c:pt idx="11">
                  <c:v>1.8094777575525094</c:v>
                </c:pt>
                <c:pt idx="12">
                  <c:v>1.8094777575525094</c:v>
                </c:pt>
                <c:pt idx="13">
                  <c:v>1.8094777575525094</c:v>
                </c:pt>
                <c:pt idx="14">
                  <c:v>1.8094777575525094</c:v>
                </c:pt>
                <c:pt idx="15">
                  <c:v>1.8094777575525094</c:v>
                </c:pt>
                <c:pt idx="16">
                  <c:v>1.8094777575525094</c:v>
                </c:pt>
                <c:pt idx="17">
                  <c:v>1.8094777575525094</c:v>
                </c:pt>
                <c:pt idx="18">
                  <c:v>1.7577783930510089</c:v>
                </c:pt>
                <c:pt idx="19">
                  <c:v>1.7577783930510089</c:v>
                </c:pt>
                <c:pt idx="20">
                  <c:v>1.7577783930510089</c:v>
                </c:pt>
                <c:pt idx="21">
                  <c:v>1.7577783930510089</c:v>
                </c:pt>
                <c:pt idx="22">
                  <c:v>1.7577783930510089</c:v>
                </c:pt>
                <c:pt idx="23">
                  <c:v>1.7577783930510089</c:v>
                </c:pt>
                <c:pt idx="24">
                  <c:v>1.7577783930510089</c:v>
                </c:pt>
                <c:pt idx="25">
                  <c:v>1.7577783930510089</c:v>
                </c:pt>
                <c:pt idx="26">
                  <c:v>1.7577783930510089</c:v>
                </c:pt>
                <c:pt idx="27">
                  <c:v>1.7060790285495089</c:v>
                </c:pt>
                <c:pt idx="28">
                  <c:v>1.7060790285495089</c:v>
                </c:pt>
                <c:pt idx="29">
                  <c:v>1.7060790285495089</c:v>
                </c:pt>
                <c:pt idx="30">
                  <c:v>1.7060790285495089</c:v>
                </c:pt>
                <c:pt idx="31">
                  <c:v>1.7060790285495089</c:v>
                </c:pt>
                <c:pt idx="32">
                  <c:v>1.7060790285495089</c:v>
                </c:pt>
                <c:pt idx="33">
                  <c:v>1.7060790285495089</c:v>
                </c:pt>
                <c:pt idx="34">
                  <c:v>1.7060790285495089</c:v>
                </c:pt>
                <c:pt idx="35">
                  <c:v>1.7060790285495089</c:v>
                </c:pt>
                <c:pt idx="36">
                  <c:v>1.7060790285495089</c:v>
                </c:pt>
                <c:pt idx="37">
                  <c:v>1.7060790285495089</c:v>
                </c:pt>
                <c:pt idx="38">
                  <c:v>1.7060790285495089</c:v>
                </c:pt>
                <c:pt idx="39">
                  <c:v>1.7060790285495089</c:v>
                </c:pt>
                <c:pt idx="40">
                  <c:v>1.7060790285495089</c:v>
                </c:pt>
                <c:pt idx="41">
                  <c:v>1.7060790285495089</c:v>
                </c:pt>
                <c:pt idx="42">
                  <c:v>1.7060790285495089</c:v>
                </c:pt>
                <c:pt idx="43">
                  <c:v>1.7060790285495089</c:v>
                </c:pt>
                <c:pt idx="44">
                  <c:v>1.6543796640480084</c:v>
                </c:pt>
                <c:pt idx="45">
                  <c:v>1.6543796640480084</c:v>
                </c:pt>
                <c:pt idx="46">
                  <c:v>1.6543796640480084</c:v>
                </c:pt>
                <c:pt idx="47">
                  <c:v>1.6543796640480084</c:v>
                </c:pt>
                <c:pt idx="48">
                  <c:v>1.6543796640480084</c:v>
                </c:pt>
                <c:pt idx="49">
                  <c:v>1.6543796640480084</c:v>
                </c:pt>
                <c:pt idx="50">
                  <c:v>1.6543796640480084</c:v>
                </c:pt>
                <c:pt idx="51">
                  <c:v>1.6543796640480084</c:v>
                </c:pt>
                <c:pt idx="52">
                  <c:v>1.6543796640480084</c:v>
                </c:pt>
                <c:pt idx="53">
                  <c:v>1.6026802995465081</c:v>
                </c:pt>
                <c:pt idx="54">
                  <c:v>1.6026802995465081</c:v>
                </c:pt>
                <c:pt idx="55">
                  <c:v>1.6026802995465081</c:v>
                </c:pt>
                <c:pt idx="56">
                  <c:v>1.6026802995465081</c:v>
                </c:pt>
                <c:pt idx="57">
                  <c:v>1.6026802995465081</c:v>
                </c:pt>
                <c:pt idx="58">
                  <c:v>1.6026802995465081</c:v>
                </c:pt>
                <c:pt idx="59">
                  <c:v>1.6026802995465081</c:v>
                </c:pt>
                <c:pt idx="60">
                  <c:v>1.6026802995465081</c:v>
                </c:pt>
                <c:pt idx="61">
                  <c:v>1.6026802995465081</c:v>
                </c:pt>
                <c:pt idx="62">
                  <c:v>1.6026802995465081</c:v>
                </c:pt>
                <c:pt idx="63">
                  <c:v>1.6026802995465081</c:v>
                </c:pt>
                <c:pt idx="64">
                  <c:v>1.6026802995465081</c:v>
                </c:pt>
                <c:pt idx="65">
                  <c:v>1.6026802995465081</c:v>
                </c:pt>
                <c:pt idx="66">
                  <c:v>1.6026802995465081</c:v>
                </c:pt>
                <c:pt idx="67">
                  <c:v>1.6026802995465081</c:v>
                </c:pt>
                <c:pt idx="68">
                  <c:v>1.6026802995465081</c:v>
                </c:pt>
                <c:pt idx="69">
                  <c:v>1.6026802995465081</c:v>
                </c:pt>
                <c:pt idx="70">
                  <c:v>1.6026802995465081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C24-7E4A-B6CE-54573B21AA0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Neg_101!$I$5:$I$75</c:f>
              <c:numCache>
                <c:formatCode>_(* #,##0.0_);_(* \(#,##0.0\);_(* "-"??_);_(@_)</c:formatCode>
                <c:ptCount val="71"/>
                <c:pt idx="0">
                  <c:v>2.7506191264759434</c:v>
                </c:pt>
                <c:pt idx="1">
                  <c:v>3.209055647555267</c:v>
                </c:pt>
                <c:pt idx="2">
                  <c:v>3.6674921686345905</c:v>
                </c:pt>
                <c:pt idx="3">
                  <c:v>4.1259286897139145</c:v>
                </c:pt>
                <c:pt idx="4">
                  <c:v>4.5843652107932389</c:v>
                </c:pt>
                <c:pt idx="5">
                  <c:v>2.2921826053966194</c:v>
                </c:pt>
                <c:pt idx="6">
                  <c:v>2.7506191264759434</c:v>
                </c:pt>
                <c:pt idx="7">
                  <c:v>3.209055647555267</c:v>
                </c:pt>
                <c:pt idx="8">
                  <c:v>3.6674921686345905</c:v>
                </c:pt>
                <c:pt idx="9">
                  <c:v>4.1259286897139145</c:v>
                </c:pt>
                <c:pt idx="10">
                  <c:v>4.5843652107932389</c:v>
                </c:pt>
                <c:pt idx="11">
                  <c:v>1.8337460843172952</c:v>
                </c:pt>
                <c:pt idx="12">
                  <c:v>2.2921826053966194</c:v>
                </c:pt>
                <c:pt idx="13">
                  <c:v>2.7506191264759434</c:v>
                </c:pt>
                <c:pt idx="14">
                  <c:v>3.209055647555267</c:v>
                </c:pt>
                <c:pt idx="15">
                  <c:v>3.6674921686345905</c:v>
                </c:pt>
                <c:pt idx="16">
                  <c:v>4.1259286897139145</c:v>
                </c:pt>
                <c:pt idx="17">
                  <c:v>4.5843652107932389</c:v>
                </c:pt>
                <c:pt idx="18">
                  <c:v>1.3753095632379717</c:v>
                </c:pt>
                <c:pt idx="19">
                  <c:v>1.8337460843172952</c:v>
                </c:pt>
                <c:pt idx="20">
                  <c:v>2.2921826053966194</c:v>
                </c:pt>
                <c:pt idx="21">
                  <c:v>2.7506191264759434</c:v>
                </c:pt>
                <c:pt idx="22">
                  <c:v>3.209055647555267</c:v>
                </c:pt>
                <c:pt idx="23">
                  <c:v>3.6674921686345905</c:v>
                </c:pt>
                <c:pt idx="24">
                  <c:v>4.1259286897139145</c:v>
                </c:pt>
                <c:pt idx="25">
                  <c:v>4.5843652107932389</c:v>
                </c:pt>
                <c:pt idx="26">
                  <c:v>0.91687304215864762</c:v>
                </c:pt>
                <c:pt idx="27">
                  <c:v>1.3753095632379717</c:v>
                </c:pt>
                <c:pt idx="28">
                  <c:v>1.8337460843172952</c:v>
                </c:pt>
                <c:pt idx="29">
                  <c:v>2.2921826053966194</c:v>
                </c:pt>
                <c:pt idx="30">
                  <c:v>2.7506191264759434</c:v>
                </c:pt>
                <c:pt idx="31">
                  <c:v>3.209055647555267</c:v>
                </c:pt>
                <c:pt idx="32">
                  <c:v>3.6674921686345905</c:v>
                </c:pt>
                <c:pt idx="33">
                  <c:v>4.1259286897139145</c:v>
                </c:pt>
                <c:pt idx="34">
                  <c:v>4.5843652107932389</c:v>
                </c:pt>
                <c:pt idx="35">
                  <c:v>0.91687304215864762</c:v>
                </c:pt>
                <c:pt idx="36">
                  <c:v>1.3753095632379717</c:v>
                </c:pt>
                <c:pt idx="37">
                  <c:v>1.8337460843172952</c:v>
                </c:pt>
                <c:pt idx="38">
                  <c:v>2.2921826053966194</c:v>
                </c:pt>
                <c:pt idx="39">
                  <c:v>2.7506191264759434</c:v>
                </c:pt>
                <c:pt idx="40">
                  <c:v>3.209055647555267</c:v>
                </c:pt>
                <c:pt idx="41">
                  <c:v>3.6674921686345905</c:v>
                </c:pt>
                <c:pt idx="42">
                  <c:v>4.1259286897139145</c:v>
                </c:pt>
                <c:pt idx="43">
                  <c:v>4.5843652107932389</c:v>
                </c:pt>
                <c:pt idx="44">
                  <c:v>0.91687304215864762</c:v>
                </c:pt>
                <c:pt idx="45">
                  <c:v>1.3753095632379717</c:v>
                </c:pt>
                <c:pt idx="46">
                  <c:v>1.8337460843172952</c:v>
                </c:pt>
                <c:pt idx="47">
                  <c:v>2.2921826053966194</c:v>
                </c:pt>
                <c:pt idx="48">
                  <c:v>2.7506191264759434</c:v>
                </c:pt>
                <c:pt idx="49">
                  <c:v>3.209055647555267</c:v>
                </c:pt>
                <c:pt idx="50">
                  <c:v>3.6674921686345905</c:v>
                </c:pt>
                <c:pt idx="51">
                  <c:v>4.1259286897139145</c:v>
                </c:pt>
                <c:pt idx="52">
                  <c:v>4.5843652107932389</c:v>
                </c:pt>
                <c:pt idx="53">
                  <c:v>0.91687304215864762</c:v>
                </c:pt>
                <c:pt idx="54">
                  <c:v>1.3753095632379717</c:v>
                </c:pt>
                <c:pt idx="55">
                  <c:v>1.8337460843172952</c:v>
                </c:pt>
                <c:pt idx="56">
                  <c:v>2.2921826053966194</c:v>
                </c:pt>
                <c:pt idx="57">
                  <c:v>2.7506191264759434</c:v>
                </c:pt>
                <c:pt idx="58">
                  <c:v>3.209055647555267</c:v>
                </c:pt>
                <c:pt idx="59">
                  <c:v>3.6674921686345905</c:v>
                </c:pt>
                <c:pt idx="60">
                  <c:v>4.1259286897139145</c:v>
                </c:pt>
                <c:pt idx="61">
                  <c:v>4.5843652107932389</c:v>
                </c:pt>
                <c:pt idx="62">
                  <c:v>0.91687304215864762</c:v>
                </c:pt>
                <c:pt idx="63">
                  <c:v>1.3753095632379717</c:v>
                </c:pt>
                <c:pt idx="64">
                  <c:v>1.8337460843172952</c:v>
                </c:pt>
                <c:pt idx="65">
                  <c:v>2.2921826053966194</c:v>
                </c:pt>
                <c:pt idx="66">
                  <c:v>2.7506191264759434</c:v>
                </c:pt>
                <c:pt idx="67">
                  <c:v>3.209055647555267</c:v>
                </c:pt>
                <c:pt idx="68">
                  <c:v>3.6674921686345905</c:v>
                </c:pt>
                <c:pt idx="69">
                  <c:v>4.1259286897139145</c:v>
                </c:pt>
                <c:pt idx="70">
                  <c:v>4.5843652107932389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C24-7E4A-B6CE-54573B21AA0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Neg_101!$K$5:$K$75</c:f>
              <c:numCache>
                <c:formatCode>_(* #,##0.0_);_(* \(#,##0.0\);_(* "-"??_);_(@_)</c:formatCode>
                <c:ptCount val="71"/>
                <c:pt idx="0">
                  <c:v>4.3296782546380586</c:v>
                </c:pt>
                <c:pt idx="1">
                  <c:v>4.3296782546380586</c:v>
                </c:pt>
                <c:pt idx="2">
                  <c:v>4.3296782546380586</c:v>
                </c:pt>
                <c:pt idx="3">
                  <c:v>4.3296782546380586</c:v>
                </c:pt>
                <c:pt idx="4">
                  <c:v>4.3296782546380586</c:v>
                </c:pt>
                <c:pt idx="5">
                  <c:v>4.3296782546380586</c:v>
                </c:pt>
                <c:pt idx="6">
                  <c:v>4.3296782546380586</c:v>
                </c:pt>
                <c:pt idx="7">
                  <c:v>4.3296782546380586</c:v>
                </c:pt>
                <c:pt idx="8">
                  <c:v>4.3296782546380586</c:v>
                </c:pt>
                <c:pt idx="9">
                  <c:v>4.3296782546380586</c:v>
                </c:pt>
                <c:pt idx="10">
                  <c:v>4.3296782546380586</c:v>
                </c:pt>
                <c:pt idx="11">
                  <c:v>4.3296782546380586</c:v>
                </c:pt>
                <c:pt idx="12">
                  <c:v>4.3296782546380586</c:v>
                </c:pt>
                <c:pt idx="13">
                  <c:v>4.3296782546380586</c:v>
                </c:pt>
                <c:pt idx="14">
                  <c:v>4.3296782546380586</c:v>
                </c:pt>
                <c:pt idx="15">
                  <c:v>4.3296782546380586</c:v>
                </c:pt>
                <c:pt idx="16">
                  <c:v>4.3296782546380586</c:v>
                </c:pt>
                <c:pt idx="17">
                  <c:v>4.3296782546380586</c:v>
                </c:pt>
                <c:pt idx="18">
                  <c:v>4.3296782546380586</c:v>
                </c:pt>
                <c:pt idx="19">
                  <c:v>4.3296782546380586</c:v>
                </c:pt>
                <c:pt idx="20">
                  <c:v>4.3296782546380586</c:v>
                </c:pt>
                <c:pt idx="21">
                  <c:v>4.3296782546380586</c:v>
                </c:pt>
                <c:pt idx="22">
                  <c:v>4.3296782546380586</c:v>
                </c:pt>
                <c:pt idx="23">
                  <c:v>4.3296782546380586</c:v>
                </c:pt>
                <c:pt idx="24">
                  <c:v>4.3296782546380586</c:v>
                </c:pt>
                <c:pt idx="25">
                  <c:v>4.3296782546380586</c:v>
                </c:pt>
                <c:pt idx="26">
                  <c:v>4.3296782546380586</c:v>
                </c:pt>
                <c:pt idx="27">
                  <c:v>4.3296782546380586</c:v>
                </c:pt>
                <c:pt idx="28">
                  <c:v>4.3296782546380586</c:v>
                </c:pt>
                <c:pt idx="29">
                  <c:v>4.3296782546380586</c:v>
                </c:pt>
                <c:pt idx="30">
                  <c:v>4.3296782546380586</c:v>
                </c:pt>
                <c:pt idx="31">
                  <c:v>4.3296782546380586</c:v>
                </c:pt>
                <c:pt idx="32">
                  <c:v>4.3296782546380586</c:v>
                </c:pt>
                <c:pt idx="33">
                  <c:v>4.3296782546380586</c:v>
                </c:pt>
                <c:pt idx="34">
                  <c:v>4.3296782546380586</c:v>
                </c:pt>
                <c:pt idx="35">
                  <c:v>4.3296782546380586</c:v>
                </c:pt>
                <c:pt idx="36">
                  <c:v>4.3296782546380586</c:v>
                </c:pt>
                <c:pt idx="37">
                  <c:v>4.3296782546380586</c:v>
                </c:pt>
                <c:pt idx="38">
                  <c:v>4.3296782546380586</c:v>
                </c:pt>
                <c:pt idx="39">
                  <c:v>4.3296782546380586</c:v>
                </c:pt>
                <c:pt idx="40">
                  <c:v>4.3296782546380586</c:v>
                </c:pt>
                <c:pt idx="41">
                  <c:v>4.3296782546380586</c:v>
                </c:pt>
                <c:pt idx="42">
                  <c:v>4.3296782546380586</c:v>
                </c:pt>
                <c:pt idx="43">
                  <c:v>4.3296782546380586</c:v>
                </c:pt>
                <c:pt idx="44">
                  <c:v>4.3296782546380586</c:v>
                </c:pt>
                <c:pt idx="45">
                  <c:v>4.3296782546380586</c:v>
                </c:pt>
                <c:pt idx="46">
                  <c:v>4.3296782546380586</c:v>
                </c:pt>
                <c:pt idx="47">
                  <c:v>4.3296782546380586</c:v>
                </c:pt>
                <c:pt idx="48">
                  <c:v>4.3296782546380586</c:v>
                </c:pt>
                <c:pt idx="49">
                  <c:v>4.3296782546380586</c:v>
                </c:pt>
                <c:pt idx="50">
                  <c:v>4.3296782546380586</c:v>
                </c:pt>
                <c:pt idx="51">
                  <c:v>4.3296782546380586</c:v>
                </c:pt>
                <c:pt idx="52">
                  <c:v>4.3296782546380586</c:v>
                </c:pt>
                <c:pt idx="53">
                  <c:v>4.3296782546380586</c:v>
                </c:pt>
                <c:pt idx="54">
                  <c:v>4.3296782546380586</c:v>
                </c:pt>
                <c:pt idx="55">
                  <c:v>4.3296782546380586</c:v>
                </c:pt>
                <c:pt idx="56">
                  <c:v>4.3296782546380586</c:v>
                </c:pt>
                <c:pt idx="57">
                  <c:v>4.3296782546380586</c:v>
                </c:pt>
                <c:pt idx="58">
                  <c:v>4.3296782546380586</c:v>
                </c:pt>
                <c:pt idx="59">
                  <c:v>4.3296782546380586</c:v>
                </c:pt>
                <c:pt idx="60">
                  <c:v>4.3296782546380586</c:v>
                </c:pt>
                <c:pt idx="61">
                  <c:v>4.3296782546380586</c:v>
                </c:pt>
                <c:pt idx="62">
                  <c:v>4.3296782546380586</c:v>
                </c:pt>
                <c:pt idx="63">
                  <c:v>4.3296782546380586</c:v>
                </c:pt>
                <c:pt idx="64">
                  <c:v>4.3296782546380586</c:v>
                </c:pt>
                <c:pt idx="65">
                  <c:v>4.3296782546380586</c:v>
                </c:pt>
                <c:pt idx="66">
                  <c:v>4.3296782546380586</c:v>
                </c:pt>
                <c:pt idx="67">
                  <c:v>4.3296782546380586</c:v>
                </c:pt>
                <c:pt idx="68">
                  <c:v>4.3296782546380586</c:v>
                </c:pt>
                <c:pt idx="69">
                  <c:v>4.3296782546380586</c:v>
                </c:pt>
                <c:pt idx="70">
                  <c:v>4.3296782546380586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C24-7E4A-B6CE-54573B21AA0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Neg_101!$P$5:$P$75</c:f>
              <c:numCache>
                <c:formatCode>0.0</c:formatCode>
                <c:ptCount val="71"/>
                <c:pt idx="0">
                  <c:v>4.3917597561181276</c:v>
                </c:pt>
                <c:pt idx="1">
                  <c:v>4.3917597561181276</c:v>
                </c:pt>
                <c:pt idx="2">
                  <c:v>4.3917597561181276</c:v>
                </c:pt>
                <c:pt idx="3">
                  <c:v>4.3917597561181276</c:v>
                </c:pt>
                <c:pt idx="4">
                  <c:v>4.3917597561181276</c:v>
                </c:pt>
                <c:pt idx="5">
                  <c:v>4.3917597561181276</c:v>
                </c:pt>
                <c:pt idx="6">
                  <c:v>4.3917597561181276</c:v>
                </c:pt>
                <c:pt idx="7">
                  <c:v>4.3917597561181276</c:v>
                </c:pt>
                <c:pt idx="8">
                  <c:v>4.3917597561181276</c:v>
                </c:pt>
                <c:pt idx="9">
                  <c:v>4.3917597561181276</c:v>
                </c:pt>
                <c:pt idx="10">
                  <c:v>4.3917597561181276</c:v>
                </c:pt>
                <c:pt idx="11">
                  <c:v>4.3917597561181276</c:v>
                </c:pt>
                <c:pt idx="12">
                  <c:v>4.3917597561181276</c:v>
                </c:pt>
                <c:pt idx="13">
                  <c:v>4.3917597561181276</c:v>
                </c:pt>
                <c:pt idx="14">
                  <c:v>4.3917597561181276</c:v>
                </c:pt>
                <c:pt idx="15">
                  <c:v>4.3917597561181276</c:v>
                </c:pt>
                <c:pt idx="16">
                  <c:v>4.3917597561181276</c:v>
                </c:pt>
                <c:pt idx="17">
                  <c:v>4.3917597561181276</c:v>
                </c:pt>
                <c:pt idx="18">
                  <c:v>4.3917597561181276</c:v>
                </c:pt>
                <c:pt idx="19">
                  <c:v>4.3917597561181276</c:v>
                </c:pt>
                <c:pt idx="20">
                  <c:v>4.3917597561181276</c:v>
                </c:pt>
                <c:pt idx="21">
                  <c:v>4.3917597561181276</c:v>
                </c:pt>
                <c:pt idx="22">
                  <c:v>4.3917597561181276</c:v>
                </c:pt>
                <c:pt idx="23">
                  <c:v>4.3917597561181276</c:v>
                </c:pt>
                <c:pt idx="24">
                  <c:v>4.3917597561181276</c:v>
                </c:pt>
                <c:pt idx="25">
                  <c:v>4.3917597561181276</c:v>
                </c:pt>
                <c:pt idx="26">
                  <c:v>4.3917597561181276</c:v>
                </c:pt>
                <c:pt idx="27">
                  <c:v>4.3917597561181276</c:v>
                </c:pt>
                <c:pt idx="28">
                  <c:v>4.3917597561181276</c:v>
                </c:pt>
                <c:pt idx="29">
                  <c:v>4.3917597561181276</c:v>
                </c:pt>
                <c:pt idx="30">
                  <c:v>4.3917597561181276</c:v>
                </c:pt>
                <c:pt idx="31">
                  <c:v>4.3917597561181276</c:v>
                </c:pt>
                <c:pt idx="32">
                  <c:v>4.3917597561181276</c:v>
                </c:pt>
                <c:pt idx="33">
                  <c:v>4.3917597561181276</c:v>
                </c:pt>
                <c:pt idx="34">
                  <c:v>4.3917597561181276</c:v>
                </c:pt>
                <c:pt idx="35">
                  <c:v>4.3917597561181276</c:v>
                </c:pt>
                <c:pt idx="36">
                  <c:v>4.3917597561181276</c:v>
                </c:pt>
                <c:pt idx="37">
                  <c:v>4.3917597561181276</c:v>
                </c:pt>
                <c:pt idx="38">
                  <c:v>4.3917597561181276</c:v>
                </c:pt>
                <c:pt idx="39">
                  <c:v>4.3917597561181276</c:v>
                </c:pt>
                <c:pt idx="40">
                  <c:v>4.3917597561181276</c:v>
                </c:pt>
                <c:pt idx="41">
                  <c:v>4.3917597561181276</c:v>
                </c:pt>
                <c:pt idx="42">
                  <c:v>4.3917597561181276</c:v>
                </c:pt>
                <c:pt idx="43">
                  <c:v>4.3917597561181276</c:v>
                </c:pt>
                <c:pt idx="44">
                  <c:v>4.3917597561181276</c:v>
                </c:pt>
                <c:pt idx="45">
                  <c:v>4.3917597561181276</c:v>
                </c:pt>
                <c:pt idx="46">
                  <c:v>4.3917597561181276</c:v>
                </c:pt>
                <c:pt idx="47">
                  <c:v>4.3917597561181276</c:v>
                </c:pt>
                <c:pt idx="48">
                  <c:v>4.3917597561181276</c:v>
                </c:pt>
                <c:pt idx="49">
                  <c:v>4.3917597561181276</c:v>
                </c:pt>
                <c:pt idx="50">
                  <c:v>4.3917597561181276</c:v>
                </c:pt>
                <c:pt idx="51">
                  <c:v>4.3917597561181276</c:v>
                </c:pt>
                <c:pt idx="52">
                  <c:v>4.3917597561181276</c:v>
                </c:pt>
                <c:pt idx="53">
                  <c:v>4.3917597561181276</c:v>
                </c:pt>
                <c:pt idx="54">
                  <c:v>4.3917597561181276</c:v>
                </c:pt>
                <c:pt idx="55">
                  <c:v>4.3917597561181276</c:v>
                </c:pt>
                <c:pt idx="56">
                  <c:v>4.3917597561181276</c:v>
                </c:pt>
                <c:pt idx="57">
                  <c:v>4.3917597561181276</c:v>
                </c:pt>
                <c:pt idx="58">
                  <c:v>4.3917597561181276</c:v>
                </c:pt>
                <c:pt idx="59">
                  <c:v>4.3917597561181276</c:v>
                </c:pt>
                <c:pt idx="60">
                  <c:v>4.3917597561181276</c:v>
                </c:pt>
                <c:pt idx="61">
                  <c:v>4.3917597561181276</c:v>
                </c:pt>
                <c:pt idx="62">
                  <c:v>4.3917597561181276</c:v>
                </c:pt>
                <c:pt idx="63">
                  <c:v>4.3917597561181276</c:v>
                </c:pt>
                <c:pt idx="64">
                  <c:v>4.3917597561181276</c:v>
                </c:pt>
                <c:pt idx="65">
                  <c:v>4.3917597561181276</c:v>
                </c:pt>
                <c:pt idx="66">
                  <c:v>4.3917597561181276</c:v>
                </c:pt>
                <c:pt idx="67">
                  <c:v>4.3917597561181276</c:v>
                </c:pt>
                <c:pt idx="68">
                  <c:v>4.3917597561181276</c:v>
                </c:pt>
                <c:pt idx="69">
                  <c:v>4.3917597561181276</c:v>
                </c:pt>
                <c:pt idx="70">
                  <c:v>4.3917597561181276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C24-7E4A-B6CE-54573B21AA0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Neg_101!$S$5:$S$75</c:f>
              <c:strCache>
                <c:ptCount val="71"/>
                <c:pt idx="0">
                  <c:v> (340,37,60,100,150,0.64) </c:v>
                </c:pt>
                <c:pt idx="1">
                  <c:v> (340,37,70,100,141,0.65) </c:v>
                </c:pt>
                <c:pt idx="2">
                  <c:v> (340,37,80,100,136,0.66) </c:v>
                </c:pt>
                <c:pt idx="3">
                  <c:v> (340,37,90,100,133,0.66) </c:v>
                </c:pt>
                <c:pt idx="4">
                  <c:v> (340,37,100,100,131,0.66) </c:v>
                </c:pt>
                <c:pt idx="5">
                  <c:v> (350,36,50,100,122,0.67) </c:v>
                </c:pt>
                <c:pt idx="6">
                  <c:v> (350,36,60,100,116,0.67) </c:v>
                </c:pt>
                <c:pt idx="7">
                  <c:v> (350,36,70,100,113,0.68) </c:v>
                </c:pt>
                <c:pt idx="8">
                  <c:v> (350,36,80,100,111,0.69) </c:v>
                </c:pt>
                <c:pt idx="9">
                  <c:v> (350,36,90,100,110,0.69) </c:v>
                </c:pt>
                <c:pt idx="10">
                  <c:v> (350,36,100,100,109,0.69) </c:v>
                </c:pt>
                <c:pt idx="11">
                  <c:v> (360,35,40,100,112,0.67) </c:v>
                </c:pt>
                <c:pt idx="12">
                  <c:v> (360,35,50,100,105,0.69) </c:v>
                </c:pt>
                <c:pt idx="13">
                  <c:v> (360,35,60,100,102,0.7) </c:v>
                </c:pt>
                <c:pt idx="14">
                  <c:v> (360,35,70,100,99,0.71) </c:v>
                </c:pt>
                <c:pt idx="15">
                  <c:v> (360,35,80,100,98,0.71) </c:v>
                </c:pt>
                <c:pt idx="16">
                  <c:v> (360,35,90,100,98,0.71) </c:v>
                </c:pt>
                <c:pt idx="17">
                  <c:v> (360,35,100,100,97,0.72) </c:v>
                </c:pt>
                <c:pt idx="18">
                  <c:v> (370,34,30,100,110,0.66) </c:v>
                </c:pt>
                <c:pt idx="19">
                  <c:v> (370,34,40,100,99,0.69) </c:v>
                </c:pt>
                <c:pt idx="20">
                  <c:v> (370,34,50,100,95,0.71) </c:v>
                </c:pt>
                <c:pt idx="21">
                  <c:v> (370,34,60,100,92,0.72) </c:v>
                </c:pt>
                <c:pt idx="22">
                  <c:v> (370,34,70,100,91,0.73) </c:v>
                </c:pt>
                <c:pt idx="23">
                  <c:v> (370,34,80,100,90,0.73) </c:v>
                </c:pt>
                <c:pt idx="24">
                  <c:v> (370,34,90,100,89,0.73) </c:v>
                </c:pt>
                <c:pt idx="25">
                  <c:v> (370,34,100,100,89,0.74) </c:v>
                </c:pt>
                <c:pt idx="26">
                  <c:v> (380,34,20,100,124,0.61) </c:v>
                </c:pt>
                <c:pt idx="27">
                  <c:v> (380,33,30,100,98,0.69) </c:v>
                </c:pt>
                <c:pt idx="28">
                  <c:v> (380,33,40,100,91,0.72) </c:v>
                </c:pt>
                <c:pt idx="29">
                  <c:v> (380,33,50,100,87,0.73) </c:v>
                </c:pt>
                <c:pt idx="30">
                  <c:v> (380,33,60,100,85,0.74) </c:v>
                </c:pt>
                <c:pt idx="31">
                  <c:v> (380,33,70,100,84,0.75) </c:v>
                </c:pt>
                <c:pt idx="32">
                  <c:v> (380,33,80,100,84,0.75) </c:v>
                </c:pt>
                <c:pt idx="33">
                  <c:v> (380,33,90,100,83,0.76) </c:v>
                </c:pt>
                <c:pt idx="34">
                  <c:v> (380,33,100,100,83,0.76) </c:v>
                </c:pt>
                <c:pt idx="35">
                  <c:v> (390,33,20,100,107,0.64) </c:v>
                </c:pt>
                <c:pt idx="36">
                  <c:v> (390,33,30,100,90,0.71) </c:v>
                </c:pt>
                <c:pt idx="37">
                  <c:v> (390,33,40,100,84,0.74) </c:v>
                </c:pt>
                <c:pt idx="38">
                  <c:v> (390,33,50,100,81,0.75) </c:v>
                </c:pt>
                <c:pt idx="39">
                  <c:v> (390,33,60,100,80,0.76) </c:v>
                </c:pt>
                <c:pt idx="40">
                  <c:v> (390,33,70,100,79,0.77) </c:v>
                </c:pt>
                <c:pt idx="41">
                  <c:v> (390,33,80,100,79,0.77) </c:v>
                </c:pt>
                <c:pt idx="42">
                  <c:v> (390,33,90,100,78,0.77) </c:v>
                </c:pt>
                <c:pt idx="43">
                  <c:v> (390,33,100,100,78,0.78) </c:v>
                </c:pt>
                <c:pt idx="44">
                  <c:v> (400,32,20,100,96,0.67) </c:v>
                </c:pt>
                <c:pt idx="45">
                  <c:v> (400,32,30,100,84,0.73) </c:v>
                </c:pt>
                <c:pt idx="46">
                  <c:v> (400,32,40,100,79,0.76) </c:v>
                </c:pt>
                <c:pt idx="47">
                  <c:v> (400,32,50,100,77,0.76) </c:v>
                </c:pt>
                <c:pt idx="48">
                  <c:v> (400,32,60,100,76,0.78) </c:v>
                </c:pt>
                <c:pt idx="49">
                  <c:v> (400,32,70,100,75,0.79) </c:v>
                </c:pt>
                <c:pt idx="50">
                  <c:v> (400,32,80,100,75,0.79) </c:v>
                </c:pt>
                <c:pt idx="51">
                  <c:v> (400,32,90,100,75,0.79) </c:v>
                </c:pt>
                <c:pt idx="52">
                  <c:v> (400,32,100,100,74,0.79) </c:v>
                </c:pt>
                <c:pt idx="53">
                  <c:v> (410,31,20,100,88,0.7) </c:v>
                </c:pt>
                <c:pt idx="54">
                  <c:v> (410,31,30,100,79,0.75) </c:v>
                </c:pt>
                <c:pt idx="55">
                  <c:v> (410,31,40,100,75,0.78) </c:v>
                </c:pt>
                <c:pt idx="56">
                  <c:v> (410,31,50,100,73,0.79) </c:v>
                </c:pt>
                <c:pt idx="57">
                  <c:v> (410,31,60,100,72,0.8) </c:v>
                </c:pt>
                <c:pt idx="58">
                  <c:v> (410,31,70,100,72,0.8) </c:v>
                </c:pt>
                <c:pt idx="59">
                  <c:v> (410,31,80,100,72,0.81) </c:v>
                </c:pt>
                <c:pt idx="60">
                  <c:v> (410,31,90,100,71,0.81) </c:v>
                </c:pt>
                <c:pt idx="61">
                  <c:v> (410,31,100,100,71,0.81) </c:v>
                </c:pt>
                <c:pt idx="62">
                  <c:v> (420,31,20,100,82,0.72) </c:v>
                </c:pt>
                <c:pt idx="63">
                  <c:v> (420,31,30,100,75,0.77) </c:v>
                </c:pt>
                <c:pt idx="64">
                  <c:v> (420,31,40,100,72,0.8) </c:v>
                </c:pt>
                <c:pt idx="65">
                  <c:v> (420,31,50,100,70,0.81) </c:v>
                </c:pt>
                <c:pt idx="66">
                  <c:v> (420,31,60,100,69,0.81) </c:v>
                </c:pt>
                <c:pt idx="67">
                  <c:v> (420,31,70,100,69,0.82) </c:v>
                </c:pt>
                <c:pt idx="68">
                  <c:v> (420,31,80,100,69,0.82) </c:v>
                </c:pt>
                <c:pt idx="69">
                  <c:v> (420,31,90,100,69,0.82) </c:v>
                </c:pt>
                <c:pt idx="70">
                  <c:v> (420,31,100,100,69,0.82) </c:v>
                </c:pt>
              </c:strCache>
            </c:strRef>
          </c:cat>
          <c:val>
            <c:numRef>
              <c:f>Neg_101!$O$5:$O$75</c:f>
              <c:numCache>
                <c:formatCode>_(* #,##0.00_);_(* \(#,##0.00\);_(* "-"??_);_(@_)</c:formatCode>
                <c:ptCount val="71"/>
                <c:pt idx="0">
                  <c:v>37.546768679853677</c:v>
                </c:pt>
                <c:pt idx="1">
                  <c:v>35.728265213605432</c:v>
                </c:pt>
                <c:pt idx="2">
                  <c:v>34.76355109372421</c:v>
                </c:pt>
                <c:pt idx="3">
                  <c:v>34.167832424295881</c:v>
                </c:pt>
                <c:pt idx="4">
                  <c:v>33.725536947759785</c:v>
                </c:pt>
                <c:pt idx="5">
                  <c:v>31.960292968548593</c:v>
                </c:pt>
                <c:pt idx="6">
                  <c:v>30.388475281570795</c:v>
                </c:pt>
                <c:pt idx="7">
                  <c:v>29.981465189931136</c:v>
                </c:pt>
                <c:pt idx="8">
                  <c:v>29.667210822787194</c:v>
                </c:pt>
                <c:pt idx="9">
                  <c:v>29.532892423927272</c:v>
                </c:pt>
                <c:pt idx="10">
                  <c:v>29.340908738590205</c:v>
                </c:pt>
                <c:pt idx="11">
                  <c:v>29.126623130423567</c:v>
                </c:pt>
                <c:pt idx="12">
                  <c:v>28.1413616096137</c:v>
                </c:pt>
                <c:pt idx="13">
                  <c:v>27.79466808199037</c:v>
                </c:pt>
                <c:pt idx="14">
                  <c:v>27.258954061573771</c:v>
                </c:pt>
                <c:pt idx="15">
                  <c:v>27.155554237545761</c:v>
                </c:pt>
                <c:pt idx="16">
                  <c:v>27.25872012532032</c:v>
                </c:pt>
                <c:pt idx="17">
                  <c:v>27.052427339146792</c:v>
                </c:pt>
                <c:pt idx="18">
                  <c:v>28.186199391526294</c:v>
                </c:pt>
                <c:pt idx="19">
                  <c:v>26.714701367905981</c:v>
                </c:pt>
                <c:pt idx="20">
                  <c:v>26.342781714284882</c:v>
                </c:pt>
                <c:pt idx="21">
                  <c:v>25.866019629739455</c:v>
                </c:pt>
                <c:pt idx="22">
                  <c:v>25.836777598057314</c:v>
                </c:pt>
                <c:pt idx="23">
                  <c:v>25.665146366771008</c:v>
                </c:pt>
                <c:pt idx="24">
                  <c:v>25.459789325611315</c:v>
                </c:pt>
                <c:pt idx="25">
                  <c:v>25.525720359710622</c:v>
                </c:pt>
                <c:pt idx="26">
                  <c:v>29.559249241816769</c:v>
                </c:pt>
                <c:pt idx="27">
                  <c:v>26.204135494736015</c:v>
                </c:pt>
                <c:pt idx="28">
                  <c:v>25.492618379846448</c:v>
                </c:pt>
                <c:pt idx="29">
                  <c:v>24.918187909482704</c:v>
                </c:pt>
                <c:pt idx="30">
                  <c:v>24.683393889762996</c:v>
                </c:pt>
                <c:pt idx="31">
                  <c:v>24.573131935633583</c:v>
                </c:pt>
                <c:pt idx="32">
                  <c:v>24.684485592279131</c:v>
                </c:pt>
                <c:pt idx="33">
                  <c:v>24.46181726836361</c:v>
                </c:pt>
                <c:pt idx="34">
                  <c:v>24.507122922783125</c:v>
                </c:pt>
                <c:pt idx="35">
                  <c:v>26.820908426975478</c:v>
                </c:pt>
                <c:pt idx="36">
                  <c:v>24.889647686560952</c:v>
                </c:pt>
                <c:pt idx="37">
                  <c:v>24.196494567567758</c:v>
                </c:pt>
                <c:pt idx="38">
                  <c:v>23.834478215343001</c:v>
                </c:pt>
                <c:pt idx="39">
                  <c:v>23.811591451879796</c:v>
                </c:pt>
                <c:pt idx="40">
                  <c:v>23.683355395609759</c:v>
                </c:pt>
                <c:pt idx="41">
                  <c:v>23.75727925170218</c:v>
                </c:pt>
                <c:pt idx="42">
                  <c:v>23.535624651551643</c:v>
                </c:pt>
                <c:pt idx="43">
                  <c:v>23.578201049680825</c:v>
                </c:pt>
                <c:pt idx="44">
                  <c:v>25.104167230981044</c:v>
                </c:pt>
                <c:pt idx="45">
                  <c:v>23.954136608986275</c:v>
                </c:pt>
                <c:pt idx="46">
                  <c:v>23.375339328558002</c:v>
                </c:pt>
                <c:pt idx="47">
                  <c:v>22.783558586062863</c:v>
                </c:pt>
                <c:pt idx="48">
                  <c:v>23.148460152080258</c:v>
                </c:pt>
                <c:pt idx="49">
                  <c:v>22.975464292648777</c:v>
                </c:pt>
                <c:pt idx="50">
                  <c:v>23.0485693718541</c:v>
                </c:pt>
                <c:pt idx="51">
                  <c:v>23.130447060564062</c:v>
                </c:pt>
                <c:pt idx="52">
                  <c:v>22.845122810097635</c:v>
                </c:pt>
                <c:pt idx="53">
                  <c:v>23.931678728654401</c:v>
                </c:pt>
                <c:pt idx="54">
                  <c:v>23.205930491679531</c:v>
                </c:pt>
                <c:pt idx="55">
                  <c:v>22.776618477210306</c:v>
                </c:pt>
                <c:pt idx="56">
                  <c:v>22.539251158702569</c:v>
                </c:pt>
                <c:pt idx="57">
                  <c:v>22.424193511377283</c:v>
                </c:pt>
                <c:pt idx="58">
                  <c:v>22.528061207912206</c:v>
                </c:pt>
                <c:pt idx="59">
                  <c:v>22.62069996428119</c:v>
                </c:pt>
                <c:pt idx="60">
                  <c:v>22.3425107695452</c:v>
                </c:pt>
                <c:pt idx="61">
                  <c:v>22.372961471870191</c:v>
                </c:pt>
                <c:pt idx="62">
                  <c:v>23.04810149934719</c:v>
                </c:pt>
                <c:pt idx="63">
                  <c:v>22.586545271276464</c:v>
                </c:pt>
                <c:pt idx="64">
                  <c:v>22.345590930215721</c:v>
                </c:pt>
                <c:pt idx="65">
                  <c:v>22.036015288140916</c:v>
                </c:pt>
                <c:pt idx="66">
                  <c:v>21.898772686112792</c:v>
                </c:pt>
                <c:pt idx="67">
                  <c:v>22.009073629617784</c:v>
                </c:pt>
                <c:pt idx="68">
                  <c:v>22.068259501742411</c:v>
                </c:pt>
                <c:pt idx="69">
                  <c:v>22.103232971634238</c:v>
                </c:pt>
                <c:pt idx="70">
                  <c:v>22.138206441526066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C24-7E4A-B6CE-54573B21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4432640"/>
        <c:axId val="38480454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Neg_101!$Q$5:$Q$75</c:f>
              <c:numCache>
                <c:formatCode>_(* #,##0.00_);_(* \(#,##0.00\);_(* "-"??_);_(@_)</c:formatCode>
                <c:ptCount val="71"/>
                <c:pt idx="0">
                  <c:v>122.01662292373108</c:v>
                </c:pt>
                <c:pt idx="1">
                  <c:v>120.65655597856214</c:v>
                </c:pt>
                <c:pt idx="2">
                  <c:v>120.15027837976025</c:v>
                </c:pt>
                <c:pt idx="3">
                  <c:v>120.01299623141125</c:v>
                </c:pt>
                <c:pt idx="4">
                  <c:v>120.02913727595448</c:v>
                </c:pt>
                <c:pt idx="5">
                  <c:v>117.55062346042136</c:v>
                </c:pt>
                <c:pt idx="6">
                  <c:v>116.43724229452287</c:v>
                </c:pt>
                <c:pt idx="7">
                  <c:v>116.48866872396253</c:v>
                </c:pt>
                <c:pt idx="8">
                  <c:v>116.63285087789794</c:v>
                </c:pt>
                <c:pt idx="9">
                  <c:v>116.95696900011733</c:v>
                </c:pt>
                <c:pt idx="10">
                  <c:v>117.22342183585958</c:v>
                </c:pt>
                <c:pt idx="11">
                  <c:v>115.83742987029167</c:v>
                </c:pt>
                <c:pt idx="12">
                  <c:v>115.31060487056112</c:v>
                </c:pt>
                <c:pt idx="13">
                  <c:v>115.42234786401711</c:v>
                </c:pt>
                <c:pt idx="14">
                  <c:v>115.34507036467984</c:v>
                </c:pt>
                <c:pt idx="15">
                  <c:v>115.70010706173116</c:v>
                </c:pt>
                <c:pt idx="16">
                  <c:v>116.26170947058505</c:v>
                </c:pt>
                <c:pt idx="17">
                  <c:v>116.51385320549083</c:v>
                </c:pt>
                <c:pt idx="18">
                  <c:v>116.01748237938976</c:v>
                </c:pt>
                <c:pt idx="19">
                  <c:v>115.00442087684876</c:v>
                </c:pt>
                <c:pt idx="20">
                  <c:v>115.09093774430698</c:v>
                </c:pt>
                <c:pt idx="21">
                  <c:v>115.07261218084088</c:v>
                </c:pt>
                <c:pt idx="22">
                  <c:v>115.50180667023805</c:v>
                </c:pt>
                <c:pt idx="23">
                  <c:v>115.78861196003109</c:v>
                </c:pt>
                <c:pt idx="24">
                  <c:v>116.04169143995071</c:v>
                </c:pt>
                <c:pt idx="25">
                  <c:v>116.56605899512934</c:v>
                </c:pt>
                <c:pt idx="26">
                  <c:v>118.56270784217708</c:v>
                </c:pt>
                <c:pt idx="27">
                  <c:v>115.61433125167416</c:v>
                </c:pt>
                <c:pt idx="28">
                  <c:v>115.36125065786391</c:v>
                </c:pt>
                <c:pt idx="29">
                  <c:v>115.24525670857948</c:v>
                </c:pt>
                <c:pt idx="30">
                  <c:v>115.4688992099391</c:v>
                </c:pt>
                <c:pt idx="31">
                  <c:v>115.817073776889</c:v>
                </c:pt>
                <c:pt idx="32">
                  <c:v>116.38686395461389</c:v>
                </c:pt>
                <c:pt idx="33">
                  <c:v>116.62263215177769</c:v>
                </c:pt>
                <c:pt idx="34">
                  <c:v>117.12637432727652</c:v>
                </c:pt>
                <c:pt idx="35">
                  <c:v>117.40327979641046</c:v>
                </c:pt>
                <c:pt idx="36">
                  <c:v>115.93045557707526</c:v>
                </c:pt>
                <c:pt idx="37">
                  <c:v>115.69573897916139</c:v>
                </c:pt>
                <c:pt idx="38">
                  <c:v>115.79215914801595</c:v>
                </c:pt>
                <c:pt idx="39">
                  <c:v>116.22770890563207</c:v>
                </c:pt>
                <c:pt idx="40">
                  <c:v>116.55790937044135</c:v>
                </c:pt>
                <c:pt idx="41">
                  <c:v>117.09026974761311</c:v>
                </c:pt>
                <c:pt idx="42">
                  <c:v>117.3270516685419</c:v>
                </c:pt>
                <c:pt idx="43">
                  <c:v>117.8280645877504</c:v>
                </c:pt>
                <c:pt idx="44">
                  <c:v>117.26545136949069</c:v>
                </c:pt>
                <c:pt idx="45">
                  <c:v>116.57385726857525</c:v>
                </c:pt>
                <c:pt idx="46">
                  <c:v>116.4534965092263</c:v>
                </c:pt>
                <c:pt idx="47">
                  <c:v>116.32015228781049</c:v>
                </c:pt>
                <c:pt idx="48">
                  <c:v>117.1434903749072</c:v>
                </c:pt>
                <c:pt idx="49">
                  <c:v>117.42893103655504</c:v>
                </c:pt>
                <c:pt idx="50">
                  <c:v>117.9604726368397</c:v>
                </c:pt>
                <c:pt idx="51">
                  <c:v>118.50078684662898</c:v>
                </c:pt>
                <c:pt idx="52">
                  <c:v>118.67389911724187</c:v>
                </c:pt>
                <c:pt idx="53">
                  <c:v>117.67187563623872</c:v>
                </c:pt>
                <c:pt idx="54">
                  <c:v>117.40456392034319</c:v>
                </c:pt>
                <c:pt idx="55">
                  <c:v>117.43368842695328</c:v>
                </c:pt>
                <c:pt idx="56">
                  <c:v>117.65475762952487</c:v>
                </c:pt>
                <c:pt idx="57">
                  <c:v>117.9981365032789</c:v>
                </c:pt>
                <c:pt idx="58">
                  <c:v>118.56044072089314</c:v>
                </c:pt>
                <c:pt idx="59">
                  <c:v>119.11151599834146</c:v>
                </c:pt>
                <c:pt idx="60">
                  <c:v>119.29176332468479</c:v>
                </c:pt>
                <c:pt idx="61">
                  <c:v>119.7806505480891</c:v>
                </c:pt>
                <c:pt idx="62">
                  <c:v>118.4189105405077</c:v>
                </c:pt>
                <c:pt idx="63">
                  <c:v>118.4157908335163</c:v>
                </c:pt>
                <c:pt idx="64">
                  <c:v>118.63327301353488</c:v>
                </c:pt>
                <c:pt idx="65">
                  <c:v>118.78213389253939</c:v>
                </c:pt>
                <c:pt idx="66">
                  <c:v>119.10332781159059</c:v>
                </c:pt>
                <c:pt idx="67">
                  <c:v>119.67206527617491</c:v>
                </c:pt>
                <c:pt idx="68">
                  <c:v>120.18968766937887</c:v>
                </c:pt>
                <c:pt idx="69">
                  <c:v>120.68309766035001</c:v>
                </c:pt>
                <c:pt idx="70">
                  <c:v>121.17650765132116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C24-7E4A-B6CE-54573B21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32640"/>
        <c:axId val="384804544"/>
      </c:lineChart>
      <c:catAx>
        <c:axId val="38443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4804544"/>
        <c:crosses val="autoZero"/>
        <c:auto val="1"/>
        <c:lblAlgn val="ctr"/>
        <c:lblOffset val="100"/>
        <c:noMultiLvlLbl val="0"/>
      </c:catAx>
      <c:valAx>
        <c:axId val="384804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4432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 (Net-Negative)</a:t>
            </a:r>
            <a:endParaRPr lang="en-GB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</c:v>
          </c:tx>
          <c:marker>
            <c:symbol val="diamond"/>
            <c:size val="10"/>
          </c:marker>
          <c:cat>
            <c:strRef>
              <c:f>Neg_101!$U$5:$U$75</c:f>
              <c:strCache>
                <c:ptCount val="71"/>
                <c:pt idx="0">
                  <c:v> (340,37,60) </c:v>
                </c:pt>
                <c:pt idx="1">
                  <c:v> (340,37,70) </c:v>
                </c:pt>
                <c:pt idx="2">
                  <c:v> (340,37,80) </c:v>
                </c:pt>
                <c:pt idx="3">
                  <c:v> (340,37,90) </c:v>
                </c:pt>
                <c:pt idx="4">
                  <c:v> (340,37,100) </c:v>
                </c:pt>
                <c:pt idx="5">
                  <c:v> (350,36,50) </c:v>
                </c:pt>
                <c:pt idx="6">
                  <c:v> (350,36,60) </c:v>
                </c:pt>
                <c:pt idx="7">
                  <c:v> (350,36,70) </c:v>
                </c:pt>
                <c:pt idx="8">
                  <c:v> (350,36,80) </c:v>
                </c:pt>
                <c:pt idx="9">
                  <c:v> (350,36,90) </c:v>
                </c:pt>
                <c:pt idx="10">
                  <c:v> (350,36,100) </c:v>
                </c:pt>
                <c:pt idx="11">
                  <c:v> (360,35,40) </c:v>
                </c:pt>
                <c:pt idx="12">
                  <c:v> (360,35,50) </c:v>
                </c:pt>
                <c:pt idx="13">
                  <c:v> (360,35,60) </c:v>
                </c:pt>
                <c:pt idx="14">
                  <c:v> (360,35,70) </c:v>
                </c:pt>
                <c:pt idx="15">
                  <c:v> (360,35,80) </c:v>
                </c:pt>
                <c:pt idx="16">
                  <c:v> (360,35,90) </c:v>
                </c:pt>
                <c:pt idx="17">
                  <c:v> (360,35,100) </c:v>
                </c:pt>
                <c:pt idx="18">
                  <c:v> (370,34,30) </c:v>
                </c:pt>
                <c:pt idx="19">
                  <c:v> (370,34,40) </c:v>
                </c:pt>
                <c:pt idx="20">
                  <c:v> (370,34,50) </c:v>
                </c:pt>
                <c:pt idx="21">
                  <c:v> (370,34,60) </c:v>
                </c:pt>
                <c:pt idx="22">
                  <c:v> (370,34,70) </c:v>
                </c:pt>
                <c:pt idx="23">
                  <c:v> (370,34,80) </c:v>
                </c:pt>
                <c:pt idx="24">
                  <c:v> (370,34,90) </c:v>
                </c:pt>
                <c:pt idx="25">
                  <c:v> (370,34,100) </c:v>
                </c:pt>
                <c:pt idx="26">
                  <c:v> (380,34,20) </c:v>
                </c:pt>
                <c:pt idx="27">
                  <c:v> (380,33,30) </c:v>
                </c:pt>
                <c:pt idx="28">
                  <c:v> (380,33,40) </c:v>
                </c:pt>
                <c:pt idx="29">
                  <c:v> (380,33,50) </c:v>
                </c:pt>
                <c:pt idx="30">
                  <c:v> (380,33,60) </c:v>
                </c:pt>
                <c:pt idx="31">
                  <c:v> (380,33,70) </c:v>
                </c:pt>
                <c:pt idx="32">
                  <c:v> (380,33,80) </c:v>
                </c:pt>
                <c:pt idx="33">
                  <c:v> (380,33,90) </c:v>
                </c:pt>
                <c:pt idx="34">
                  <c:v> (380,33,100) </c:v>
                </c:pt>
                <c:pt idx="35">
                  <c:v> (390,33,20) </c:v>
                </c:pt>
                <c:pt idx="36">
                  <c:v> (390,33,30) </c:v>
                </c:pt>
                <c:pt idx="37">
                  <c:v> (390,33,40) </c:v>
                </c:pt>
                <c:pt idx="38">
                  <c:v> (390,33,50) </c:v>
                </c:pt>
                <c:pt idx="39">
                  <c:v> (390,33,60) </c:v>
                </c:pt>
                <c:pt idx="40">
                  <c:v> (390,33,70) </c:v>
                </c:pt>
                <c:pt idx="41">
                  <c:v> (390,33,80) </c:v>
                </c:pt>
                <c:pt idx="42">
                  <c:v> (390,33,90) </c:v>
                </c:pt>
                <c:pt idx="43">
                  <c:v> (390,33,100) </c:v>
                </c:pt>
                <c:pt idx="44">
                  <c:v> (400,32,20) </c:v>
                </c:pt>
                <c:pt idx="45">
                  <c:v> (400,32,30) </c:v>
                </c:pt>
                <c:pt idx="46">
                  <c:v> (400,32,40) </c:v>
                </c:pt>
                <c:pt idx="47">
                  <c:v> (400,32,50) </c:v>
                </c:pt>
                <c:pt idx="48">
                  <c:v> (400,32,60) </c:v>
                </c:pt>
                <c:pt idx="49">
                  <c:v> (400,32,70) </c:v>
                </c:pt>
                <c:pt idx="50">
                  <c:v> (400,32,80) </c:v>
                </c:pt>
                <c:pt idx="51">
                  <c:v> (400,32,90) </c:v>
                </c:pt>
                <c:pt idx="52">
                  <c:v> (400,32,100) </c:v>
                </c:pt>
                <c:pt idx="53">
                  <c:v> (410,31,20) </c:v>
                </c:pt>
                <c:pt idx="54">
                  <c:v> (410,31,30) </c:v>
                </c:pt>
                <c:pt idx="55">
                  <c:v> (410,31,40) </c:v>
                </c:pt>
                <c:pt idx="56">
                  <c:v> (410,31,50) </c:v>
                </c:pt>
                <c:pt idx="57">
                  <c:v> (410,31,60) </c:v>
                </c:pt>
                <c:pt idx="58">
                  <c:v> (410,31,70) </c:v>
                </c:pt>
                <c:pt idx="59">
                  <c:v> (410,31,80) </c:v>
                </c:pt>
                <c:pt idx="60">
                  <c:v> (410,31,90) </c:v>
                </c:pt>
                <c:pt idx="61">
                  <c:v> (410,31,100) </c:v>
                </c:pt>
                <c:pt idx="62">
                  <c:v> (420,31,20) </c:v>
                </c:pt>
                <c:pt idx="63">
                  <c:v> (420,31,30) </c:v>
                </c:pt>
                <c:pt idx="64">
                  <c:v> (420,31,40) </c:v>
                </c:pt>
                <c:pt idx="65">
                  <c:v> (420,31,50) </c:v>
                </c:pt>
                <c:pt idx="66">
                  <c:v> (420,31,60) </c:v>
                </c:pt>
                <c:pt idx="67">
                  <c:v> (420,31,70) </c:v>
                </c:pt>
                <c:pt idx="68">
                  <c:v> (420,31,80) </c:v>
                </c:pt>
                <c:pt idx="69">
                  <c:v> (420,31,90) </c:v>
                </c:pt>
                <c:pt idx="70">
                  <c:v> (420,31,100) </c:v>
                </c:pt>
              </c:strCache>
            </c:strRef>
          </c:cat>
          <c:val>
            <c:numRef>
              <c:f>Neg_101!$N$5:$N$75</c:f>
              <c:numCache>
                <c:formatCode>0</c:formatCode>
                <c:ptCount val="71"/>
                <c:pt idx="0">
                  <c:v>150</c:v>
                </c:pt>
                <c:pt idx="1">
                  <c:v>141</c:v>
                </c:pt>
                <c:pt idx="2">
                  <c:v>136</c:v>
                </c:pt>
                <c:pt idx="3">
                  <c:v>133</c:v>
                </c:pt>
                <c:pt idx="4">
                  <c:v>131</c:v>
                </c:pt>
                <c:pt idx="5">
                  <c:v>122</c:v>
                </c:pt>
                <c:pt idx="6">
                  <c:v>116</c:v>
                </c:pt>
                <c:pt idx="7">
                  <c:v>113</c:v>
                </c:pt>
                <c:pt idx="8">
                  <c:v>111</c:v>
                </c:pt>
                <c:pt idx="9">
                  <c:v>110</c:v>
                </c:pt>
                <c:pt idx="10">
                  <c:v>109</c:v>
                </c:pt>
                <c:pt idx="11">
                  <c:v>112</c:v>
                </c:pt>
                <c:pt idx="12">
                  <c:v>105</c:v>
                </c:pt>
                <c:pt idx="13">
                  <c:v>102</c:v>
                </c:pt>
                <c:pt idx="14">
                  <c:v>99</c:v>
                </c:pt>
                <c:pt idx="15">
                  <c:v>98</c:v>
                </c:pt>
                <c:pt idx="16">
                  <c:v>98</c:v>
                </c:pt>
                <c:pt idx="17">
                  <c:v>97</c:v>
                </c:pt>
                <c:pt idx="18">
                  <c:v>110</c:v>
                </c:pt>
                <c:pt idx="19">
                  <c:v>99</c:v>
                </c:pt>
                <c:pt idx="20">
                  <c:v>95</c:v>
                </c:pt>
                <c:pt idx="21">
                  <c:v>92</c:v>
                </c:pt>
                <c:pt idx="22">
                  <c:v>91</c:v>
                </c:pt>
                <c:pt idx="23">
                  <c:v>90</c:v>
                </c:pt>
                <c:pt idx="24">
                  <c:v>89</c:v>
                </c:pt>
                <c:pt idx="25">
                  <c:v>89</c:v>
                </c:pt>
                <c:pt idx="26">
                  <c:v>124</c:v>
                </c:pt>
                <c:pt idx="27">
                  <c:v>98</c:v>
                </c:pt>
                <c:pt idx="28">
                  <c:v>91</c:v>
                </c:pt>
                <c:pt idx="29">
                  <c:v>87</c:v>
                </c:pt>
                <c:pt idx="30">
                  <c:v>85</c:v>
                </c:pt>
                <c:pt idx="31">
                  <c:v>84</c:v>
                </c:pt>
                <c:pt idx="32">
                  <c:v>84</c:v>
                </c:pt>
                <c:pt idx="33">
                  <c:v>83</c:v>
                </c:pt>
                <c:pt idx="34">
                  <c:v>83</c:v>
                </c:pt>
                <c:pt idx="35">
                  <c:v>107</c:v>
                </c:pt>
                <c:pt idx="36">
                  <c:v>90</c:v>
                </c:pt>
                <c:pt idx="37">
                  <c:v>84</c:v>
                </c:pt>
                <c:pt idx="38">
                  <c:v>81</c:v>
                </c:pt>
                <c:pt idx="39">
                  <c:v>80</c:v>
                </c:pt>
                <c:pt idx="40">
                  <c:v>79</c:v>
                </c:pt>
                <c:pt idx="41">
                  <c:v>79</c:v>
                </c:pt>
                <c:pt idx="42">
                  <c:v>78</c:v>
                </c:pt>
                <c:pt idx="43">
                  <c:v>78</c:v>
                </c:pt>
                <c:pt idx="44">
                  <c:v>96</c:v>
                </c:pt>
                <c:pt idx="45">
                  <c:v>84</c:v>
                </c:pt>
                <c:pt idx="46">
                  <c:v>79</c:v>
                </c:pt>
                <c:pt idx="47">
                  <c:v>77</c:v>
                </c:pt>
                <c:pt idx="48">
                  <c:v>76</c:v>
                </c:pt>
                <c:pt idx="49">
                  <c:v>75</c:v>
                </c:pt>
                <c:pt idx="50">
                  <c:v>75</c:v>
                </c:pt>
                <c:pt idx="51">
                  <c:v>75</c:v>
                </c:pt>
                <c:pt idx="52">
                  <c:v>74</c:v>
                </c:pt>
                <c:pt idx="53">
                  <c:v>88</c:v>
                </c:pt>
                <c:pt idx="54">
                  <c:v>79</c:v>
                </c:pt>
                <c:pt idx="55">
                  <c:v>75</c:v>
                </c:pt>
                <c:pt idx="56">
                  <c:v>73</c:v>
                </c:pt>
                <c:pt idx="57">
                  <c:v>72</c:v>
                </c:pt>
                <c:pt idx="58">
                  <c:v>72</c:v>
                </c:pt>
                <c:pt idx="59">
                  <c:v>72</c:v>
                </c:pt>
                <c:pt idx="60">
                  <c:v>71</c:v>
                </c:pt>
                <c:pt idx="61" formatCode="General">
                  <c:v>71</c:v>
                </c:pt>
                <c:pt idx="62">
                  <c:v>82</c:v>
                </c:pt>
                <c:pt idx="63">
                  <c:v>75</c:v>
                </c:pt>
                <c:pt idx="64">
                  <c:v>72</c:v>
                </c:pt>
                <c:pt idx="65">
                  <c:v>70</c:v>
                </c:pt>
                <c:pt idx="66">
                  <c:v>69</c:v>
                </c:pt>
                <c:pt idx="67">
                  <c:v>69</c:v>
                </c:pt>
                <c:pt idx="68">
                  <c:v>69</c:v>
                </c:pt>
                <c:pt idx="69">
                  <c:v>69</c:v>
                </c:pt>
                <c:pt idx="70">
                  <c:v>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31616"/>
        <c:axId val="384808576"/>
      </c:lineChart>
      <c:lineChart>
        <c:grouping val="standard"/>
        <c:varyColors val="0"/>
        <c:ser>
          <c:idx val="1"/>
          <c:order val="1"/>
          <c:tx>
            <c:v>Capacity Factor</c:v>
          </c:tx>
          <c:marker>
            <c:symbol val="square"/>
            <c:size val="8"/>
          </c:marker>
          <c:val>
            <c:numRef>
              <c:f>Neg_101!$M$5:$M$75</c:f>
              <c:numCache>
                <c:formatCode>0</c:formatCode>
                <c:ptCount val="71"/>
                <c:pt idx="0">
                  <c:v>64.2</c:v>
                </c:pt>
                <c:pt idx="1">
                  <c:v>64.989999999999995</c:v>
                </c:pt>
                <c:pt idx="2">
                  <c:v>65.56</c:v>
                </c:pt>
                <c:pt idx="3">
                  <c:v>65.89</c:v>
                </c:pt>
                <c:pt idx="4">
                  <c:v>66.03</c:v>
                </c:pt>
                <c:pt idx="5">
                  <c:v>67.19</c:v>
                </c:pt>
                <c:pt idx="6">
                  <c:v>67.19</c:v>
                </c:pt>
                <c:pt idx="7">
                  <c:v>68.05</c:v>
                </c:pt>
                <c:pt idx="8">
                  <c:v>68.55</c:v>
                </c:pt>
                <c:pt idx="9">
                  <c:v>68.86</c:v>
                </c:pt>
                <c:pt idx="10">
                  <c:v>69.040000000000006</c:v>
                </c:pt>
                <c:pt idx="11">
                  <c:v>66.7</c:v>
                </c:pt>
                <c:pt idx="12">
                  <c:v>68.739999999999995</c:v>
                </c:pt>
                <c:pt idx="13">
                  <c:v>69.89</c:v>
                </c:pt>
                <c:pt idx="14">
                  <c:v>70.62</c:v>
                </c:pt>
                <c:pt idx="15">
                  <c:v>71.069999999999993</c:v>
                </c:pt>
                <c:pt idx="16">
                  <c:v>71.34</c:v>
                </c:pt>
                <c:pt idx="17">
                  <c:v>71.53</c:v>
                </c:pt>
                <c:pt idx="18">
                  <c:v>65.72</c:v>
                </c:pt>
                <c:pt idx="19">
                  <c:v>69.209999999999994</c:v>
                </c:pt>
                <c:pt idx="20">
                  <c:v>71.12</c:v>
                </c:pt>
                <c:pt idx="21">
                  <c:v>72.11</c:v>
                </c:pt>
                <c:pt idx="22">
                  <c:v>72.819999999999993</c:v>
                </c:pt>
                <c:pt idx="23">
                  <c:v>73.14</c:v>
                </c:pt>
                <c:pt idx="24">
                  <c:v>73.37</c:v>
                </c:pt>
                <c:pt idx="25">
                  <c:v>73.56</c:v>
                </c:pt>
                <c:pt idx="26">
                  <c:v>61.14</c:v>
                </c:pt>
                <c:pt idx="27">
                  <c:v>68.58</c:v>
                </c:pt>
                <c:pt idx="28">
                  <c:v>71.849999999999994</c:v>
                </c:pt>
                <c:pt idx="29">
                  <c:v>73.459999999999994</c:v>
                </c:pt>
                <c:pt idx="30">
                  <c:v>74.48</c:v>
                </c:pt>
                <c:pt idx="31">
                  <c:v>75.03</c:v>
                </c:pt>
                <c:pt idx="32">
                  <c:v>75.37</c:v>
                </c:pt>
                <c:pt idx="33">
                  <c:v>75.59</c:v>
                </c:pt>
                <c:pt idx="34">
                  <c:v>75.73</c:v>
                </c:pt>
                <c:pt idx="35">
                  <c:v>64.290000000000006</c:v>
                </c:pt>
                <c:pt idx="36">
                  <c:v>70.930000000000007</c:v>
                </c:pt>
                <c:pt idx="37">
                  <c:v>73.88</c:v>
                </c:pt>
                <c:pt idx="38">
                  <c:v>75.47</c:v>
                </c:pt>
                <c:pt idx="39">
                  <c:v>76.34</c:v>
                </c:pt>
                <c:pt idx="40">
                  <c:v>76.89</c:v>
                </c:pt>
                <c:pt idx="41">
                  <c:v>77.13</c:v>
                </c:pt>
                <c:pt idx="42">
                  <c:v>77.39</c:v>
                </c:pt>
                <c:pt idx="43">
                  <c:v>77.53</c:v>
                </c:pt>
                <c:pt idx="44">
                  <c:v>67.069999999999993</c:v>
                </c:pt>
                <c:pt idx="45">
                  <c:v>73.14</c:v>
                </c:pt>
                <c:pt idx="46">
                  <c:v>75.89</c:v>
                </c:pt>
                <c:pt idx="47">
                  <c:v>75.89</c:v>
                </c:pt>
                <c:pt idx="48">
                  <c:v>78.12</c:v>
                </c:pt>
                <c:pt idx="49">
                  <c:v>78.569999999999993</c:v>
                </c:pt>
                <c:pt idx="50">
                  <c:v>78.819999999999993</c:v>
                </c:pt>
                <c:pt idx="51">
                  <c:v>79.099999999999994</c:v>
                </c:pt>
                <c:pt idx="52">
                  <c:v>79.180000000000007</c:v>
                </c:pt>
                <c:pt idx="53">
                  <c:v>69.75</c:v>
                </c:pt>
                <c:pt idx="54">
                  <c:v>75.34</c:v>
                </c:pt>
                <c:pt idx="55">
                  <c:v>77.89</c:v>
                </c:pt>
                <c:pt idx="56">
                  <c:v>79.19</c:v>
                </c:pt>
                <c:pt idx="57">
                  <c:v>79.88</c:v>
                </c:pt>
                <c:pt idx="58">
                  <c:v>80.25</c:v>
                </c:pt>
                <c:pt idx="59">
                  <c:v>80.58</c:v>
                </c:pt>
                <c:pt idx="60">
                  <c:v>80.709999999999994</c:v>
                </c:pt>
                <c:pt idx="61">
                  <c:v>80.819999999999993</c:v>
                </c:pt>
                <c:pt idx="62">
                  <c:v>72.09</c:v>
                </c:pt>
                <c:pt idx="63">
                  <c:v>77.239999999999995</c:v>
                </c:pt>
                <c:pt idx="64">
                  <c:v>79.599999999999994</c:v>
                </c:pt>
                <c:pt idx="65">
                  <c:v>80.739999999999995</c:v>
                </c:pt>
                <c:pt idx="66">
                  <c:v>81.400000000000006</c:v>
                </c:pt>
                <c:pt idx="67">
                  <c:v>81.81</c:v>
                </c:pt>
                <c:pt idx="68">
                  <c:v>82.03</c:v>
                </c:pt>
                <c:pt idx="69">
                  <c:v>82.16</c:v>
                </c:pt>
                <c:pt idx="70">
                  <c:v>82.29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430592"/>
        <c:axId val="384809152"/>
      </c:lineChart>
      <c:catAx>
        <c:axId val="38443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[GW], Storage Capacity [TWh], Electrolyser Power [GW]</a:t>
                </a:r>
                <a:endParaRPr lang="en-GB" sz="1000">
                  <a:effectLst/>
                </a:endParaRPr>
              </a:p>
            </c:rich>
          </c:tx>
          <c:overlay val="0"/>
        </c:title>
        <c:majorTickMark val="out"/>
        <c:minorTickMark val="none"/>
        <c:tickLblPos val="nextTo"/>
        <c:txPr>
          <a:bodyPr rot="-5400000" anchor="ctr" anchorCtr="1"/>
          <a:lstStyle/>
          <a:p>
            <a:pPr>
              <a:defRPr sz="800"/>
            </a:pPr>
            <a:endParaRPr lang="en-US"/>
          </a:p>
        </c:txPr>
        <c:crossAx val="384808576"/>
        <c:crosses val="autoZero"/>
        <c:auto val="1"/>
        <c:lblAlgn val="ctr"/>
        <c:lblOffset val="100"/>
        <c:noMultiLvlLbl val="0"/>
      </c:catAx>
      <c:valAx>
        <c:axId val="384808576"/>
        <c:scaling>
          <c:orientation val="minMax"/>
          <c:max val="150"/>
          <c:min val="6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84431616"/>
        <c:crosses val="autoZero"/>
        <c:crossBetween val="between"/>
      </c:valAx>
      <c:valAx>
        <c:axId val="384809152"/>
        <c:scaling>
          <c:orientation val="minMax"/>
          <c:max val="90"/>
          <c:min val="6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384430592"/>
        <c:crosses val="max"/>
        <c:crossBetween val="between"/>
      </c:valAx>
      <c:catAx>
        <c:axId val="384430592"/>
        <c:scaling>
          <c:orientation val="minMax"/>
        </c:scaling>
        <c:delete val="1"/>
        <c:axPos val="b"/>
        <c:majorTickMark val="out"/>
        <c:minorTickMark val="none"/>
        <c:tickLblPos val="nextTo"/>
        <c:crossAx val="3848091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41275">
                <a:solidFill>
                  <a:srgbClr val="FF0000"/>
                </a:solidFill>
              </a:ln>
            </c:spPr>
          </c:marker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Neg_162!$Q$5:$Q$111</c:f>
              <c:numCache>
                <c:formatCode>_(* #,##0.00_);_(* \(#,##0.00\);_(* "-"??_);_(@_)</c:formatCode>
                <c:ptCount val="107"/>
                <c:pt idx="0">
                  <c:v>141.78096464107279</c:v>
                </c:pt>
                <c:pt idx="1">
                  <c:v>141.16692573242361</c:v>
                </c:pt>
                <c:pt idx="2">
                  <c:v>141.21517973810418</c:v>
                </c:pt>
                <c:pt idx="3">
                  <c:v>141.20938005394251</c:v>
                </c:pt>
                <c:pt idx="4">
                  <c:v>141.46373164808577</c:v>
                </c:pt>
                <c:pt idx="5">
                  <c:v>137.10824635214468</c:v>
                </c:pt>
                <c:pt idx="6">
                  <c:v>136.83020568859499</c:v>
                </c:pt>
                <c:pt idx="7">
                  <c:v>136.89105843540418</c:v>
                </c:pt>
                <c:pt idx="8">
                  <c:v>136.91844179921512</c:v>
                </c:pt>
                <c:pt idx="9">
                  <c:v>137.430049506404</c:v>
                </c:pt>
                <c:pt idx="10">
                  <c:v>137.63613774122373</c:v>
                </c:pt>
                <c:pt idx="11">
                  <c:v>135.23476547875046</c:v>
                </c:pt>
                <c:pt idx="12">
                  <c:v>134.81238014727006</c:v>
                </c:pt>
                <c:pt idx="13">
                  <c:v>134.99056662459029</c:v>
                </c:pt>
                <c:pt idx="14">
                  <c:v>135.31627927012624</c:v>
                </c:pt>
                <c:pt idx="15">
                  <c:v>135.57164894436073</c:v>
                </c:pt>
                <c:pt idx="16">
                  <c:v>135.79876689606434</c:v>
                </c:pt>
                <c:pt idx="17">
                  <c:v>136.29058567148047</c:v>
                </c:pt>
                <c:pt idx="18">
                  <c:v>134.85064594400495</c:v>
                </c:pt>
                <c:pt idx="19">
                  <c:v>134.17167261453881</c:v>
                </c:pt>
                <c:pt idx="20">
                  <c:v>134.00689336113538</c:v>
                </c:pt>
                <c:pt idx="21">
                  <c:v>134.36394378447864</c:v>
                </c:pt>
                <c:pt idx="22">
                  <c:v>134.65004675146625</c:v>
                </c:pt>
                <c:pt idx="23">
                  <c:v>134.90058054526756</c:v>
                </c:pt>
                <c:pt idx="24">
                  <c:v>135.40617521691777</c:v>
                </c:pt>
                <c:pt idx="25">
                  <c:v>135.89907570243079</c:v>
                </c:pt>
                <c:pt idx="26">
                  <c:v>135.67702363769862</c:v>
                </c:pt>
                <c:pt idx="27">
                  <c:v>134.13274586071648</c:v>
                </c:pt>
                <c:pt idx="28">
                  <c:v>133.86774934833537</c:v>
                </c:pt>
                <c:pt idx="29">
                  <c:v>133.82456703582486</c:v>
                </c:pt>
                <c:pt idx="30">
                  <c:v>134.19176644507729</c:v>
                </c:pt>
                <c:pt idx="31">
                  <c:v>134.7429838308145</c:v>
                </c:pt>
                <c:pt idx="32">
                  <c:v>134.97792827321925</c:v>
                </c:pt>
                <c:pt idx="33">
                  <c:v>135.48419105992932</c:v>
                </c:pt>
                <c:pt idx="34">
                  <c:v>135.95437563340738</c:v>
                </c:pt>
                <c:pt idx="35">
                  <c:v>135.13460949990235</c:v>
                </c:pt>
                <c:pt idx="36">
                  <c:v>134.28860740547339</c:v>
                </c:pt>
                <c:pt idx="37">
                  <c:v>133.95950366234936</c:v>
                </c:pt>
                <c:pt idx="38">
                  <c:v>134.12515502854669</c:v>
                </c:pt>
                <c:pt idx="39">
                  <c:v>134.4564989295871</c:v>
                </c:pt>
                <c:pt idx="40">
                  <c:v>134.99871266951772</c:v>
                </c:pt>
                <c:pt idx="41">
                  <c:v>135.23868388237278</c:v>
                </c:pt>
                <c:pt idx="42">
                  <c:v>135.71135002607318</c:v>
                </c:pt>
                <c:pt idx="43">
                  <c:v>136.17638056908956</c:v>
                </c:pt>
                <c:pt idx="44">
                  <c:v>135.0143542451523</c:v>
                </c:pt>
                <c:pt idx="45">
                  <c:v>134.46416804722321</c:v>
                </c:pt>
                <c:pt idx="46">
                  <c:v>134.29302579324977</c:v>
                </c:pt>
                <c:pt idx="47">
                  <c:v>134.72191449302849</c:v>
                </c:pt>
                <c:pt idx="48">
                  <c:v>135.00604492983942</c:v>
                </c:pt>
                <c:pt idx="49">
                  <c:v>135.55519434039135</c:v>
                </c:pt>
                <c:pt idx="50">
                  <c:v>136.0489856459842</c:v>
                </c:pt>
                <c:pt idx="51">
                  <c:v>136.23452138896278</c:v>
                </c:pt>
                <c:pt idx="52">
                  <c:v>136.6949387565659</c:v>
                </c:pt>
                <c:pt idx="53">
                  <c:v>135.1910920420076</c:v>
                </c:pt>
                <c:pt idx="54">
                  <c:v>135.01196422231877</c:v>
                </c:pt>
                <c:pt idx="55">
                  <c:v>135.1109631575452</c:v>
                </c:pt>
                <c:pt idx="56">
                  <c:v>135.4845573823705</c:v>
                </c:pt>
                <c:pt idx="57">
                  <c:v>135.75818886824092</c:v>
                </c:pt>
                <c:pt idx="58">
                  <c:v>136.28583133686621</c:v>
                </c:pt>
                <c:pt idx="59">
                  <c:v>136.77427772198024</c:v>
                </c:pt>
                <c:pt idx="60">
                  <c:v>136.95287779433752</c:v>
                </c:pt>
                <c:pt idx="61">
                  <c:v>137.42678472314907</c:v>
                </c:pt>
                <c:pt idx="62">
                  <c:v>135.83210056522509</c:v>
                </c:pt>
                <c:pt idx="63">
                  <c:v>135.54833320116242</c:v>
                </c:pt>
                <c:pt idx="64">
                  <c:v>135.8086023858358</c:v>
                </c:pt>
                <c:pt idx="65">
                  <c:v>136.17198399474623</c:v>
                </c:pt>
                <c:pt idx="66">
                  <c:v>136.72507846565159</c:v>
                </c:pt>
                <c:pt idx="67">
                  <c:v>136.93937497120663</c:v>
                </c:pt>
                <c:pt idx="68">
                  <c:v>137.42960299648027</c:v>
                </c:pt>
                <c:pt idx="69">
                  <c:v>137.89577887959925</c:v>
                </c:pt>
                <c:pt idx="70">
                  <c:v>138.36539078302604</c:v>
                </c:pt>
                <c:pt idx="71">
                  <c:v>136.49493979062646</c:v>
                </c:pt>
                <c:pt idx="72">
                  <c:v>136.61757727297046</c:v>
                </c:pt>
                <c:pt idx="73">
                  <c:v>136.83753684903283</c:v>
                </c:pt>
                <c:pt idx="74">
                  <c:v>137.16544472976545</c:v>
                </c:pt>
                <c:pt idx="75">
                  <c:v>137.70874017979298</c:v>
                </c:pt>
                <c:pt idx="76">
                  <c:v>137.91886891997467</c:v>
                </c:pt>
                <c:pt idx="77">
                  <c:v>138.40107956453008</c:v>
                </c:pt>
                <c:pt idx="78">
                  <c:v>138.86992790788847</c:v>
                </c:pt>
                <c:pt idx="79">
                  <c:v>139.31873279945131</c:v>
                </c:pt>
                <c:pt idx="80">
                  <c:v>137.26948149103441</c:v>
                </c:pt>
                <c:pt idx="81">
                  <c:v>137.32877530270395</c:v>
                </c:pt>
                <c:pt idx="82">
                  <c:v>137.7897335253555</c:v>
                </c:pt>
                <c:pt idx="83">
                  <c:v>138.08426746809843</c:v>
                </c:pt>
                <c:pt idx="84">
                  <c:v>138.63453040375012</c:v>
                </c:pt>
                <c:pt idx="85">
                  <c:v>139.12253137882425</c:v>
                </c:pt>
                <c:pt idx="86">
                  <c:v>139.3089897568855</c:v>
                </c:pt>
                <c:pt idx="87">
                  <c:v>139.77058427959406</c:v>
                </c:pt>
                <c:pt idx="88">
                  <c:v>140.23217880230263</c:v>
                </c:pt>
                <c:pt idx="89">
                  <c:v>138.34012542296787</c:v>
                </c:pt>
                <c:pt idx="90">
                  <c:v>138.59237722692305</c:v>
                </c:pt>
                <c:pt idx="91">
                  <c:v>139.01573011620584</c:v>
                </c:pt>
                <c:pt idx="92">
                  <c:v>139.31169573407701</c:v>
                </c:pt>
                <c:pt idx="93">
                  <c:v>139.83736567252561</c:v>
                </c:pt>
                <c:pt idx="94">
                  <c:v>140.03419574151596</c:v>
                </c:pt>
                <c:pt idx="95">
                  <c:v>140.50495298504538</c:v>
                </c:pt>
                <c:pt idx="96">
                  <c:v>140.96298422743473</c:v>
                </c:pt>
                <c:pt idx="97">
                  <c:v>141.42419697010911</c:v>
                </c:pt>
                <c:pt idx="98">
                  <c:v>139.31579596116515</c:v>
                </c:pt>
                <c:pt idx="99">
                  <c:v>139.48936926307212</c:v>
                </c:pt>
                <c:pt idx="100">
                  <c:v>139.89296503558504</c:v>
                </c:pt>
                <c:pt idx="101">
                  <c:v>140.44847744670699</c:v>
                </c:pt>
                <c:pt idx="102">
                  <c:v>140.65252952134432</c:v>
                </c:pt>
                <c:pt idx="103">
                  <c:v>141.15077492733616</c:v>
                </c:pt>
                <c:pt idx="104">
                  <c:v>141.62407737109356</c:v>
                </c:pt>
                <c:pt idx="105">
                  <c:v>142.08802620401306</c:v>
                </c:pt>
                <c:pt idx="106">
                  <c:v>142.53326781525669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3E-5C42-824C-5DCEF88B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36320"/>
        <c:axId val="384672320"/>
      </c:lineChart>
      <c:catAx>
        <c:axId val="3853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84672320"/>
        <c:crosses val="autoZero"/>
        <c:auto val="1"/>
        <c:lblAlgn val="ctr"/>
        <c:lblOffset val="100"/>
        <c:noMultiLvlLbl val="0"/>
      </c:catAx>
      <c:valAx>
        <c:axId val="38467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5336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Costs Under Nuclear Capacity of 12GW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26E-5E48-B946-2D14E6AB9CFA}"/>
            </c:ext>
          </c:extLst>
        </c:ser>
        <c:ser>
          <c:idx val="1"/>
          <c:order val="1"/>
          <c:tx>
            <c:v>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26E-5E48-B946-2D14E6AB9CFA}"/>
            </c:ext>
          </c:extLst>
        </c:ser>
        <c:ser>
          <c:idx val="2"/>
          <c:order val="2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26E-5E48-B946-2D14E6AB9CFA}"/>
            </c:ext>
          </c:extLst>
        </c:ser>
        <c:ser>
          <c:idx val="3"/>
          <c:order val="3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26E-5E48-B946-2D14E6AB9CFA}"/>
            </c:ext>
          </c:extLst>
        </c:ser>
        <c:ser>
          <c:idx val="4"/>
          <c:order val="4"/>
          <c:tx>
            <c:v>Electrolysis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26E-5E48-B946-2D14E6AB9CFA}"/>
            </c:ext>
          </c:extLst>
        </c:ser>
        <c:ser>
          <c:idx val="5"/>
          <c:order val="5"/>
          <c:tx>
            <c:v>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26E-5E48-B946-2D14E6AB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408640"/>
        <c:axId val="3510078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38100">
              <a:solidFill>
                <a:schemeClr val="tx1"/>
              </a:solidFill>
            </a:ln>
          </c:spPr>
          <c:marker>
            <c:symbol val="circle"/>
            <c:size val="6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26E-5E48-B946-2D14E6AB9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08640"/>
        <c:axId val="351007808"/>
      </c:lineChart>
      <c:catAx>
        <c:axId val="35140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800" b="0" i="0" baseline="0">
                    <a:effectLst/>
                  </a:rPr>
                  <a:t>(Nuclear Capacity [GW], Renewable Capacity [GW], Storage Capacity [TWh], Catalyser Capacity [GW])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007808"/>
        <c:crosses val="autoZero"/>
        <c:auto val="1"/>
        <c:lblAlgn val="ctr"/>
        <c:lblOffset val="100"/>
        <c:noMultiLvlLbl val="0"/>
      </c:catAx>
      <c:valAx>
        <c:axId val="351007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800" b="0" i="0" baseline="0">
                    <a:effectLst/>
                  </a:rPr>
                  <a:t>Electricity Price (£/MWh)</a:t>
                </a:r>
                <a:endParaRPr lang="en-GB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4086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Neg_162!$L$5:$L$111</c:f>
              <c:numCache>
                <c:formatCode>0.0_ </c:formatCode>
                <c:ptCount val="107"/>
                <c:pt idx="0">
                  <c:v>3.5850379503898764</c:v>
                </c:pt>
                <c:pt idx="1">
                  <c:v>3.5850379503898764</c:v>
                </c:pt>
                <c:pt idx="2">
                  <c:v>3.5850379503898764</c:v>
                </c:pt>
                <c:pt idx="3">
                  <c:v>3.5850379503898764</c:v>
                </c:pt>
                <c:pt idx="4">
                  <c:v>3.5850379503898764</c:v>
                </c:pt>
                <c:pt idx="5">
                  <c:v>3.5850379503898764</c:v>
                </c:pt>
                <c:pt idx="6">
                  <c:v>3.5850379503898764</c:v>
                </c:pt>
                <c:pt idx="7">
                  <c:v>3.5850379503898764</c:v>
                </c:pt>
                <c:pt idx="8">
                  <c:v>3.5850379503898764</c:v>
                </c:pt>
                <c:pt idx="9">
                  <c:v>3.5850379503898764</c:v>
                </c:pt>
                <c:pt idx="10">
                  <c:v>3.5850379503898764</c:v>
                </c:pt>
                <c:pt idx="11">
                  <c:v>3.5850379503898764</c:v>
                </c:pt>
                <c:pt idx="12">
                  <c:v>3.5850379503898764</c:v>
                </c:pt>
                <c:pt idx="13">
                  <c:v>3.5850379503898764</c:v>
                </c:pt>
                <c:pt idx="14">
                  <c:v>3.5850379503898764</c:v>
                </c:pt>
                <c:pt idx="15">
                  <c:v>3.5850379503898764</c:v>
                </c:pt>
                <c:pt idx="16">
                  <c:v>3.5850379503898764</c:v>
                </c:pt>
                <c:pt idx="17">
                  <c:v>3.5850379503898764</c:v>
                </c:pt>
                <c:pt idx="18">
                  <c:v>3.5850379503898764</c:v>
                </c:pt>
                <c:pt idx="19">
                  <c:v>3.5850379503898764</c:v>
                </c:pt>
                <c:pt idx="20">
                  <c:v>3.5850379503898764</c:v>
                </c:pt>
                <c:pt idx="21">
                  <c:v>3.5850379503898764</c:v>
                </c:pt>
                <c:pt idx="22">
                  <c:v>3.5850379503898764</c:v>
                </c:pt>
                <c:pt idx="23">
                  <c:v>3.5850379503898764</c:v>
                </c:pt>
                <c:pt idx="24">
                  <c:v>3.5850379503898764</c:v>
                </c:pt>
                <c:pt idx="25">
                  <c:v>3.5850379503898764</c:v>
                </c:pt>
                <c:pt idx="26">
                  <c:v>3.5850379503898764</c:v>
                </c:pt>
                <c:pt idx="27">
                  <c:v>3.5850379503898764</c:v>
                </c:pt>
                <c:pt idx="28">
                  <c:v>3.5850379503898764</c:v>
                </c:pt>
                <c:pt idx="29">
                  <c:v>3.5850379503898764</c:v>
                </c:pt>
                <c:pt idx="30">
                  <c:v>3.5850379503898764</c:v>
                </c:pt>
                <c:pt idx="31">
                  <c:v>3.5850379503898764</c:v>
                </c:pt>
                <c:pt idx="32">
                  <c:v>3.5850379503898764</c:v>
                </c:pt>
                <c:pt idx="33">
                  <c:v>3.5850379503898764</c:v>
                </c:pt>
                <c:pt idx="34">
                  <c:v>3.5850379503898764</c:v>
                </c:pt>
                <c:pt idx="35">
                  <c:v>3.5850379503898764</c:v>
                </c:pt>
                <c:pt idx="36">
                  <c:v>3.5850379503898764</c:v>
                </c:pt>
                <c:pt idx="37">
                  <c:v>3.5850379503898764</c:v>
                </c:pt>
                <c:pt idx="38">
                  <c:v>3.5850379503898764</c:v>
                </c:pt>
                <c:pt idx="39">
                  <c:v>3.5850379503898764</c:v>
                </c:pt>
                <c:pt idx="40">
                  <c:v>3.5850379503898764</c:v>
                </c:pt>
                <c:pt idx="41">
                  <c:v>3.5850379503898764</c:v>
                </c:pt>
                <c:pt idx="42">
                  <c:v>3.5850379503898764</c:v>
                </c:pt>
                <c:pt idx="43">
                  <c:v>3.5850379503898764</c:v>
                </c:pt>
                <c:pt idx="44">
                  <c:v>3.5850379503898764</c:v>
                </c:pt>
                <c:pt idx="45">
                  <c:v>3.5850379503898764</c:v>
                </c:pt>
                <c:pt idx="46">
                  <c:v>3.5850379503898764</c:v>
                </c:pt>
                <c:pt idx="47">
                  <c:v>3.5850379503898764</c:v>
                </c:pt>
                <c:pt idx="48">
                  <c:v>3.5850379503898764</c:v>
                </c:pt>
                <c:pt idx="49">
                  <c:v>3.5850379503898764</c:v>
                </c:pt>
                <c:pt idx="50">
                  <c:v>3.5850379503898764</c:v>
                </c:pt>
                <c:pt idx="51">
                  <c:v>3.5850379503898764</c:v>
                </c:pt>
                <c:pt idx="52">
                  <c:v>3.5850379503898764</c:v>
                </c:pt>
                <c:pt idx="53">
                  <c:v>3.5850379503898764</c:v>
                </c:pt>
                <c:pt idx="54">
                  <c:v>3.5850379503898764</c:v>
                </c:pt>
                <c:pt idx="55">
                  <c:v>3.5850379503898764</c:v>
                </c:pt>
                <c:pt idx="56">
                  <c:v>3.5850379503898764</c:v>
                </c:pt>
                <c:pt idx="57">
                  <c:v>3.5850379503898764</c:v>
                </c:pt>
                <c:pt idx="58">
                  <c:v>3.5850379503898764</c:v>
                </c:pt>
                <c:pt idx="59">
                  <c:v>3.5850379503898764</c:v>
                </c:pt>
                <c:pt idx="60">
                  <c:v>3.5850379503898764</c:v>
                </c:pt>
                <c:pt idx="61">
                  <c:v>3.5850379503898764</c:v>
                </c:pt>
                <c:pt idx="62">
                  <c:v>3.5850379503898764</c:v>
                </c:pt>
                <c:pt idx="63">
                  <c:v>3.5850379503898764</c:v>
                </c:pt>
                <c:pt idx="64">
                  <c:v>3.5850379503898764</c:v>
                </c:pt>
                <c:pt idx="65">
                  <c:v>3.5850379503898764</c:v>
                </c:pt>
                <c:pt idx="66">
                  <c:v>3.5850379503898764</c:v>
                </c:pt>
                <c:pt idx="67">
                  <c:v>3.5850379503898764</c:v>
                </c:pt>
                <c:pt idx="68">
                  <c:v>3.5850379503898764</c:v>
                </c:pt>
                <c:pt idx="69">
                  <c:v>3.5850379503898764</c:v>
                </c:pt>
                <c:pt idx="70">
                  <c:v>3.5850379503898764</c:v>
                </c:pt>
                <c:pt idx="71">
                  <c:v>3.5850379503898764</c:v>
                </c:pt>
                <c:pt idx="72">
                  <c:v>3.5850379503898764</c:v>
                </c:pt>
                <c:pt idx="73">
                  <c:v>3.5850379503898764</c:v>
                </c:pt>
                <c:pt idx="74">
                  <c:v>3.5850379503898764</c:v>
                </c:pt>
                <c:pt idx="75">
                  <c:v>3.5850379503898764</c:v>
                </c:pt>
                <c:pt idx="76">
                  <c:v>3.5850379503898764</c:v>
                </c:pt>
                <c:pt idx="77">
                  <c:v>3.5850379503898764</c:v>
                </c:pt>
                <c:pt idx="78">
                  <c:v>3.5850379503898764</c:v>
                </c:pt>
                <c:pt idx="79">
                  <c:v>3.5850379503898764</c:v>
                </c:pt>
                <c:pt idx="80">
                  <c:v>3.5850379503898764</c:v>
                </c:pt>
                <c:pt idx="81">
                  <c:v>3.5850379503898764</c:v>
                </c:pt>
                <c:pt idx="82">
                  <c:v>3.5850379503898764</c:v>
                </c:pt>
                <c:pt idx="83">
                  <c:v>3.5850379503898764</c:v>
                </c:pt>
                <c:pt idx="84">
                  <c:v>3.5850379503898764</c:v>
                </c:pt>
                <c:pt idx="85">
                  <c:v>3.5850379503898764</c:v>
                </c:pt>
                <c:pt idx="86">
                  <c:v>3.5850379503898764</c:v>
                </c:pt>
                <c:pt idx="87">
                  <c:v>3.5850379503898764</c:v>
                </c:pt>
                <c:pt idx="88">
                  <c:v>3.5850379503898764</c:v>
                </c:pt>
                <c:pt idx="89">
                  <c:v>3.5850379503898764</c:v>
                </c:pt>
                <c:pt idx="90">
                  <c:v>3.5850379503898764</c:v>
                </c:pt>
                <c:pt idx="91">
                  <c:v>3.5850379503898764</c:v>
                </c:pt>
                <c:pt idx="92">
                  <c:v>3.5850379503898764</c:v>
                </c:pt>
                <c:pt idx="93">
                  <c:v>3.5850379503898764</c:v>
                </c:pt>
                <c:pt idx="94">
                  <c:v>3.5850379503898764</c:v>
                </c:pt>
                <c:pt idx="95">
                  <c:v>3.5850379503898764</c:v>
                </c:pt>
                <c:pt idx="96">
                  <c:v>3.5850379503898764</c:v>
                </c:pt>
                <c:pt idx="97">
                  <c:v>3.5850379503898764</c:v>
                </c:pt>
                <c:pt idx="98">
                  <c:v>3.5850379503898764</c:v>
                </c:pt>
                <c:pt idx="99">
                  <c:v>3.5850379503898764</c:v>
                </c:pt>
                <c:pt idx="100">
                  <c:v>3.5850379503898764</c:v>
                </c:pt>
                <c:pt idx="101">
                  <c:v>3.5850379503898764</c:v>
                </c:pt>
                <c:pt idx="102">
                  <c:v>3.5850379503898764</c:v>
                </c:pt>
                <c:pt idx="103">
                  <c:v>3.5850379503898764</c:v>
                </c:pt>
                <c:pt idx="104">
                  <c:v>3.5850379503898764</c:v>
                </c:pt>
                <c:pt idx="105">
                  <c:v>3.5850379503898764</c:v>
                </c:pt>
                <c:pt idx="106">
                  <c:v>3.5850379503898764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7-3E48-8B92-18071F1AEBEA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Neg_162!$G$5:$G$111</c:f>
              <c:numCache>
                <c:formatCode>_(* #,##0.0_);_(* \(#,##0.0\);_(* "-"??_);_(@_)</c:formatCode>
                <c:ptCount val="107"/>
                <c:pt idx="0">
                  <c:v>11.502397866094725</c:v>
                </c:pt>
                <c:pt idx="1">
                  <c:v>11.502397866094725</c:v>
                </c:pt>
                <c:pt idx="2">
                  <c:v>11.502397866094725</c:v>
                </c:pt>
                <c:pt idx="3">
                  <c:v>11.502397866094725</c:v>
                </c:pt>
                <c:pt idx="4">
                  <c:v>11.502397866094725</c:v>
                </c:pt>
                <c:pt idx="5">
                  <c:v>11.502397866094725</c:v>
                </c:pt>
                <c:pt idx="6">
                  <c:v>11.502397866094725</c:v>
                </c:pt>
                <c:pt idx="7">
                  <c:v>11.502397866094725</c:v>
                </c:pt>
                <c:pt idx="8">
                  <c:v>11.502397866094725</c:v>
                </c:pt>
                <c:pt idx="9">
                  <c:v>11.502397866094725</c:v>
                </c:pt>
                <c:pt idx="10">
                  <c:v>11.502397866094725</c:v>
                </c:pt>
                <c:pt idx="11">
                  <c:v>11.502397866094725</c:v>
                </c:pt>
                <c:pt idx="12">
                  <c:v>11.502397866094725</c:v>
                </c:pt>
                <c:pt idx="13">
                  <c:v>11.502397866094725</c:v>
                </c:pt>
                <c:pt idx="14">
                  <c:v>11.502397866094725</c:v>
                </c:pt>
                <c:pt idx="15">
                  <c:v>11.502397866094725</c:v>
                </c:pt>
                <c:pt idx="16">
                  <c:v>11.502397866094725</c:v>
                </c:pt>
                <c:pt idx="17">
                  <c:v>11.502397866094725</c:v>
                </c:pt>
                <c:pt idx="18">
                  <c:v>11.502397866094725</c:v>
                </c:pt>
                <c:pt idx="19">
                  <c:v>11.502397866094725</c:v>
                </c:pt>
                <c:pt idx="20">
                  <c:v>11.502397866094725</c:v>
                </c:pt>
                <c:pt idx="21">
                  <c:v>11.502397866094725</c:v>
                </c:pt>
                <c:pt idx="22">
                  <c:v>11.502397866094725</c:v>
                </c:pt>
                <c:pt idx="23">
                  <c:v>11.502397866094725</c:v>
                </c:pt>
                <c:pt idx="24">
                  <c:v>11.502397866094725</c:v>
                </c:pt>
                <c:pt idx="25">
                  <c:v>11.502397866094725</c:v>
                </c:pt>
                <c:pt idx="26">
                  <c:v>11.502397866094725</c:v>
                </c:pt>
                <c:pt idx="27">
                  <c:v>11.502397866094725</c:v>
                </c:pt>
                <c:pt idx="28">
                  <c:v>11.502397866094725</c:v>
                </c:pt>
                <c:pt idx="29">
                  <c:v>11.502397866094725</c:v>
                </c:pt>
                <c:pt idx="30">
                  <c:v>11.502397866094725</c:v>
                </c:pt>
                <c:pt idx="31">
                  <c:v>11.502397866094725</c:v>
                </c:pt>
                <c:pt idx="32">
                  <c:v>11.502397866094725</c:v>
                </c:pt>
                <c:pt idx="33">
                  <c:v>11.502397866094725</c:v>
                </c:pt>
                <c:pt idx="34">
                  <c:v>11.502397866094725</c:v>
                </c:pt>
                <c:pt idx="35">
                  <c:v>11.502397866094725</c:v>
                </c:pt>
                <c:pt idx="36">
                  <c:v>11.502397866094725</c:v>
                </c:pt>
                <c:pt idx="37">
                  <c:v>11.502397866094725</c:v>
                </c:pt>
                <c:pt idx="38">
                  <c:v>11.502397866094725</c:v>
                </c:pt>
                <c:pt idx="39">
                  <c:v>11.502397866094725</c:v>
                </c:pt>
                <c:pt idx="40">
                  <c:v>11.502397866094725</c:v>
                </c:pt>
                <c:pt idx="41">
                  <c:v>11.502397866094725</c:v>
                </c:pt>
                <c:pt idx="42">
                  <c:v>11.502397866094725</c:v>
                </c:pt>
                <c:pt idx="43">
                  <c:v>11.502397866094725</c:v>
                </c:pt>
                <c:pt idx="44">
                  <c:v>11.502397866094725</c:v>
                </c:pt>
                <c:pt idx="45">
                  <c:v>11.502397866094725</c:v>
                </c:pt>
                <c:pt idx="46">
                  <c:v>11.502397866094725</c:v>
                </c:pt>
                <c:pt idx="47">
                  <c:v>11.502397866094725</c:v>
                </c:pt>
                <c:pt idx="48">
                  <c:v>11.502397866094725</c:v>
                </c:pt>
                <c:pt idx="49">
                  <c:v>11.502397866094725</c:v>
                </c:pt>
                <c:pt idx="50">
                  <c:v>11.502397866094725</c:v>
                </c:pt>
                <c:pt idx="51">
                  <c:v>11.502397866094725</c:v>
                </c:pt>
                <c:pt idx="52">
                  <c:v>11.502397866094725</c:v>
                </c:pt>
                <c:pt idx="53">
                  <c:v>11.502397866094725</c:v>
                </c:pt>
                <c:pt idx="54">
                  <c:v>11.502397866094725</c:v>
                </c:pt>
                <c:pt idx="55">
                  <c:v>11.502397866094725</c:v>
                </c:pt>
                <c:pt idx="56">
                  <c:v>11.502397866094725</c:v>
                </c:pt>
                <c:pt idx="57">
                  <c:v>11.502397866094725</c:v>
                </c:pt>
                <c:pt idx="58">
                  <c:v>11.502397866094725</c:v>
                </c:pt>
                <c:pt idx="59">
                  <c:v>11.502397866094725</c:v>
                </c:pt>
                <c:pt idx="60">
                  <c:v>11.502397866094725</c:v>
                </c:pt>
                <c:pt idx="61">
                  <c:v>11.502397866094725</c:v>
                </c:pt>
                <c:pt idx="62">
                  <c:v>11.502397866094725</c:v>
                </c:pt>
                <c:pt idx="63">
                  <c:v>11.502397866094725</c:v>
                </c:pt>
                <c:pt idx="64">
                  <c:v>11.502397866094725</c:v>
                </c:pt>
                <c:pt idx="65">
                  <c:v>11.502397866094725</c:v>
                </c:pt>
                <c:pt idx="66">
                  <c:v>11.502397866094725</c:v>
                </c:pt>
                <c:pt idx="67">
                  <c:v>11.502397866094725</c:v>
                </c:pt>
                <c:pt idx="68">
                  <c:v>11.502397866094725</c:v>
                </c:pt>
                <c:pt idx="69">
                  <c:v>11.502397866094725</c:v>
                </c:pt>
                <c:pt idx="70">
                  <c:v>11.502397866094725</c:v>
                </c:pt>
                <c:pt idx="71">
                  <c:v>11.502397866094725</c:v>
                </c:pt>
                <c:pt idx="72">
                  <c:v>11.502397866094725</c:v>
                </c:pt>
                <c:pt idx="73">
                  <c:v>11.502397866094725</c:v>
                </c:pt>
                <c:pt idx="74">
                  <c:v>11.502397866094725</c:v>
                </c:pt>
                <c:pt idx="75">
                  <c:v>11.502397866094725</c:v>
                </c:pt>
                <c:pt idx="76">
                  <c:v>11.502397866094725</c:v>
                </c:pt>
                <c:pt idx="77">
                  <c:v>11.502397866094725</c:v>
                </c:pt>
                <c:pt idx="78">
                  <c:v>11.502397866094725</c:v>
                </c:pt>
                <c:pt idx="79">
                  <c:v>11.502397866094725</c:v>
                </c:pt>
                <c:pt idx="80">
                  <c:v>11.502397866094725</c:v>
                </c:pt>
                <c:pt idx="81">
                  <c:v>11.502397866094725</c:v>
                </c:pt>
                <c:pt idx="82">
                  <c:v>11.502397866094725</c:v>
                </c:pt>
                <c:pt idx="83">
                  <c:v>11.502397866094725</c:v>
                </c:pt>
                <c:pt idx="84">
                  <c:v>11.502397866094725</c:v>
                </c:pt>
                <c:pt idx="85">
                  <c:v>11.502397866094725</c:v>
                </c:pt>
                <c:pt idx="86">
                  <c:v>11.502397866094725</c:v>
                </c:pt>
                <c:pt idx="87">
                  <c:v>11.502397866094725</c:v>
                </c:pt>
                <c:pt idx="88">
                  <c:v>11.502397866094725</c:v>
                </c:pt>
                <c:pt idx="89">
                  <c:v>11.502397866094725</c:v>
                </c:pt>
                <c:pt idx="90">
                  <c:v>11.502397866094725</c:v>
                </c:pt>
                <c:pt idx="91">
                  <c:v>11.502397866094725</c:v>
                </c:pt>
                <c:pt idx="92">
                  <c:v>11.502397866094725</c:v>
                </c:pt>
                <c:pt idx="93">
                  <c:v>11.502397866094725</c:v>
                </c:pt>
                <c:pt idx="94">
                  <c:v>11.502397866094725</c:v>
                </c:pt>
                <c:pt idx="95">
                  <c:v>11.502397866094725</c:v>
                </c:pt>
                <c:pt idx="96">
                  <c:v>11.502397866094725</c:v>
                </c:pt>
                <c:pt idx="97">
                  <c:v>11.502397866094725</c:v>
                </c:pt>
                <c:pt idx="98">
                  <c:v>11.502397866094725</c:v>
                </c:pt>
                <c:pt idx="99">
                  <c:v>11.502397866094725</c:v>
                </c:pt>
                <c:pt idx="100">
                  <c:v>11.502397866094725</c:v>
                </c:pt>
                <c:pt idx="101">
                  <c:v>11.502397866094725</c:v>
                </c:pt>
                <c:pt idx="102">
                  <c:v>11.502397866094725</c:v>
                </c:pt>
                <c:pt idx="103">
                  <c:v>11.502397866094725</c:v>
                </c:pt>
                <c:pt idx="104">
                  <c:v>11.502397866094725</c:v>
                </c:pt>
                <c:pt idx="105">
                  <c:v>11.502397866094725</c:v>
                </c:pt>
                <c:pt idx="106">
                  <c:v>11.502397866094725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E7-3E48-8B92-18071F1AEBEA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Neg_162!$H$5:$H$111</c:f>
              <c:numCache>
                <c:formatCode>_(* #,##0.0_);_(* \(#,##0.0\);_(* "-"??_);_(@_)</c:formatCode>
                <c:ptCount val="107"/>
                <c:pt idx="0">
                  <c:v>66.048747739753978</c:v>
                </c:pt>
                <c:pt idx="1">
                  <c:v>66.048747739753978</c:v>
                </c:pt>
                <c:pt idx="2">
                  <c:v>66.048747739753978</c:v>
                </c:pt>
                <c:pt idx="3">
                  <c:v>66.048747739753978</c:v>
                </c:pt>
                <c:pt idx="4">
                  <c:v>66.048747739753978</c:v>
                </c:pt>
                <c:pt idx="5">
                  <c:v>67.621336971652894</c:v>
                </c:pt>
                <c:pt idx="6">
                  <c:v>67.621336971652894</c:v>
                </c:pt>
                <c:pt idx="7">
                  <c:v>67.621336971652894</c:v>
                </c:pt>
                <c:pt idx="8">
                  <c:v>67.621336971652894</c:v>
                </c:pt>
                <c:pt idx="9">
                  <c:v>67.621336971652894</c:v>
                </c:pt>
                <c:pt idx="10">
                  <c:v>67.621336971652894</c:v>
                </c:pt>
                <c:pt idx="11">
                  <c:v>69.193926203551783</c:v>
                </c:pt>
                <c:pt idx="12">
                  <c:v>69.193926203551783</c:v>
                </c:pt>
                <c:pt idx="13">
                  <c:v>69.193926203551783</c:v>
                </c:pt>
                <c:pt idx="14">
                  <c:v>69.193926203551783</c:v>
                </c:pt>
                <c:pt idx="15">
                  <c:v>69.193926203551783</c:v>
                </c:pt>
                <c:pt idx="16">
                  <c:v>69.193926203551783</c:v>
                </c:pt>
                <c:pt idx="17">
                  <c:v>69.193926203551783</c:v>
                </c:pt>
                <c:pt idx="18">
                  <c:v>70.766515435450671</c:v>
                </c:pt>
                <c:pt idx="19">
                  <c:v>70.766515435450671</c:v>
                </c:pt>
                <c:pt idx="20">
                  <c:v>70.766515435450671</c:v>
                </c:pt>
                <c:pt idx="21">
                  <c:v>70.766515435450671</c:v>
                </c:pt>
                <c:pt idx="22">
                  <c:v>70.766515435450671</c:v>
                </c:pt>
                <c:pt idx="23">
                  <c:v>70.766515435450671</c:v>
                </c:pt>
                <c:pt idx="24">
                  <c:v>70.766515435450671</c:v>
                </c:pt>
                <c:pt idx="25">
                  <c:v>70.766515435450671</c:v>
                </c:pt>
                <c:pt idx="26">
                  <c:v>72.339104667349574</c:v>
                </c:pt>
                <c:pt idx="27">
                  <c:v>72.339104667349574</c:v>
                </c:pt>
                <c:pt idx="28">
                  <c:v>72.339104667349574</c:v>
                </c:pt>
                <c:pt idx="29">
                  <c:v>72.339104667349574</c:v>
                </c:pt>
                <c:pt idx="30">
                  <c:v>72.339104667349574</c:v>
                </c:pt>
                <c:pt idx="31">
                  <c:v>72.339104667349574</c:v>
                </c:pt>
                <c:pt idx="32">
                  <c:v>72.339104667349574</c:v>
                </c:pt>
                <c:pt idx="33">
                  <c:v>72.339104667349574</c:v>
                </c:pt>
                <c:pt idx="34">
                  <c:v>72.339104667349574</c:v>
                </c:pt>
                <c:pt idx="35">
                  <c:v>73.91169389924849</c:v>
                </c:pt>
                <c:pt idx="36">
                  <c:v>73.91169389924849</c:v>
                </c:pt>
                <c:pt idx="37">
                  <c:v>73.91169389924849</c:v>
                </c:pt>
                <c:pt idx="38">
                  <c:v>73.91169389924849</c:v>
                </c:pt>
                <c:pt idx="39">
                  <c:v>73.91169389924849</c:v>
                </c:pt>
                <c:pt idx="40">
                  <c:v>73.91169389924849</c:v>
                </c:pt>
                <c:pt idx="41">
                  <c:v>73.91169389924849</c:v>
                </c:pt>
                <c:pt idx="42">
                  <c:v>73.91169389924849</c:v>
                </c:pt>
                <c:pt idx="43">
                  <c:v>73.91169389924849</c:v>
                </c:pt>
                <c:pt idx="44">
                  <c:v>75.484283131147393</c:v>
                </c:pt>
                <c:pt idx="45">
                  <c:v>75.484283131147393</c:v>
                </c:pt>
                <c:pt idx="46">
                  <c:v>75.484283131147393</c:v>
                </c:pt>
                <c:pt idx="47">
                  <c:v>75.484283131147393</c:v>
                </c:pt>
                <c:pt idx="48">
                  <c:v>75.484283131147393</c:v>
                </c:pt>
                <c:pt idx="49">
                  <c:v>75.484283131147393</c:v>
                </c:pt>
                <c:pt idx="50">
                  <c:v>75.484283131147393</c:v>
                </c:pt>
                <c:pt idx="51">
                  <c:v>75.484283131147393</c:v>
                </c:pt>
                <c:pt idx="52">
                  <c:v>75.484283131147393</c:v>
                </c:pt>
                <c:pt idx="53">
                  <c:v>77.056872363046296</c:v>
                </c:pt>
                <c:pt idx="54">
                  <c:v>77.056872363046296</c:v>
                </c:pt>
                <c:pt idx="55">
                  <c:v>77.056872363046296</c:v>
                </c:pt>
                <c:pt idx="56">
                  <c:v>77.056872363046296</c:v>
                </c:pt>
                <c:pt idx="57">
                  <c:v>77.056872363046296</c:v>
                </c:pt>
                <c:pt idx="58">
                  <c:v>77.056872363046296</c:v>
                </c:pt>
                <c:pt idx="59">
                  <c:v>77.056872363046296</c:v>
                </c:pt>
                <c:pt idx="60">
                  <c:v>77.056872363046296</c:v>
                </c:pt>
                <c:pt idx="61">
                  <c:v>77.056872363046296</c:v>
                </c:pt>
                <c:pt idx="62">
                  <c:v>78.629461594945226</c:v>
                </c:pt>
                <c:pt idx="63">
                  <c:v>78.629461594945226</c:v>
                </c:pt>
                <c:pt idx="64">
                  <c:v>78.629461594945226</c:v>
                </c:pt>
                <c:pt idx="65">
                  <c:v>78.629461594945226</c:v>
                </c:pt>
                <c:pt idx="66">
                  <c:v>78.629461594945226</c:v>
                </c:pt>
                <c:pt idx="67">
                  <c:v>78.629461594945226</c:v>
                </c:pt>
                <c:pt idx="68">
                  <c:v>78.629461594945226</c:v>
                </c:pt>
                <c:pt idx="69">
                  <c:v>78.629461594945226</c:v>
                </c:pt>
                <c:pt idx="70">
                  <c:v>78.629461594945226</c:v>
                </c:pt>
                <c:pt idx="71">
                  <c:v>80.202050826844115</c:v>
                </c:pt>
                <c:pt idx="72">
                  <c:v>80.202050826844115</c:v>
                </c:pt>
                <c:pt idx="73">
                  <c:v>80.202050826844115</c:v>
                </c:pt>
                <c:pt idx="74">
                  <c:v>80.202050826844115</c:v>
                </c:pt>
                <c:pt idx="75">
                  <c:v>80.202050826844115</c:v>
                </c:pt>
                <c:pt idx="76">
                  <c:v>80.202050826844115</c:v>
                </c:pt>
                <c:pt idx="77">
                  <c:v>80.202050826844115</c:v>
                </c:pt>
                <c:pt idx="78">
                  <c:v>80.202050826844115</c:v>
                </c:pt>
                <c:pt idx="79">
                  <c:v>80.202050826844115</c:v>
                </c:pt>
                <c:pt idx="80">
                  <c:v>81.774640058743017</c:v>
                </c:pt>
                <c:pt idx="81">
                  <c:v>81.774640058743017</c:v>
                </c:pt>
                <c:pt idx="82">
                  <c:v>81.774640058743017</c:v>
                </c:pt>
                <c:pt idx="83">
                  <c:v>81.774640058743017</c:v>
                </c:pt>
                <c:pt idx="84">
                  <c:v>81.774640058743017</c:v>
                </c:pt>
                <c:pt idx="85">
                  <c:v>81.774640058743017</c:v>
                </c:pt>
                <c:pt idx="86">
                  <c:v>81.774640058743017</c:v>
                </c:pt>
                <c:pt idx="87">
                  <c:v>81.774640058743017</c:v>
                </c:pt>
                <c:pt idx="88">
                  <c:v>81.774640058743017</c:v>
                </c:pt>
                <c:pt idx="89">
                  <c:v>83.34722929064192</c:v>
                </c:pt>
                <c:pt idx="90">
                  <c:v>83.34722929064192</c:v>
                </c:pt>
                <c:pt idx="91">
                  <c:v>83.34722929064192</c:v>
                </c:pt>
                <c:pt idx="92">
                  <c:v>83.34722929064192</c:v>
                </c:pt>
                <c:pt idx="93">
                  <c:v>83.34722929064192</c:v>
                </c:pt>
                <c:pt idx="94">
                  <c:v>83.34722929064192</c:v>
                </c:pt>
                <c:pt idx="95">
                  <c:v>83.34722929064192</c:v>
                </c:pt>
                <c:pt idx="96">
                  <c:v>83.34722929064192</c:v>
                </c:pt>
                <c:pt idx="97">
                  <c:v>83.34722929064192</c:v>
                </c:pt>
                <c:pt idx="98">
                  <c:v>84.919818522540822</c:v>
                </c:pt>
                <c:pt idx="99">
                  <c:v>84.919818522540822</c:v>
                </c:pt>
                <c:pt idx="100">
                  <c:v>84.919818522540822</c:v>
                </c:pt>
                <c:pt idx="101">
                  <c:v>84.919818522540822</c:v>
                </c:pt>
                <c:pt idx="102">
                  <c:v>84.919818522540822</c:v>
                </c:pt>
                <c:pt idx="103">
                  <c:v>84.919818522540822</c:v>
                </c:pt>
                <c:pt idx="104">
                  <c:v>84.919818522540822</c:v>
                </c:pt>
                <c:pt idx="105">
                  <c:v>84.919818522540822</c:v>
                </c:pt>
                <c:pt idx="106">
                  <c:v>84.919818522540822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E7-3E48-8B92-18071F1AEBEA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Neg_162!$J$5:$J$111</c:f>
              <c:numCache>
                <c:formatCode>_(* #,##0.0_);_(* \(#,##0.0\);_(* "-"??_);_(@_)</c:formatCode>
                <c:ptCount val="107"/>
                <c:pt idx="0">
                  <c:v>1.5456513105393319</c:v>
                </c:pt>
                <c:pt idx="1">
                  <c:v>1.5456513105393319</c:v>
                </c:pt>
                <c:pt idx="2">
                  <c:v>1.5456513105393319</c:v>
                </c:pt>
                <c:pt idx="3">
                  <c:v>1.5456513105393319</c:v>
                </c:pt>
                <c:pt idx="4">
                  <c:v>1.5456513105393319</c:v>
                </c:pt>
                <c:pt idx="5">
                  <c:v>1.5456513105393319</c:v>
                </c:pt>
                <c:pt idx="6">
                  <c:v>1.5456513105393319</c:v>
                </c:pt>
                <c:pt idx="7">
                  <c:v>1.5456513105393319</c:v>
                </c:pt>
                <c:pt idx="8">
                  <c:v>1.5456513105393319</c:v>
                </c:pt>
                <c:pt idx="9">
                  <c:v>1.5456513105393319</c:v>
                </c:pt>
                <c:pt idx="10">
                  <c:v>1.5456513105393319</c:v>
                </c:pt>
                <c:pt idx="11">
                  <c:v>1.4957915908445147</c:v>
                </c:pt>
                <c:pt idx="12">
                  <c:v>1.4957915908445147</c:v>
                </c:pt>
                <c:pt idx="13">
                  <c:v>1.4957915908445147</c:v>
                </c:pt>
                <c:pt idx="14">
                  <c:v>1.4957915908445147</c:v>
                </c:pt>
                <c:pt idx="15">
                  <c:v>1.4957915908445147</c:v>
                </c:pt>
                <c:pt idx="16">
                  <c:v>1.4957915908445147</c:v>
                </c:pt>
                <c:pt idx="17">
                  <c:v>1.4957915908445147</c:v>
                </c:pt>
                <c:pt idx="18">
                  <c:v>1.4957915908445147</c:v>
                </c:pt>
                <c:pt idx="19">
                  <c:v>1.4957915908445147</c:v>
                </c:pt>
                <c:pt idx="20">
                  <c:v>1.4957915908445147</c:v>
                </c:pt>
                <c:pt idx="21">
                  <c:v>1.4957915908445147</c:v>
                </c:pt>
                <c:pt idx="22">
                  <c:v>1.4957915908445147</c:v>
                </c:pt>
                <c:pt idx="23">
                  <c:v>1.4957915908445147</c:v>
                </c:pt>
                <c:pt idx="24">
                  <c:v>1.4957915908445147</c:v>
                </c:pt>
                <c:pt idx="25">
                  <c:v>1.4957915908445147</c:v>
                </c:pt>
                <c:pt idx="26">
                  <c:v>1.4957915908445147</c:v>
                </c:pt>
                <c:pt idx="27">
                  <c:v>1.4957915908445147</c:v>
                </c:pt>
                <c:pt idx="28">
                  <c:v>1.4957915908445147</c:v>
                </c:pt>
                <c:pt idx="29">
                  <c:v>1.4957915908445147</c:v>
                </c:pt>
                <c:pt idx="30">
                  <c:v>1.4957915908445147</c:v>
                </c:pt>
                <c:pt idx="31">
                  <c:v>1.4957915908445147</c:v>
                </c:pt>
                <c:pt idx="32">
                  <c:v>1.4957915908445147</c:v>
                </c:pt>
                <c:pt idx="33">
                  <c:v>1.4957915908445147</c:v>
                </c:pt>
                <c:pt idx="34">
                  <c:v>1.4957915908445147</c:v>
                </c:pt>
                <c:pt idx="35">
                  <c:v>1.4459318711496976</c:v>
                </c:pt>
                <c:pt idx="36">
                  <c:v>1.4459318711496976</c:v>
                </c:pt>
                <c:pt idx="37">
                  <c:v>1.4459318711496976</c:v>
                </c:pt>
                <c:pt idx="38">
                  <c:v>1.4459318711496976</c:v>
                </c:pt>
                <c:pt idx="39">
                  <c:v>1.4459318711496976</c:v>
                </c:pt>
                <c:pt idx="40">
                  <c:v>1.4459318711496976</c:v>
                </c:pt>
                <c:pt idx="41">
                  <c:v>1.4459318711496976</c:v>
                </c:pt>
                <c:pt idx="42">
                  <c:v>1.4459318711496976</c:v>
                </c:pt>
                <c:pt idx="43">
                  <c:v>1.4459318711496976</c:v>
                </c:pt>
                <c:pt idx="44">
                  <c:v>1.4459318711496976</c:v>
                </c:pt>
                <c:pt idx="45">
                  <c:v>1.4459318711496976</c:v>
                </c:pt>
                <c:pt idx="46">
                  <c:v>1.4459318711496976</c:v>
                </c:pt>
                <c:pt idx="47">
                  <c:v>1.4459318711496976</c:v>
                </c:pt>
                <c:pt idx="48">
                  <c:v>1.4459318711496976</c:v>
                </c:pt>
                <c:pt idx="49">
                  <c:v>1.4459318711496976</c:v>
                </c:pt>
                <c:pt idx="50">
                  <c:v>1.4459318711496976</c:v>
                </c:pt>
                <c:pt idx="51">
                  <c:v>1.4459318711496976</c:v>
                </c:pt>
                <c:pt idx="52">
                  <c:v>1.4459318711496976</c:v>
                </c:pt>
                <c:pt idx="53">
                  <c:v>1.4459318711496976</c:v>
                </c:pt>
                <c:pt idx="54">
                  <c:v>1.4459318711496976</c:v>
                </c:pt>
                <c:pt idx="55">
                  <c:v>1.4459318711496976</c:v>
                </c:pt>
                <c:pt idx="56">
                  <c:v>1.4459318711496976</c:v>
                </c:pt>
                <c:pt idx="57">
                  <c:v>1.4459318711496976</c:v>
                </c:pt>
                <c:pt idx="58">
                  <c:v>1.4459318711496976</c:v>
                </c:pt>
                <c:pt idx="59">
                  <c:v>1.4459318711496976</c:v>
                </c:pt>
                <c:pt idx="60">
                  <c:v>1.4459318711496976</c:v>
                </c:pt>
                <c:pt idx="61">
                  <c:v>1.4459318711496976</c:v>
                </c:pt>
                <c:pt idx="62">
                  <c:v>1.3960721514548804</c:v>
                </c:pt>
                <c:pt idx="63">
                  <c:v>1.3960721514548804</c:v>
                </c:pt>
                <c:pt idx="64">
                  <c:v>1.3960721514548804</c:v>
                </c:pt>
                <c:pt idx="65">
                  <c:v>1.3960721514548804</c:v>
                </c:pt>
                <c:pt idx="66">
                  <c:v>1.3960721514548804</c:v>
                </c:pt>
                <c:pt idx="67">
                  <c:v>1.3960721514548804</c:v>
                </c:pt>
                <c:pt idx="68">
                  <c:v>1.3960721514548804</c:v>
                </c:pt>
                <c:pt idx="69">
                  <c:v>1.3960721514548804</c:v>
                </c:pt>
                <c:pt idx="70">
                  <c:v>1.3960721514548804</c:v>
                </c:pt>
                <c:pt idx="71">
                  <c:v>1.3960721514548804</c:v>
                </c:pt>
                <c:pt idx="72">
                  <c:v>1.3960721514548804</c:v>
                </c:pt>
                <c:pt idx="73">
                  <c:v>1.3960721514548804</c:v>
                </c:pt>
                <c:pt idx="74">
                  <c:v>1.3960721514548804</c:v>
                </c:pt>
                <c:pt idx="75">
                  <c:v>1.3960721514548804</c:v>
                </c:pt>
                <c:pt idx="76">
                  <c:v>1.3960721514548804</c:v>
                </c:pt>
                <c:pt idx="77">
                  <c:v>1.3960721514548804</c:v>
                </c:pt>
                <c:pt idx="78">
                  <c:v>1.3960721514548804</c:v>
                </c:pt>
                <c:pt idx="79">
                  <c:v>1.3960721514548804</c:v>
                </c:pt>
                <c:pt idx="80">
                  <c:v>1.3960721514548804</c:v>
                </c:pt>
                <c:pt idx="81">
                  <c:v>1.3960721514548804</c:v>
                </c:pt>
                <c:pt idx="82">
                  <c:v>1.3960721514548804</c:v>
                </c:pt>
                <c:pt idx="83">
                  <c:v>1.3960721514548804</c:v>
                </c:pt>
                <c:pt idx="84">
                  <c:v>1.3960721514548804</c:v>
                </c:pt>
                <c:pt idx="85">
                  <c:v>1.3960721514548804</c:v>
                </c:pt>
                <c:pt idx="86">
                  <c:v>1.3960721514548804</c:v>
                </c:pt>
                <c:pt idx="87">
                  <c:v>1.3960721514548804</c:v>
                </c:pt>
                <c:pt idx="88">
                  <c:v>1.3960721514548804</c:v>
                </c:pt>
                <c:pt idx="89">
                  <c:v>1.3960721514548804</c:v>
                </c:pt>
                <c:pt idx="90">
                  <c:v>1.3960721514548804</c:v>
                </c:pt>
                <c:pt idx="91">
                  <c:v>1.3960721514548804</c:v>
                </c:pt>
                <c:pt idx="92">
                  <c:v>1.3960721514548804</c:v>
                </c:pt>
                <c:pt idx="93">
                  <c:v>1.3960721514548804</c:v>
                </c:pt>
                <c:pt idx="94">
                  <c:v>1.3960721514548804</c:v>
                </c:pt>
                <c:pt idx="95">
                  <c:v>1.3960721514548804</c:v>
                </c:pt>
                <c:pt idx="96">
                  <c:v>1.3960721514548804</c:v>
                </c:pt>
                <c:pt idx="97">
                  <c:v>1.3960721514548804</c:v>
                </c:pt>
                <c:pt idx="98">
                  <c:v>1.3462124317600632</c:v>
                </c:pt>
                <c:pt idx="99">
                  <c:v>1.3462124317600632</c:v>
                </c:pt>
                <c:pt idx="100">
                  <c:v>1.3462124317600632</c:v>
                </c:pt>
                <c:pt idx="101">
                  <c:v>1.3462124317600632</c:v>
                </c:pt>
                <c:pt idx="102">
                  <c:v>1.3462124317600632</c:v>
                </c:pt>
                <c:pt idx="103">
                  <c:v>1.3462124317600632</c:v>
                </c:pt>
                <c:pt idx="104">
                  <c:v>1.3462124317600632</c:v>
                </c:pt>
                <c:pt idx="105">
                  <c:v>1.3462124317600632</c:v>
                </c:pt>
                <c:pt idx="106">
                  <c:v>1.3462124317600632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E7-3E48-8B92-18071F1AEBEA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Neg_162!$I$5:$I$111</c:f>
              <c:numCache>
                <c:formatCode>_(* #,##0.0_);_(* \(#,##0.0\);_(* "-"??_);_(@_)</c:formatCode>
                <c:ptCount val="107"/>
                <c:pt idx="0">
                  <c:v>2.652742445786032</c:v>
                </c:pt>
                <c:pt idx="1">
                  <c:v>3.0948661867503704</c:v>
                </c:pt>
                <c:pt idx="2">
                  <c:v>3.5369899277147088</c:v>
                </c:pt>
                <c:pt idx="3">
                  <c:v>3.979113668679048</c:v>
                </c:pt>
                <c:pt idx="4">
                  <c:v>4.4212374096433864</c:v>
                </c:pt>
                <c:pt idx="5">
                  <c:v>2.2106187048216932</c:v>
                </c:pt>
                <c:pt idx="6">
                  <c:v>2.652742445786032</c:v>
                </c:pt>
                <c:pt idx="7">
                  <c:v>3.0948661867503704</c:v>
                </c:pt>
                <c:pt idx="8">
                  <c:v>3.5369899277147088</c:v>
                </c:pt>
                <c:pt idx="9">
                  <c:v>3.979113668679048</c:v>
                </c:pt>
                <c:pt idx="10">
                  <c:v>4.4212374096433864</c:v>
                </c:pt>
                <c:pt idx="11">
                  <c:v>1.7684949638573544</c:v>
                </c:pt>
                <c:pt idx="12">
                  <c:v>2.2106187048216932</c:v>
                </c:pt>
                <c:pt idx="13">
                  <c:v>2.652742445786032</c:v>
                </c:pt>
                <c:pt idx="14">
                  <c:v>3.0948661867503704</c:v>
                </c:pt>
                <c:pt idx="15">
                  <c:v>3.5369899277147088</c:v>
                </c:pt>
                <c:pt idx="16">
                  <c:v>3.979113668679048</c:v>
                </c:pt>
                <c:pt idx="17">
                  <c:v>4.4212374096433864</c:v>
                </c:pt>
                <c:pt idx="18">
                  <c:v>1.326371222893016</c:v>
                </c:pt>
                <c:pt idx="19">
                  <c:v>1.7684949638573544</c:v>
                </c:pt>
                <c:pt idx="20">
                  <c:v>2.2106187048216932</c:v>
                </c:pt>
                <c:pt idx="21">
                  <c:v>2.652742445786032</c:v>
                </c:pt>
                <c:pt idx="22">
                  <c:v>3.0948661867503704</c:v>
                </c:pt>
                <c:pt idx="23">
                  <c:v>3.5369899277147088</c:v>
                </c:pt>
                <c:pt idx="24">
                  <c:v>3.979113668679048</c:v>
                </c:pt>
                <c:pt idx="25">
                  <c:v>4.4212374096433864</c:v>
                </c:pt>
                <c:pt idx="26">
                  <c:v>0.88424748192867719</c:v>
                </c:pt>
                <c:pt idx="27">
                  <c:v>1.326371222893016</c:v>
                </c:pt>
                <c:pt idx="28">
                  <c:v>1.7684949638573544</c:v>
                </c:pt>
                <c:pt idx="29">
                  <c:v>2.2106187048216932</c:v>
                </c:pt>
                <c:pt idx="30">
                  <c:v>2.652742445786032</c:v>
                </c:pt>
                <c:pt idx="31">
                  <c:v>3.0948661867503704</c:v>
                </c:pt>
                <c:pt idx="32">
                  <c:v>3.5369899277147088</c:v>
                </c:pt>
                <c:pt idx="33">
                  <c:v>3.979113668679048</c:v>
                </c:pt>
                <c:pt idx="34">
                  <c:v>4.4212374096433864</c:v>
                </c:pt>
                <c:pt idx="35">
                  <c:v>0.88424748192867719</c:v>
                </c:pt>
                <c:pt idx="36">
                  <c:v>1.326371222893016</c:v>
                </c:pt>
                <c:pt idx="37">
                  <c:v>1.7684949638573544</c:v>
                </c:pt>
                <c:pt idx="38">
                  <c:v>2.2106187048216932</c:v>
                </c:pt>
                <c:pt idx="39">
                  <c:v>2.652742445786032</c:v>
                </c:pt>
                <c:pt idx="40">
                  <c:v>3.0948661867503704</c:v>
                </c:pt>
                <c:pt idx="41">
                  <c:v>3.5369899277147088</c:v>
                </c:pt>
                <c:pt idx="42">
                  <c:v>3.979113668679048</c:v>
                </c:pt>
                <c:pt idx="43">
                  <c:v>4.4212374096433864</c:v>
                </c:pt>
                <c:pt idx="44">
                  <c:v>0.88424748192867719</c:v>
                </c:pt>
                <c:pt idx="45">
                  <c:v>1.326371222893016</c:v>
                </c:pt>
                <c:pt idx="46">
                  <c:v>1.7684949638573544</c:v>
                </c:pt>
                <c:pt idx="47">
                  <c:v>2.2106187048216932</c:v>
                </c:pt>
                <c:pt idx="48">
                  <c:v>2.652742445786032</c:v>
                </c:pt>
                <c:pt idx="49">
                  <c:v>3.0948661867503704</c:v>
                </c:pt>
                <c:pt idx="50">
                  <c:v>3.5369899277147088</c:v>
                </c:pt>
                <c:pt idx="51">
                  <c:v>3.979113668679048</c:v>
                </c:pt>
                <c:pt idx="52">
                  <c:v>4.4212374096433864</c:v>
                </c:pt>
                <c:pt idx="53">
                  <c:v>0.88424748192867719</c:v>
                </c:pt>
                <c:pt idx="54">
                  <c:v>1.326371222893016</c:v>
                </c:pt>
                <c:pt idx="55">
                  <c:v>1.7684949638573544</c:v>
                </c:pt>
                <c:pt idx="56">
                  <c:v>2.2106187048216932</c:v>
                </c:pt>
                <c:pt idx="57">
                  <c:v>2.652742445786032</c:v>
                </c:pt>
                <c:pt idx="58">
                  <c:v>3.0948661867503704</c:v>
                </c:pt>
                <c:pt idx="59">
                  <c:v>3.5369899277147088</c:v>
                </c:pt>
                <c:pt idx="60">
                  <c:v>3.979113668679048</c:v>
                </c:pt>
                <c:pt idx="61">
                  <c:v>4.4212374096433864</c:v>
                </c:pt>
                <c:pt idx="62">
                  <c:v>0.88424748192867719</c:v>
                </c:pt>
                <c:pt idx="63">
                  <c:v>1.326371222893016</c:v>
                </c:pt>
                <c:pt idx="64">
                  <c:v>1.7684949638573544</c:v>
                </c:pt>
                <c:pt idx="65">
                  <c:v>2.2106187048216932</c:v>
                </c:pt>
                <c:pt idx="66">
                  <c:v>2.652742445786032</c:v>
                </c:pt>
                <c:pt idx="67">
                  <c:v>3.0948661867503704</c:v>
                </c:pt>
                <c:pt idx="68">
                  <c:v>3.5369899277147088</c:v>
                </c:pt>
                <c:pt idx="69">
                  <c:v>3.979113668679048</c:v>
                </c:pt>
                <c:pt idx="70">
                  <c:v>4.4212374096433864</c:v>
                </c:pt>
                <c:pt idx="71">
                  <c:v>0.88424748192867719</c:v>
                </c:pt>
                <c:pt idx="72">
                  <c:v>1.326371222893016</c:v>
                </c:pt>
                <c:pt idx="73">
                  <c:v>1.7684949638573544</c:v>
                </c:pt>
                <c:pt idx="74">
                  <c:v>2.2106187048216932</c:v>
                </c:pt>
                <c:pt idx="75">
                  <c:v>2.652742445786032</c:v>
                </c:pt>
                <c:pt idx="76">
                  <c:v>3.0948661867503704</c:v>
                </c:pt>
                <c:pt idx="77">
                  <c:v>3.5369899277147088</c:v>
                </c:pt>
                <c:pt idx="78">
                  <c:v>3.979113668679048</c:v>
                </c:pt>
                <c:pt idx="79">
                  <c:v>4.4212374096433864</c:v>
                </c:pt>
                <c:pt idx="80">
                  <c:v>0.88424748192867719</c:v>
                </c:pt>
                <c:pt idx="81">
                  <c:v>1.326371222893016</c:v>
                </c:pt>
                <c:pt idx="82">
                  <c:v>1.7684949638573544</c:v>
                </c:pt>
                <c:pt idx="83">
                  <c:v>2.2106187048216932</c:v>
                </c:pt>
                <c:pt idx="84">
                  <c:v>2.652742445786032</c:v>
                </c:pt>
                <c:pt idx="85">
                  <c:v>3.0948661867503704</c:v>
                </c:pt>
                <c:pt idx="86">
                  <c:v>3.5369899277147088</c:v>
                </c:pt>
                <c:pt idx="87">
                  <c:v>3.979113668679048</c:v>
                </c:pt>
                <c:pt idx="88">
                  <c:v>4.4212374096433864</c:v>
                </c:pt>
                <c:pt idx="89">
                  <c:v>0.88424748192867719</c:v>
                </c:pt>
                <c:pt idx="90">
                  <c:v>1.326371222893016</c:v>
                </c:pt>
                <c:pt idx="91">
                  <c:v>1.7684949638573544</c:v>
                </c:pt>
                <c:pt idx="92">
                  <c:v>2.2106187048216932</c:v>
                </c:pt>
                <c:pt idx="93">
                  <c:v>2.652742445786032</c:v>
                </c:pt>
                <c:pt idx="94">
                  <c:v>3.0948661867503704</c:v>
                </c:pt>
                <c:pt idx="95">
                  <c:v>3.5369899277147088</c:v>
                </c:pt>
                <c:pt idx="96">
                  <c:v>3.979113668679048</c:v>
                </c:pt>
                <c:pt idx="97">
                  <c:v>4.4212374096433864</c:v>
                </c:pt>
                <c:pt idx="98">
                  <c:v>0.88424748192867719</c:v>
                </c:pt>
                <c:pt idx="99">
                  <c:v>1.326371222893016</c:v>
                </c:pt>
                <c:pt idx="100">
                  <c:v>1.7684949638573544</c:v>
                </c:pt>
                <c:pt idx="101">
                  <c:v>2.2106187048216932</c:v>
                </c:pt>
                <c:pt idx="102">
                  <c:v>2.652742445786032</c:v>
                </c:pt>
                <c:pt idx="103">
                  <c:v>3.0948661867503704</c:v>
                </c:pt>
                <c:pt idx="104">
                  <c:v>3.5369899277147088</c:v>
                </c:pt>
                <c:pt idx="105">
                  <c:v>3.979113668679048</c:v>
                </c:pt>
                <c:pt idx="106">
                  <c:v>4.4212374096433864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E7-3E48-8B92-18071F1AEBEA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Neg_162!$K$5:$K$111</c:f>
              <c:numCache>
                <c:formatCode>_(* #,##0.0_);_(* \(#,##0.0\);_(* "-"??_);_(@_)</c:formatCode>
                <c:ptCount val="107"/>
                <c:pt idx="0">
                  <c:v>4.1756131091076423</c:v>
                </c:pt>
                <c:pt idx="1">
                  <c:v>4.1756131091076423</c:v>
                </c:pt>
                <c:pt idx="2">
                  <c:v>4.1756131091076423</c:v>
                </c:pt>
                <c:pt idx="3">
                  <c:v>4.1756131091076423</c:v>
                </c:pt>
                <c:pt idx="4">
                  <c:v>4.1756131091076423</c:v>
                </c:pt>
                <c:pt idx="5">
                  <c:v>4.1756131091076423</c:v>
                </c:pt>
                <c:pt idx="6">
                  <c:v>4.1756131091076423</c:v>
                </c:pt>
                <c:pt idx="7">
                  <c:v>4.1756131091076423</c:v>
                </c:pt>
                <c:pt idx="8">
                  <c:v>4.1756131091076423</c:v>
                </c:pt>
                <c:pt idx="9">
                  <c:v>4.1756131091076423</c:v>
                </c:pt>
                <c:pt idx="10">
                  <c:v>4.1756131091076423</c:v>
                </c:pt>
                <c:pt idx="11">
                  <c:v>4.1756131091076423</c:v>
                </c:pt>
                <c:pt idx="12">
                  <c:v>4.1756131091076423</c:v>
                </c:pt>
                <c:pt idx="13">
                  <c:v>4.1756131091076423</c:v>
                </c:pt>
                <c:pt idx="14">
                  <c:v>4.1756131091076423</c:v>
                </c:pt>
                <c:pt idx="15">
                  <c:v>4.1756131091076423</c:v>
                </c:pt>
                <c:pt idx="16">
                  <c:v>4.1756131091076423</c:v>
                </c:pt>
                <c:pt idx="17">
                  <c:v>4.1756131091076423</c:v>
                </c:pt>
                <c:pt idx="18">
                  <c:v>4.1756131091076423</c:v>
                </c:pt>
                <c:pt idx="19">
                  <c:v>4.1756131091076423</c:v>
                </c:pt>
                <c:pt idx="20">
                  <c:v>4.1756131091076423</c:v>
                </c:pt>
                <c:pt idx="21">
                  <c:v>4.1756131091076423</c:v>
                </c:pt>
                <c:pt idx="22">
                  <c:v>4.1756131091076423</c:v>
                </c:pt>
                <c:pt idx="23">
                  <c:v>4.1756131091076423</c:v>
                </c:pt>
                <c:pt idx="24">
                  <c:v>4.1756131091076423</c:v>
                </c:pt>
                <c:pt idx="25">
                  <c:v>4.1756131091076423</c:v>
                </c:pt>
                <c:pt idx="26">
                  <c:v>4.1756131091076423</c:v>
                </c:pt>
                <c:pt idx="27">
                  <c:v>4.1756131091076423</c:v>
                </c:pt>
                <c:pt idx="28">
                  <c:v>4.1756131091076423</c:v>
                </c:pt>
                <c:pt idx="29">
                  <c:v>4.1756131091076423</c:v>
                </c:pt>
                <c:pt idx="30">
                  <c:v>4.1756131091076423</c:v>
                </c:pt>
                <c:pt idx="31">
                  <c:v>4.1756131091076423</c:v>
                </c:pt>
                <c:pt idx="32">
                  <c:v>4.1756131091076423</c:v>
                </c:pt>
                <c:pt idx="33">
                  <c:v>4.1756131091076423</c:v>
                </c:pt>
                <c:pt idx="34">
                  <c:v>4.1756131091076423</c:v>
                </c:pt>
                <c:pt idx="35">
                  <c:v>4.1756131091076423</c:v>
                </c:pt>
                <c:pt idx="36">
                  <c:v>4.1756131091076423</c:v>
                </c:pt>
                <c:pt idx="37">
                  <c:v>4.1756131091076423</c:v>
                </c:pt>
                <c:pt idx="38">
                  <c:v>4.1756131091076423</c:v>
                </c:pt>
                <c:pt idx="39">
                  <c:v>4.1756131091076423</c:v>
                </c:pt>
                <c:pt idx="40">
                  <c:v>4.1756131091076423</c:v>
                </c:pt>
                <c:pt idx="41">
                  <c:v>4.1756131091076423</c:v>
                </c:pt>
                <c:pt idx="42">
                  <c:v>4.1756131091076423</c:v>
                </c:pt>
                <c:pt idx="43">
                  <c:v>4.1756131091076423</c:v>
                </c:pt>
                <c:pt idx="44">
                  <c:v>4.1756131091076423</c:v>
                </c:pt>
                <c:pt idx="45">
                  <c:v>4.1756131091076423</c:v>
                </c:pt>
                <c:pt idx="46">
                  <c:v>4.1756131091076423</c:v>
                </c:pt>
                <c:pt idx="47">
                  <c:v>4.1756131091076423</c:v>
                </c:pt>
                <c:pt idx="48">
                  <c:v>4.1756131091076423</c:v>
                </c:pt>
                <c:pt idx="49">
                  <c:v>4.1756131091076423</c:v>
                </c:pt>
                <c:pt idx="50">
                  <c:v>4.1756131091076423</c:v>
                </c:pt>
                <c:pt idx="51">
                  <c:v>4.1756131091076423</c:v>
                </c:pt>
                <c:pt idx="52">
                  <c:v>4.1756131091076423</c:v>
                </c:pt>
                <c:pt idx="53">
                  <c:v>4.1756131091076423</c:v>
                </c:pt>
                <c:pt idx="54">
                  <c:v>4.1756131091076423</c:v>
                </c:pt>
                <c:pt idx="55">
                  <c:v>4.1756131091076423</c:v>
                </c:pt>
                <c:pt idx="56">
                  <c:v>4.1756131091076423</c:v>
                </c:pt>
                <c:pt idx="57">
                  <c:v>4.1756131091076423</c:v>
                </c:pt>
                <c:pt idx="58">
                  <c:v>4.1756131091076423</c:v>
                </c:pt>
                <c:pt idx="59">
                  <c:v>4.1756131091076423</c:v>
                </c:pt>
                <c:pt idx="60">
                  <c:v>4.1756131091076423</c:v>
                </c:pt>
                <c:pt idx="61">
                  <c:v>4.1756131091076423</c:v>
                </c:pt>
                <c:pt idx="62">
                  <c:v>4.1756131091076423</c:v>
                </c:pt>
                <c:pt idx="63">
                  <c:v>4.1756131091076423</c:v>
                </c:pt>
                <c:pt idx="64">
                  <c:v>4.1756131091076423</c:v>
                </c:pt>
                <c:pt idx="65">
                  <c:v>4.1756131091076423</c:v>
                </c:pt>
                <c:pt idx="66">
                  <c:v>4.1756131091076423</c:v>
                </c:pt>
                <c:pt idx="67">
                  <c:v>4.1756131091076423</c:v>
                </c:pt>
                <c:pt idx="68">
                  <c:v>4.1756131091076423</c:v>
                </c:pt>
                <c:pt idx="69">
                  <c:v>4.1756131091076423</c:v>
                </c:pt>
                <c:pt idx="70">
                  <c:v>4.1756131091076423</c:v>
                </c:pt>
                <c:pt idx="71">
                  <c:v>4.1756131091076423</c:v>
                </c:pt>
                <c:pt idx="72">
                  <c:v>4.1756131091076423</c:v>
                </c:pt>
                <c:pt idx="73">
                  <c:v>4.1756131091076423</c:v>
                </c:pt>
                <c:pt idx="74">
                  <c:v>4.1756131091076423</c:v>
                </c:pt>
                <c:pt idx="75">
                  <c:v>4.1756131091076423</c:v>
                </c:pt>
                <c:pt idx="76">
                  <c:v>4.1756131091076423</c:v>
                </c:pt>
                <c:pt idx="77">
                  <c:v>4.1756131091076423</c:v>
                </c:pt>
                <c:pt idx="78">
                  <c:v>4.1756131091076423</c:v>
                </c:pt>
                <c:pt idx="79">
                  <c:v>4.1756131091076423</c:v>
                </c:pt>
                <c:pt idx="80">
                  <c:v>4.1756131091076423</c:v>
                </c:pt>
                <c:pt idx="81">
                  <c:v>4.1756131091076423</c:v>
                </c:pt>
                <c:pt idx="82">
                  <c:v>4.1756131091076423</c:v>
                </c:pt>
                <c:pt idx="83">
                  <c:v>4.1756131091076423</c:v>
                </c:pt>
                <c:pt idx="84">
                  <c:v>4.1756131091076423</c:v>
                </c:pt>
                <c:pt idx="85">
                  <c:v>4.1756131091076423</c:v>
                </c:pt>
                <c:pt idx="86">
                  <c:v>4.1756131091076423</c:v>
                </c:pt>
                <c:pt idx="87">
                  <c:v>4.1756131091076423</c:v>
                </c:pt>
                <c:pt idx="88">
                  <c:v>4.1756131091076423</c:v>
                </c:pt>
                <c:pt idx="89">
                  <c:v>4.1756131091076423</c:v>
                </c:pt>
                <c:pt idx="90">
                  <c:v>4.1756131091076423</c:v>
                </c:pt>
                <c:pt idx="91">
                  <c:v>4.1756131091076423</c:v>
                </c:pt>
                <c:pt idx="92">
                  <c:v>4.1756131091076423</c:v>
                </c:pt>
                <c:pt idx="93">
                  <c:v>4.1756131091076423</c:v>
                </c:pt>
                <c:pt idx="94">
                  <c:v>4.1756131091076423</c:v>
                </c:pt>
                <c:pt idx="95">
                  <c:v>4.1756131091076423</c:v>
                </c:pt>
                <c:pt idx="96">
                  <c:v>4.1756131091076423</c:v>
                </c:pt>
                <c:pt idx="97">
                  <c:v>4.1756131091076423</c:v>
                </c:pt>
                <c:pt idx="98">
                  <c:v>4.1756131091076423</c:v>
                </c:pt>
                <c:pt idx="99">
                  <c:v>4.1756131091076423</c:v>
                </c:pt>
                <c:pt idx="100">
                  <c:v>4.1756131091076423</c:v>
                </c:pt>
                <c:pt idx="101">
                  <c:v>4.1756131091076423</c:v>
                </c:pt>
                <c:pt idx="102">
                  <c:v>4.1756131091076423</c:v>
                </c:pt>
                <c:pt idx="103">
                  <c:v>4.1756131091076423</c:v>
                </c:pt>
                <c:pt idx="104">
                  <c:v>4.1756131091076423</c:v>
                </c:pt>
                <c:pt idx="105">
                  <c:v>4.1756131091076423</c:v>
                </c:pt>
                <c:pt idx="106">
                  <c:v>4.1756131091076423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6E7-3E48-8B92-18071F1AEBEA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Neg_162!$P$5:$P$111</c:f>
              <c:numCache>
                <c:formatCode>0.0</c:formatCode>
                <c:ptCount val="107"/>
                <c:pt idx="0">
                  <c:v>3.5836390578944357</c:v>
                </c:pt>
                <c:pt idx="1">
                  <c:v>3.5836390578944357</c:v>
                </c:pt>
                <c:pt idx="2">
                  <c:v>3.5836390578944357</c:v>
                </c:pt>
                <c:pt idx="3">
                  <c:v>3.5836390578944357</c:v>
                </c:pt>
                <c:pt idx="4">
                  <c:v>3.5836390578944357</c:v>
                </c:pt>
                <c:pt idx="5">
                  <c:v>3.5836390578944357</c:v>
                </c:pt>
                <c:pt idx="6">
                  <c:v>3.5836390578944357</c:v>
                </c:pt>
                <c:pt idx="7">
                  <c:v>3.5836390578944357</c:v>
                </c:pt>
                <c:pt idx="8">
                  <c:v>3.5836390578944357</c:v>
                </c:pt>
                <c:pt idx="9">
                  <c:v>3.5836390578944357</c:v>
                </c:pt>
                <c:pt idx="10">
                  <c:v>3.5836390578944357</c:v>
                </c:pt>
                <c:pt idx="11">
                  <c:v>3.5836390578944357</c:v>
                </c:pt>
                <c:pt idx="12">
                  <c:v>3.5836390578944357</c:v>
                </c:pt>
                <c:pt idx="13">
                  <c:v>3.5836390578944357</c:v>
                </c:pt>
                <c:pt idx="14">
                  <c:v>3.5836390578944357</c:v>
                </c:pt>
                <c:pt idx="15">
                  <c:v>3.5836390578944357</c:v>
                </c:pt>
                <c:pt idx="16">
                  <c:v>3.5836390578944357</c:v>
                </c:pt>
                <c:pt idx="17">
                  <c:v>3.5836390578944357</c:v>
                </c:pt>
                <c:pt idx="18">
                  <c:v>3.5836390578944357</c:v>
                </c:pt>
                <c:pt idx="19">
                  <c:v>3.5836390578944357</c:v>
                </c:pt>
                <c:pt idx="20">
                  <c:v>3.5836390578944357</c:v>
                </c:pt>
                <c:pt idx="21">
                  <c:v>3.5836390578944357</c:v>
                </c:pt>
                <c:pt idx="22">
                  <c:v>3.5836390578944357</c:v>
                </c:pt>
                <c:pt idx="23">
                  <c:v>3.5836390578944357</c:v>
                </c:pt>
                <c:pt idx="24">
                  <c:v>3.5836390578944357</c:v>
                </c:pt>
                <c:pt idx="25">
                  <c:v>3.5836390578944357</c:v>
                </c:pt>
                <c:pt idx="26">
                  <c:v>3.5836390578944357</c:v>
                </c:pt>
                <c:pt idx="27">
                  <c:v>3.5836390578944357</c:v>
                </c:pt>
                <c:pt idx="28">
                  <c:v>3.5836390578944357</c:v>
                </c:pt>
                <c:pt idx="29">
                  <c:v>3.5836390578944357</c:v>
                </c:pt>
                <c:pt idx="30">
                  <c:v>3.5836390578944357</c:v>
                </c:pt>
                <c:pt idx="31">
                  <c:v>3.5836390578944357</c:v>
                </c:pt>
                <c:pt idx="32">
                  <c:v>3.5836390578944357</c:v>
                </c:pt>
                <c:pt idx="33">
                  <c:v>3.5836390578944357</c:v>
                </c:pt>
                <c:pt idx="34">
                  <c:v>3.5836390578944357</c:v>
                </c:pt>
                <c:pt idx="35">
                  <c:v>3.5836390578944357</c:v>
                </c:pt>
                <c:pt idx="36">
                  <c:v>3.5836390578944357</c:v>
                </c:pt>
                <c:pt idx="37">
                  <c:v>3.5836390578944357</c:v>
                </c:pt>
                <c:pt idx="38">
                  <c:v>3.5836390578944357</c:v>
                </c:pt>
                <c:pt idx="39">
                  <c:v>3.5836390578944357</c:v>
                </c:pt>
                <c:pt idx="40">
                  <c:v>3.5836390578944357</c:v>
                </c:pt>
                <c:pt idx="41">
                  <c:v>3.5836390578944357</c:v>
                </c:pt>
                <c:pt idx="42">
                  <c:v>3.5836390578944357</c:v>
                </c:pt>
                <c:pt idx="43">
                  <c:v>3.5836390578944357</c:v>
                </c:pt>
                <c:pt idx="44">
                  <c:v>3.5836390578944357</c:v>
                </c:pt>
                <c:pt idx="45">
                  <c:v>3.5836390578944357</c:v>
                </c:pt>
                <c:pt idx="46">
                  <c:v>3.5836390578944357</c:v>
                </c:pt>
                <c:pt idx="47">
                  <c:v>3.5836390578944357</c:v>
                </c:pt>
                <c:pt idx="48">
                  <c:v>3.5836390578944357</c:v>
                </c:pt>
                <c:pt idx="49">
                  <c:v>3.5836390578944357</c:v>
                </c:pt>
                <c:pt idx="50">
                  <c:v>3.5836390578944357</c:v>
                </c:pt>
                <c:pt idx="51">
                  <c:v>3.5836390578944357</c:v>
                </c:pt>
                <c:pt idx="52">
                  <c:v>3.5836390578944357</c:v>
                </c:pt>
                <c:pt idx="53">
                  <c:v>3.5836390578944357</c:v>
                </c:pt>
                <c:pt idx="54">
                  <c:v>3.5836390578944357</c:v>
                </c:pt>
                <c:pt idx="55">
                  <c:v>3.5836390578944357</c:v>
                </c:pt>
                <c:pt idx="56">
                  <c:v>3.5836390578944357</c:v>
                </c:pt>
                <c:pt idx="57">
                  <c:v>3.5836390578944357</c:v>
                </c:pt>
                <c:pt idx="58">
                  <c:v>3.5836390578944357</c:v>
                </c:pt>
                <c:pt idx="59">
                  <c:v>3.5836390578944357</c:v>
                </c:pt>
                <c:pt idx="60">
                  <c:v>3.5836390578944357</c:v>
                </c:pt>
                <c:pt idx="61">
                  <c:v>3.5836390578944357</c:v>
                </c:pt>
                <c:pt idx="62">
                  <c:v>3.5836390578944357</c:v>
                </c:pt>
                <c:pt idx="63">
                  <c:v>3.5836390578944357</c:v>
                </c:pt>
                <c:pt idx="64">
                  <c:v>3.5836390578944357</c:v>
                </c:pt>
                <c:pt idx="65">
                  <c:v>3.5836390578944357</c:v>
                </c:pt>
                <c:pt idx="66">
                  <c:v>3.5836390578944357</c:v>
                </c:pt>
                <c:pt idx="67">
                  <c:v>3.5836390578944357</c:v>
                </c:pt>
                <c:pt idx="68">
                  <c:v>3.5836390578944357</c:v>
                </c:pt>
                <c:pt idx="69">
                  <c:v>3.5836390578944357</c:v>
                </c:pt>
                <c:pt idx="70">
                  <c:v>3.5836390578944357</c:v>
                </c:pt>
                <c:pt idx="71">
                  <c:v>3.5836390578944357</c:v>
                </c:pt>
                <c:pt idx="72">
                  <c:v>3.5836390578944357</c:v>
                </c:pt>
                <c:pt idx="73">
                  <c:v>3.5836390578944357</c:v>
                </c:pt>
                <c:pt idx="74">
                  <c:v>3.5836390578944357</c:v>
                </c:pt>
                <c:pt idx="75">
                  <c:v>3.5836390578944357</c:v>
                </c:pt>
                <c:pt idx="76">
                  <c:v>3.5836390578944357</c:v>
                </c:pt>
                <c:pt idx="77">
                  <c:v>3.5836390578944357</c:v>
                </c:pt>
                <c:pt idx="78">
                  <c:v>3.5836390578944357</c:v>
                </c:pt>
                <c:pt idx="79">
                  <c:v>3.5836390578944357</c:v>
                </c:pt>
                <c:pt idx="80">
                  <c:v>3.5836390578944357</c:v>
                </c:pt>
                <c:pt idx="81">
                  <c:v>3.5836390578944357</c:v>
                </c:pt>
                <c:pt idx="82">
                  <c:v>3.5836390578944357</c:v>
                </c:pt>
                <c:pt idx="83">
                  <c:v>3.5836390578944357</c:v>
                </c:pt>
                <c:pt idx="84">
                  <c:v>3.5836390578944357</c:v>
                </c:pt>
                <c:pt idx="85">
                  <c:v>3.5836390578944357</c:v>
                </c:pt>
                <c:pt idx="86">
                  <c:v>3.5836390578944357</c:v>
                </c:pt>
                <c:pt idx="87">
                  <c:v>3.5836390578944357</c:v>
                </c:pt>
                <c:pt idx="88">
                  <c:v>3.5836390578944357</c:v>
                </c:pt>
                <c:pt idx="89">
                  <c:v>3.5836390578944357</c:v>
                </c:pt>
                <c:pt idx="90">
                  <c:v>3.5836390578944357</c:v>
                </c:pt>
                <c:pt idx="91">
                  <c:v>3.5836390578944357</c:v>
                </c:pt>
                <c:pt idx="92">
                  <c:v>3.5836390578944357</c:v>
                </c:pt>
                <c:pt idx="93">
                  <c:v>3.5836390578944357</c:v>
                </c:pt>
                <c:pt idx="94">
                  <c:v>3.5836390578944357</c:v>
                </c:pt>
                <c:pt idx="95">
                  <c:v>3.5836390578944357</c:v>
                </c:pt>
                <c:pt idx="96">
                  <c:v>3.5836390578944357</c:v>
                </c:pt>
                <c:pt idx="97">
                  <c:v>3.5836390578944357</c:v>
                </c:pt>
                <c:pt idx="98">
                  <c:v>3.5836390578944357</c:v>
                </c:pt>
                <c:pt idx="99">
                  <c:v>3.5836390578944357</c:v>
                </c:pt>
                <c:pt idx="100">
                  <c:v>3.5836390578944357</c:v>
                </c:pt>
                <c:pt idx="101">
                  <c:v>3.5836390578944357</c:v>
                </c:pt>
                <c:pt idx="102">
                  <c:v>3.5836390578944357</c:v>
                </c:pt>
                <c:pt idx="103">
                  <c:v>3.5836390578944357</c:v>
                </c:pt>
                <c:pt idx="104">
                  <c:v>3.5836390578944357</c:v>
                </c:pt>
                <c:pt idx="105">
                  <c:v>3.5836390578944357</c:v>
                </c:pt>
                <c:pt idx="106">
                  <c:v>3.5836390578944357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6E7-3E48-8B92-18071F1AEBEA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Neg_162!$S$5:$S$111</c:f>
              <c:strCache>
                <c:ptCount val="107"/>
                <c:pt idx="0">
                  <c:v> (420,31,60,100,188,0.81) </c:v>
                </c:pt>
                <c:pt idx="1">
                  <c:v> (420,31,70,100,183,0.82) </c:v>
                </c:pt>
                <c:pt idx="2">
                  <c:v> (420,31,80,100,181,0.82) </c:v>
                </c:pt>
                <c:pt idx="3">
                  <c:v> (420,31,90,100,179,0.82) </c:v>
                </c:pt>
                <c:pt idx="4">
                  <c:v> (420,31,100,100,178,0.82) </c:v>
                </c:pt>
                <c:pt idx="5">
                  <c:v> (430,31,50,100,164,0.82) </c:v>
                </c:pt>
                <c:pt idx="6">
                  <c:v> (430,31,60,100,160,0.83) </c:v>
                </c:pt>
                <c:pt idx="7">
                  <c:v> (430,31,70,100,158,0.83) </c:v>
                </c:pt>
                <c:pt idx="8">
                  <c:v> (430,31,80,100,156,0.83) </c:v>
                </c:pt>
                <c:pt idx="9">
                  <c:v> (430,31,90,100,156,0.83) </c:v>
                </c:pt>
                <c:pt idx="10">
                  <c:v> (430,31,100,100,155,0.84) </c:v>
                </c:pt>
                <c:pt idx="11">
                  <c:v> (440,30,40,100,152,0.83) </c:v>
                </c:pt>
                <c:pt idx="12">
                  <c:v> (440,30,50,100,147,0.84) </c:v>
                </c:pt>
                <c:pt idx="13">
                  <c:v> (440,30,60,100,145,0.84) </c:v>
                </c:pt>
                <c:pt idx="14">
                  <c:v> (440,30,70,100,144,0.84) </c:v>
                </c:pt>
                <c:pt idx="15">
                  <c:v> (440,30,80,100,143,0.85) </c:v>
                </c:pt>
                <c:pt idx="16">
                  <c:v> (440,30,90,100,142,0.85) </c:v>
                </c:pt>
                <c:pt idx="17">
                  <c:v> (440,30,100,100,142,0.85) </c:v>
                </c:pt>
                <c:pt idx="18">
                  <c:v> (450,30,30,100,147,0.82) </c:v>
                </c:pt>
                <c:pt idx="19">
                  <c:v> (450,30,40,100,140,0.84) </c:v>
                </c:pt>
                <c:pt idx="20">
                  <c:v> (450,30,50,100,136,0.85) </c:v>
                </c:pt>
                <c:pt idx="21">
                  <c:v> (450,30,60,100,135,0.85) </c:v>
                </c:pt>
                <c:pt idx="22">
                  <c:v> (450,30,70,100,134,0.85) </c:v>
                </c:pt>
                <c:pt idx="23">
                  <c:v> (450,30,80,100,133,0.86) </c:v>
                </c:pt>
                <c:pt idx="24">
                  <c:v> (450,30,90,100,133,0.86) </c:v>
                </c:pt>
                <c:pt idx="25">
                  <c:v> (450,30,100,100,133,0.86) </c:v>
                </c:pt>
                <c:pt idx="26">
                  <c:v> (460,30,20,100,150,0.8) </c:v>
                </c:pt>
                <c:pt idx="27">
                  <c:v> (460,30,30,100,136,0.83) </c:v>
                </c:pt>
                <c:pt idx="28">
                  <c:v> (460,30,40,100,131,0.85) </c:v>
                </c:pt>
                <c:pt idx="29">
                  <c:v> (460,30,50,100,128,0.86) </c:v>
                </c:pt>
                <c:pt idx="30">
                  <c:v> (460,30,60,100,127,0.86) </c:v>
                </c:pt>
                <c:pt idx="31">
                  <c:v> (460,30,70,100,127,0.87) </c:v>
                </c:pt>
                <c:pt idx="32">
                  <c:v> (460,30,80,100,126,0.87) </c:v>
                </c:pt>
                <c:pt idx="33">
                  <c:v> (460,30,90,100,126,0.87) </c:v>
                </c:pt>
                <c:pt idx="34">
                  <c:v> (460,30,100,100,126,0.87) </c:v>
                </c:pt>
                <c:pt idx="35">
                  <c:v> (470,29,20,100,139,0.82) </c:v>
                </c:pt>
                <c:pt idx="36">
                  <c:v> (470,29,30,100,129,0.85) </c:v>
                </c:pt>
                <c:pt idx="37">
                  <c:v> (470,29,40,100,124,0.86) </c:v>
                </c:pt>
                <c:pt idx="38">
                  <c:v> (470,29,50,100,122,0.87) </c:v>
                </c:pt>
                <c:pt idx="39">
                  <c:v> (470,29,60,100,121,0.87) </c:v>
                </c:pt>
                <c:pt idx="40">
                  <c:v> (470,29,70,100,121,0.88) </c:v>
                </c:pt>
                <c:pt idx="41">
                  <c:v> (470,29,80,100,120,0.88) </c:v>
                </c:pt>
                <c:pt idx="42">
                  <c:v> (470,29,90,100,120,0.88) </c:v>
                </c:pt>
                <c:pt idx="43">
                  <c:v> (470,29,100,100,120,0.88) </c:v>
                </c:pt>
                <c:pt idx="44">
                  <c:v> (480,29,20,100,130,0.83) </c:v>
                </c:pt>
                <c:pt idx="45">
                  <c:v> (480,29,30,100,122,0.86) </c:v>
                </c:pt>
                <c:pt idx="46">
                  <c:v> (480,29,40,100,118,0.87) </c:v>
                </c:pt>
                <c:pt idx="47">
                  <c:v> (480,29,50,100,117,0.88) </c:v>
                </c:pt>
                <c:pt idx="48">
                  <c:v> (480,29,60,100,116,0.88) </c:v>
                </c:pt>
                <c:pt idx="49">
                  <c:v> (480,29,70,100,116,0.89) </c:v>
                </c:pt>
                <c:pt idx="50">
                  <c:v> (480,29,80,100,116,0.89) </c:v>
                </c:pt>
                <c:pt idx="51">
                  <c:v> (480,29,90,100,115,0.89) </c:v>
                </c:pt>
                <c:pt idx="52">
                  <c:v> (480,29,100,100,115,0.89) </c:v>
                </c:pt>
                <c:pt idx="53">
                  <c:v> (490,29,20,100,123,0.84) </c:v>
                </c:pt>
                <c:pt idx="54">
                  <c:v> (490,29,30,100,117,0.87) </c:v>
                </c:pt>
                <c:pt idx="55">
                  <c:v> (490,29,40,100,114,0.88) </c:v>
                </c:pt>
                <c:pt idx="56">
                  <c:v> (490,29,50,100,113,0.89) </c:v>
                </c:pt>
                <c:pt idx="57">
                  <c:v> (490,29,60,100,112,0.89) </c:v>
                </c:pt>
                <c:pt idx="58">
                  <c:v> (490,29,70,100,112,0.89) </c:v>
                </c:pt>
                <c:pt idx="59">
                  <c:v> (490,29,80,100,112,0.89) </c:v>
                </c:pt>
                <c:pt idx="60">
                  <c:v> (490,29,90,100,111,0.9) </c:v>
                </c:pt>
                <c:pt idx="61">
                  <c:v> (490,29,100,100,111,0.9) </c:v>
                </c:pt>
                <c:pt idx="62">
                  <c:v> (500,28,20,100,118,0.85) </c:v>
                </c:pt>
                <c:pt idx="63">
                  <c:v> (500,28,30,100,112,0.88) </c:v>
                </c:pt>
                <c:pt idx="64">
                  <c:v> (500,28,40,100,110,0.89) </c:v>
                </c:pt>
                <c:pt idx="65">
                  <c:v> (500,28,50,100,109,0.9) </c:v>
                </c:pt>
                <c:pt idx="66">
                  <c:v> (500,28,60,100,109,0.9) </c:v>
                </c:pt>
                <c:pt idx="67">
                  <c:v> (500,28,70,100,108,0.9) </c:v>
                </c:pt>
                <c:pt idx="68">
                  <c:v> (500,28,80,100,108,0.9) </c:v>
                </c:pt>
                <c:pt idx="69">
                  <c:v> (500,28,90,100,108,0.9) </c:v>
                </c:pt>
                <c:pt idx="70">
                  <c:v> (500,28,100,100,108,0.9) </c:v>
                </c:pt>
                <c:pt idx="71">
                  <c:v> (510,28,20,100,113,0.87) </c:v>
                </c:pt>
                <c:pt idx="72">
                  <c:v> (510,28,30,100,109,0.89) </c:v>
                </c:pt>
                <c:pt idx="73">
                  <c:v> (510,28,40,100,107,0.9) </c:v>
                </c:pt>
                <c:pt idx="74">
                  <c:v> (510,28,50,100,106,0.9) </c:v>
                </c:pt>
                <c:pt idx="75">
                  <c:v> (510,28,60,100,106,0.91) </c:v>
                </c:pt>
                <c:pt idx="76">
                  <c:v> (510,28,70,100,105,0.91) </c:v>
                </c:pt>
                <c:pt idx="77">
                  <c:v> (510,28,80,100,105,0.91) </c:v>
                </c:pt>
                <c:pt idx="78">
                  <c:v> (510,28,90,100,105,0.91) </c:v>
                </c:pt>
                <c:pt idx="79">
                  <c:v> (510,28,100,100,105,0.91) </c:v>
                </c:pt>
                <c:pt idx="80">
                  <c:v> (520,28,20,100,109,0.88) </c:v>
                </c:pt>
                <c:pt idx="81">
                  <c:v> (520,28,30,100,105,0.9) </c:v>
                </c:pt>
                <c:pt idx="82">
                  <c:v> (520,28,40,100,104,0.91) </c:v>
                </c:pt>
                <c:pt idx="83">
                  <c:v> (520,28,50,100,103,0.91) </c:v>
                </c:pt>
                <c:pt idx="84">
                  <c:v> (520,28,60,100,103,0.91) </c:v>
                </c:pt>
                <c:pt idx="85">
                  <c:v> (520,28,70,100,103,0.92) </c:v>
                </c:pt>
                <c:pt idx="86">
                  <c:v> (520,28,80,100,102,0.92) </c:v>
                </c:pt>
                <c:pt idx="87">
                  <c:v> (520,28,90,100,102,0.92) </c:v>
                </c:pt>
                <c:pt idx="88">
                  <c:v> (520,28,100,100,102,0.92) </c:v>
                </c:pt>
                <c:pt idx="89">
                  <c:v> (530,28,20,100,106,0.89) </c:v>
                </c:pt>
                <c:pt idx="90">
                  <c:v> (530,28,30,100,103,0.91) </c:v>
                </c:pt>
                <c:pt idx="91">
                  <c:v> (530,28,40,100,102,0.91) </c:v>
                </c:pt>
                <c:pt idx="92">
                  <c:v> (530,28,50,100,101,0.92) </c:v>
                </c:pt>
                <c:pt idx="93">
                  <c:v> (530,28,60,100,101,0.92) </c:v>
                </c:pt>
                <c:pt idx="94">
                  <c:v> (530,28,70,100,100,0.92) </c:v>
                </c:pt>
                <c:pt idx="95">
                  <c:v> (530,28,80,100,100,0.92) </c:v>
                </c:pt>
                <c:pt idx="96">
                  <c:v> (530,28,90,100,100,0.92) </c:v>
                </c:pt>
                <c:pt idx="97">
                  <c:v> (530,28,100,100,100,0.92) </c:v>
                </c:pt>
                <c:pt idx="98">
                  <c:v> (540,27,20,100,103,0.89) </c:v>
                </c:pt>
                <c:pt idx="99">
                  <c:v> (540,27,30,100,100,0.91) </c:v>
                </c:pt>
                <c:pt idx="100">
                  <c:v> (540,27,40,100,99,0.92) </c:v>
                </c:pt>
                <c:pt idx="101">
                  <c:v> (540,27,50,100,99,0.92) </c:v>
                </c:pt>
                <c:pt idx="102">
                  <c:v> (540,27,60,100,98,0.93) </c:v>
                </c:pt>
                <c:pt idx="103">
                  <c:v> (540,27,70,100,98,0.93) </c:v>
                </c:pt>
                <c:pt idx="104">
                  <c:v> (540,27,80,100,98,0.93) </c:v>
                </c:pt>
                <c:pt idx="105">
                  <c:v> (540,27,90,100,98,0.93) </c:v>
                </c:pt>
                <c:pt idx="106">
                  <c:v> (540,27,100,100,98,0.93) </c:v>
                </c:pt>
              </c:strCache>
            </c:strRef>
          </c:cat>
          <c:val>
            <c:numRef>
              <c:f>Neg_162!$O$5:$O$111</c:f>
              <c:numCache>
                <c:formatCode>_(* #,##0.00_);_(* \(#,##0.00\);_(* "-"??_);_(@_)</c:formatCode>
                <c:ptCount val="107"/>
                <c:pt idx="0">
                  <c:v>48.687135161506767</c:v>
                </c:pt>
                <c:pt idx="1">
                  <c:v>47.630972511893262</c:v>
                </c:pt>
                <c:pt idx="2">
                  <c:v>47.237102776609497</c:v>
                </c:pt>
                <c:pt idx="3">
                  <c:v>46.789179351483469</c:v>
                </c:pt>
                <c:pt idx="4">
                  <c:v>46.601407204662422</c:v>
                </c:pt>
                <c:pt idx="5">
                  <c:v>42.883951381644067</c:v>
                </c:pt>
                <c:pt idx="6">
                  <c:v>42.163786977130066</c:v>
                </c:pt>
                <c:pt idx="7">
                  <c:v>41.782515982974928</c:v>
                </c:pt>
                <c:pt idx="8">
                  <c:v>41.367775605821514</c:v>
                </c:pt>
                <c:pt idx="9">
                  <c:v>41.437259572046052</c:v>
                </c:pt>
                <c:pt idx="10">
                  <c:v>41.201224065901442</c:v>
                </c:pt>
                <c:pt idx="11">
                  <c:v>39.929864737010121</c:v>
                </c:pt>
                <c:pt idx="12">
                  <c:v>39.065355664565388</c:v>
                </c:pt>
                <c:pt idx="13">
                  <c:v>38.801418400921271</c:v>
                </c:pt>
                <c:pt idx="14">
                  <c:v>38.685007305492896</c:v>
                </c:pt>
                <c:pt idx="15">
                  <c:v>38.498253238763034</c:v>
                </c:pt>
                <c:pt idx="16">
                  <c:v>38.283247449502312</c:v>
                </c:pt>
                <c:pt idx="17">
                  <c:v>38.332942483954113</c:v>
                </c:pt>
                <c:pt idx="18">
                  <c:v>38.415279711330079</c:v>
                </c:pt>
                <c:pt idx="19">
                  <c:v>37.294182640899592</c:v>
                </c:pt>
                <c:pt idx="20">
                  <c:v>36.687279646531813</c:v>
                </c:pt>
                <c:pt idx="21">
                  <c:v>36.602206328910746</c:v>
                </c:pt>
                <c:pt idx="22">
                  <c:v>36.446185554934033</c:v>
                </c:pt>
                <c:pt idx="23">
                  <c:v>36.254595607770973</c:v>
                </c:pt>
                <c:pt idx="24">
                  <c:v>36.318066538456847</c:v>
                </c:pt>
                <c:pt idx="25">
                  <c:v>36.368843283005546</c:v>
                </c:pt>
                <c:pt idx="26">
                  <c:v>38.111191914089183</c:v>
                </c:pt>
                <c:pt idx="27">
                  <c:v>36.124790396142714</c:v>
                </c:pt>
                <c:pt idx="28">
                  <c:v>35.417670142797242</c:v>
                </c:pt>
                <c:pt idx="29">
                  <c:v>34.932364089322398</c:v>
                </c:pt>
                <c:pt idx="30">
                  <c:v>34.8574397576105</c:v>
                </c:pt>
                <c:pt idx="31">
                  <c:v>34.966533402383369</c:v>
                </c:pt>
                <c:pt idx="32">
                  <c:v>34.759354103823753</c:v>
                </c:pt>
                <c:pt idx="33">
                  <c:v>34.823493149569487</c:v>
                </c:pt>
                <c:pt idx="34">
                  <c:v>34.851553982083239</c:v>
                </c:pt>
                <c:pt idx="35">
                  <c:v>36.04604826408881</c:v>
                </c:pt>
                <c:pt idx="36">
                  <c:v>34.757922428695501</c:v>
                </c:pt>
                <c:pt idx="37">
                  <c:v>33.986694944607159</c:v>
                </c:pt>
                <c:pt idx="38">
                  <c:v>33.710222569840113</c:v>
                </c:pt>
                <c:pt idx="39">
                  <c:v>33.599442729916198</c:v>
                </c:pt>
                <c:pt idx="40">
                  <c:v>33.699532728882495</c:v>
                </c:pt>
                <c:pt idx="41">
                  <c:v>33.4973802007732</c:v>
                </c:pt>
                <c:pt idx="42">
                  <c:v>33.527922603509261</c:v>
                </c:pt>
                <c:pt idx="43">
                  <c:v>33.550829405561302</c:v>
                </c:pt>
                <c:pt idx="44">
                  <c:v>34.353203777439873</c:v>
                </c:pt>
                <c:pt idx="45">
                  <c:v>33.360893838546438</c:v>
                </c:pt>
                <c:pt idx="46">
                  <c:v>32.74762784360864</c:v>
                </c:pt>
                <c:pt idx="47">
                  <c:v>32.734392802423017</c:v>
                </c:pt>
                <c:pt idx="48">
                  <c:v>32.576399498269609</c:v>
                </c:pt>
                <c:pt idx="49">
                  <c:v>32.683425167857223</c:v>
                </c:pt>
                <c:pt idx="50">
                  <c:v>32.735092732485725</c:v>
                </c:pt>
                <c:pt idx="51">
                  <c:v>32.478504734499964</c:v>
                </c:pt>
                <c:pt idx="52">
                  <c:v>32.496798361138751</c:v>
                </c:pt>
                <c:pt idx="53">
                  <c:v>32.957352342396256</c:v>
                </c:pt>
                <c:pt idx="54">
                  <c:v>32.336100781743092</c:v>
                </c:pt>
                <c:pt idx="55">
                  <c:v>31.992975976005173</c:v>
                </c:pt>
                <c:pt idx="56">
                  <c:v>31.924446459866139</c:v>
                </c:pt>
                <c:pt idx="57">
                  <c:v>31.755954204772216</c:v>
                </c:pt>
                <c:pt idx="58">
                  <c:v>31.841472932433181</c:v>
                </c:pt>
                <c:pt idx="59">
                  <c:v>31.887795576582871</c:v>
                </c:pt>
                <c:pt idx="60">
                  <c:v>31.624271907975807</c:v>
                </c:pt>
                <c:pt idx="61">
                  <c:v>31.656055095823021</c:v>
                </c:pt>
                <c:pt idx="62">
                  <c:v>32.075631353409634</c:v>
                </c:pt>
                <c:pt idx="63">
                  <c:v>31.349740248382624</c:v>
                </c:pt>
                <c:pt idx="64">
                  <c:v>31.167885692091669</c:v>
                </c:pt>
                <c:pt idx="65">
                  <c:v>31.089143560037765</c:v>
                </c:pt>
                <c:pt idx="66">
                  <c:v>31.200114289978778</c:v>
                </c:pt>
                <c:pt idx="67">
                  <c:v>30.972287054569488</c:v>
                </c:pt>
                <c:pt idx="68">
                  <c:v>31.020391338878781</c:v>
                </c:pt>
                <c:pt idx="69">
                  <c:v>31.044443481033426</c:v>
                </c:pt>
                <c:pt idx="70">
                  <c:v>31.071931643495883</c:v>
                </c:pt>
                <c:pt idx="71">
                  <c:v>31.165881346912116</c:v>
                </c:pt>
                <c:pt idx="72">
                  <c:v>30.846395088291793</c:v>
                </c:pt>
                <c:pt idx="73">
                  <c:v>30.62423092338981</c:v>
                </c:pt>
                <c:pt idx="74">
                  <c:v>30.51001506315809</c:v>
                </c:pt>
                <c:pt idx="75">
                  <c:v>30.611186772221284</c:v>
                </c:pt>
                <c:pt idx="76">
                  <c:v>30.379191771438638</c:v>
                </c:pt>
                <c:pt idx="77">
                  <c:v>30.419278675029712</c:v>
                </c:pt>
                <c:pt idx="78">
                  <c:v>30.446003277423767</c:v>
                </c:pt>
                <c:pt idx="79">
                  <c:v>30.452684428022277</c:v>
                </c:pt>
                <c:pt idx="80">
                  <c:v>30.367833815421157</c:v>
                </c:pt>
                <c:pt idx="81">
                  <c:v>29.985003886126368</c:v>
                </c:pt>
                <c:pt idx="82">
                  <c:v>30.0038383678136</c:v>
                </c:pt>
                <c:pt idx="83">
                  <c:v>29.856248569592161</c:v>
                </c:pt>
                <c:pt idx="84">
                  <c:v>29.964387764279522</c:v>
                </c:pt>
                <c:pt idx="85">
                  <c:v>30.01026499838931</c:v>
                </c:pt>
                <c:pt idx="86">
                  <c:v>29.754599635486215</c:v>
                </c:pt>
                <c:pt idx="87">
                  <c:v>29.774070417230455</c:v>
                </c:pt>
                <c:pt idx="88">
                  <c:v>29.793541198974694</c:v>
                </c:pt>
                <c:pt idx="89">
                  <c:v>29.865888515455737</c:v>
                </c:pt>
                <c:pt idx="90">
                  <c:v>29.676016578446564</c:v>
                </c:pt>
                <c:pt idx="91">
                  <c:v>29.657245726765026</c:v>
                </c:pt>
                <c:pt idx="92">
                  <c:v>29.511087603671843</c:v>
                </c:pt>
                <c:pt idx="93">
                  <c:v>29.594633801156107</c:v>
                </c:pt>
                <c:pt idx="94">
                  <c:v>29.349340129182128</c:v>
                </c:pt>
                <c:pt idx="95">
                  <c:v>29.377973631747185</c:v>
                </c:pt>
                <c:pt idx="96">
                  <c:v>29.393881133172211</c:v>
                </c:pt>
                <c:pt idx="97">
                  <c:v>29.412970134882254</c:v>
                </c:pt>
                <c:pt idx="98">
                  <c:v>29.318829541448917</c:v>
                </c:pt>
                <c:pt idx="99">
                  <c:v>29.050279102391546</c:v>
                </c:pt>
                <c:pt idx="100">
                  <c:v>29.01175113394012</c:v>
                </c:pt>
                <c:pt idx="101">
                  <c:v>29.125139804097739</c:v>
                </c:pt>
                <c:pt idx="102">
                  <c:v>28.887068137770729</c:v>
                </c:pt>
                <c:pt idx="103">
                  <c:v>28.943189802798234</c:v>
                </c:pt>
                <c:pt idx="104">
                  <c:v>28.974368505591297</c:v>
                </c:pt>
                <c:pt idx="105">
                  <c:v>28.996193597546441</c:v>
                </c:pt>
                <c:pt idx="106">
                  <c:v>28.999311467825745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6E7-3E48-8B92-18071F1A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384960"/>
        <c:axId val="384674048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Neg_162!$Q$5:$Q$111</c:f>
              <c:numCache>
                <c:formatCode>_(* #,##0.00_);_(* \(#,##0.00\);_(* "-"??_);_(@_)</c:formatCode>
                <c:ptCount val="107"/>
                <c:pt idx="0">
                  <c:v>141.78096464107279</c:v>
                </c:pt>
                <c:pt idx="1">
                  <c:v>141.16692573242361</c:v>
                </c:pt>
                <c:pt idx="2">
                  <c:v>141.21517973810418</c:v>
                </c:pt>
                <c:pt idx="3">
                  <c:v>141.20938005394251</c:v>
                </c:pt>
                <c:pt idx="4">
                  <c:v>141.46373164808577</c:v>
                </c:pt>
                <c:pt idx="5">
                  <c:v>137.10824635214468</c:v>
                </c:pt>
                <c:pt idx="6">
                  <c:v>136.83020568859499</c:v>
                </c:pt>
                <c:pt idx="7">
                  <c:v>136.89105843540418</c:v>
                </c:pt>
                <c:pt idx="8">
                  <c:v>136.91844179921512</c:v>
                </c:pt>
                <c:pt idx="9">
                  <c:v>137.430049506404</c:v>
                </c:pt>
                <c:pt idx="10">
                  <c:v>137.63613774122373</c:v>
                </c:pt>
                <c:pt idx="11">
                  <c:v>135.23476547875046</c:v>
                </c:pt>
                <c:pt idx="12">
                  <c:v>134.81238014727006</c:v>
                </c:pt>
                <c:pt idx="13">
                  <c:v>134.99056662459029</c:v>
                </c:pt>
                <c:pt idx="14">
                  <c:v>135.31627927012624</c:v>
                </c:pt>
                <c:pt idx="15">
                  <c:v>135.57164894436073</c:v>
                </c:pt>
                <c:pt idx="16">
                  <c:v>135.79876689606434</c:v>
                </c:pt>
                <c:pt idx="17">
                  <c:v>136.29058567148047</c:v>
                </c:pt>
                <c:pt idx="18">
                  <c:v>134.85064594400495</c:v>
                </c:pt>
                <c:pt idx="19">
                  <c:v>134.17167261453881</c:v>
                </c:pt>
                <c:pt idx="20">
                  <c:v>134.00689336113538</c:v>
                </c:pt>
                <c:pt idx="21">
                  <c:v>134.36394378447864</c:v>
                </c:pt>
                <c:pt idx="22">
                  <c:v>134.65004675146625</c:v>
                </c:pt>
                <c:pt idx="23">
                  <c:v>134.90058054526756</c:v>
                </c:pt>
                <c:pt idx="24">
                  <c:v>135.40617521691777</c:v>
                </c:pt>
                <c:pt idx="25">
                  <c:v>135.89907570243079</c:v>
                </c:pt>
                <c:pt idx="26">
                  <c:v>135.67702363769862</c:v>
                </c:pt>
                <c:pt idx="27">
                  <c:v>134.13274586071648</c:v>
                </c:pt>
                <c:pt idx="28">
                  <c:v>133.86774934833537</c:v>
                </c:pt>
                <c:pt idx="29">
                  <c:v>133.82456703582486</c:v>
                </c:pt>
                <c:pt idx="30">
                  <c:v>134.19176644507729</c:v>
                </c:pt>
                <c:pt idx="31">
                  <c:v>134.7429838308145</c:v>
                </c:pt>
                <c:pt idx="32">
                  <c:v>134.97792827321925</c:v>
                </c:pt>
                <c:pt idx="33">
                  <c:v>135.48419105992932</c:v>
                </c:pt>
                <c:pt idx="34">
                  <c:v>135.95437563340738</c:v>
                </c:pt>
                <c:pt idx="35">
                  <c:v>135.13460949990235</c:v>
                </c:pt>
                <c:pt idx="36">
                  <c:v>134.28860740547339</c:v>
                </c:pt>
                <c:pt idx="37">
                  <c:v>133.95950366234936</c:v>
                </c:pt>
                <c:pt idx="38">
                  <c:v>134.12515502854669</c:v>
                </c:pt>
                <c:pt idx="39">
                  <c:v>134.4564989295871</c:v>
                </c:pt>
                <c:pt idx="40">
                  <c:v>134.99871266951772</c:v>
                </c:pt>
                <c:pt idx="41">
                  <c:v>135.23868388237278</c:v>
                </c:pt>
                <c:pt idx="42">
                  <c:v>135.71135002607318</c:v>
                </c:pt>
                <c:pt idx="43">
                  <c:v>136.17638056908956</c:v>
                </c:pt>
                <c:pt idx="44">
                  <c:v>135.0143542451523</c:v>
                </c:pt>
                <c:pt idx="45">
                  <c:v>134.46416804722321</c:v>
                </c:pt>
                <c:pt idx="46">
                  <c:v>134.29302579324977</c:v>
                </c:pt>
                <c:pt idx="47">
                  <c:v>134.72191449302849</c:v>
                </c:pt>
                <c:pt idx="48">
                  <c:v>135.00604492983942</c:v>
                </c:pt>
                <c:pt idx="49">
                  <c:v>135.55519434039135</c:v>
                </c:pt>
                <c:pt idx="50">
                  <c:v>136.0489856459842</c:v>
                </c:pt>
                <c:pt idx="51">
                  <c:v>136.23452138896278</c:v>
                </c:pt>
                <c:pt idx="52">
                  <c:v>136.6949387565659</c:v>
                </c:pt>
                <c:pt idx="53">
                  <c:v>135.1910920420076</c:v>
                </c:pt>
                <c:pt idx="54">
                  <c:v>135.01196422231877</c:v>
                </c:pt>
                <c:pt idx="55">
                  <c:v>135.1109631575452</c:v>
                </c:pt>
                <c:pt idx="56">
                  <c:v>135.4845573823705</c:v>
                </c:pt>
                <c:pt idx="57">
                  <c:v>135.75818886824092</c:v>
                </c:pt>
                <c:pt idx="58">
                  <c:v>136.28583133686621</c:v>
                </c:pt>
                <c:pt idx="59">
                  <c:v>136.77427772198024</c:v>
                </c:pt>
                <c:pt idx="60">
                  <c:v>136.95287779433752</c:v>
                </c:pt>
                <c:pt idx="61">
                  <c:v>137.42678472314907</c:v>
                </c:pt>
                <c:pt idx="62">
                  <c:v>135.83210056522509</c:v>
                </c:pt>
                <c:pt idx="63">
                  <c:v>135.54833320116242</c:v>
                </c:pt>
                <c:pt idx="64">
                  <c:v>135.8086023858358</c:v>
                </c:pt>
                <c:pt idx="65">
                  <c:v>136.17198399474623</c:v>
                </c:pt>
                <c:pt idx="66">
                  <c:v>136.72507846565159</c:v>
                </c:pt>
                <c:pt idx="67">
                  <c:v>136.93937497120663</c:v>
                </c:pt>
                <c:pt idx="68">
                  <c:v>137.42960299648027</c:v>
                </c:pt>
                <c:pt idx="69">
                  <c:v>137.89577887959925</c:v>
                </c:pt>
                <c:pt idx="70">
                  <c:v>138.36539078302604</c:v>
                </c:pt>
                <c:pt idx="71">
                  <c:v>136.49493979062646</c:v>
                </c:pt>
                <c:pt idx="72">
                  <c:v>136.61757727297046</c:v>
                </c:pt>
                <c:pt idx="73">
                  <c:v>136.83753684903283</c:v>
                </c:pt>
                <c:pt idx="74">
                  <c:v>137.16544472976545</c:v>
                </c:pt>
                <c:pt idx="75">
                  <c:v>137.70874017979298</c:v>
                </c:pt>
                <c:pt idx="76">
                  <c:v>137.91886891997467</c:v>
                </c:pt>
                <c:pt idx="77">
                  <c:v>138.40107956453008</c:v>
                </c:pt>
                <c:pt idx="78">
                  <c:v>138.86992790788847</c:v>
                </c:pt>
                <c:pt idx="79">
                  <c:v>139.31873279945131</c:v>
                </c:pt>
                <c:pt idx="80">
                  <c:v>137.26948149103441</c:v>
                </c:pt>
                <c:pt idx="81">
                  <c:v>137.32877530270395</c:v>
                </c:pt>
                <c:pt idx="82">
                  <c:v>137.7897335253555</c:v>
                </c:pt>
                <c:pt idx="83">
                  <c:v>138.08426746809843</c:v>
                </c:pt>
                <c:pt idx="84">
                  <c:v>138.63453040375012</c:v>
                </c:pt>
                <c:pt idx="85">
                  <c:v>139.12253137882425</c:v>
                </c:pt>
                <c:pt idx="86">
                  <c:v>139.3089897568855</c:v>
                </c:pt>
                <c:pt idx="87">
                  <c:v>139.77058427959406</c:v>
                </c:pt>
                <c:pt idx="88">
                  <c:v>140.23217880230263</c:v>
                </c:pt>
                <c:pt idx="89">
                  <c:v>138.34012542296787</c:v>
                </c:pt>
                <c:pt idx="90">
                  <c:v>138.59237722692305</c:v>
                </c:pt>
                <c:pt idx="91">
                  <c:v>139.01573011620584</c:v>
                </c:pt>
                <c:pt idx="92">
                  <c:v>139.31169573407701</c:v>
                </c:pt>
                <c:pt idx="93">
                  <c:v>139.83736567252561</c:v>
                </c:pt>
                <c:pt idx="94">
                  <c:v>140.03419574151596</c:v>
                </c:pt>
                <c:pt idx="95">
                  <c:v>140.50495298504538</c:v>
                </c:pt>
                <c:pt idx="96">
                  <c:v>140.96298422743473</c:v>
                </c:pt>
                <c:pt idx="97">
                  <c:v>141.42419697010911</c:v>
                </c:pt>
                <c:pt idx="98">
                  <c:v>139.31579596116515</c:v>
                </c:pt>
                <c:pt idx="99">
                  <c:v>139.48936926307212</c:v>
                </c:pt>
                <c:pt idx="100">
                  <c:v>139.89296503558504</c:v>
                </c:pt>
                <c:pt idx="101">
                  <c:v>140.44847744670699</c:v>
                </c:pt>
                <c:pt idx="102">
                  <c:v>140.65252952134432</c:v>
                </c:pt>
                <c:pt idx="103">
                  <c:v>141.15077492733616</c:v>
                </c:pt>
                <c:pt idx="104">
                  <c:v>141.62407737109356</c:v>
                </c:pt>
                <c:pt idx="105">
                  <c:v>142.08802620401306</c:v>
                </c:pt>
                <c:pt idx="106">
                  <c:v>142.53326781525669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6E7-3E48-8B92-18071F1AE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84960"/>
        <c:axId val="384674048"/>
      </c:lineChart>
      <c:catAx>
        <c:axId val="385384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4674048"/>
        <c:crosses val="autoZero"/>
        <c:auto val="1"/>
        <c:lblAlgn val="ctr"/>
        <c:lblOffset val="100"/>
        <c:noMultiLvlLbl val="0"/>
      </c:catAx>
      <c:valAx>
        <c:axId val="38467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538496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41275">
                <a:solidFill>
                  <a:srgbClr val="FF0000"/>
                </a:solidFill>
              </a:ln>
            </c:spPr>
          </c:marker>
          <c:cat>
            <c:strRef>
              <c:f>'Neg_162 (100yr)'!$S$5:$S$81</c:f>
              <c:strCache>
                <c:ptCount val="77"/>
                <c:pt idx="0">
                  <c:v> (320,38,100,100,160,0.6) </c:v>
                </c:pt>
                <c:pt idx="1">
                  <c:v> (330,38,60,100,120,0.61) </c:v>
                </c:pt>
                <c:pt idx="2">
                  <c:v> (330,38,70,100,115,0.62) </c:v>
                </c:pt>
                <c:pt idx="3">
                  <c:v> (330,38,80,100,112,0.63) </c:v>
                </c:pt>
                <c:pt idx="4">
                  <c:v> (330,38,90,100,110,0.63) </c:v>
                </c:pt>
                <c:pt idx="5">
                  <c:v> (330,38,100,100,109,0.63) </c:v>
                </c:pt>
                <c:pt idx="6">
                  <c:v> (340,37,60,100,100,0.64) </c:v>
                </c:pt>
                <c:pt idx="7">
                  <c:v> (340,37,70,100,97,0.65) </c:v>
                </c:pt>
                <c:pt idx="8">
                  <c:v> (340,37,80,100,95,0.66) </c:v>
                </c:pt>
                <c:pt idx="9">
                  <c:v> (340,37,90,100,94,0.66) </c:v>
                </c:pt>
                <c:pt idx="10">
                  <c:v> (340,37,100,100,94,0.66) </c:v>
                </c:pt>
                <c:pt idx="11">
                  <c:v> (350,36,50,100,91,0.66) </c:v>
                </c:pt>
                <c:pt idx="12">
                  <c:v> (350,36,60,100,88,0.67) </c:v>
                </c:pt>
                <c:pt idx="13">
                  <c:v> (350,36,70,100,86,0.68) </c:v>
                </c:pt>
                <c:pt idx="14">
                  <c:v> (350,36,80,100,85,0.69) </c:v>
                </c:pt>
                <c:pt idx="15">
                  <c:v> (350,36,90,100,85,0.69) </c:v>
                </c:pt>
                <c:pt idx="16">
                  <c:v> (350,36,100,100,84,0.69) </c:v>
                </c:pt>
                <c:pt idx="17">
                  <c:v> (360,35,40,100,86,0.67) </c:v>
                </c:pt>
                <c:pt idx="18">
                  <c:v> (360,35,50,100,83,0.69) </c:v>
                </c:pt>
                <c:pt idx="19">
                  <c:v> (360,35,60,100,80,0.7) </c:v>
                </c:pt>
                <c:pt idx="20">
                  <c:v> (360,35,70,100,79,0.71) </c:v>
                </c:pt>
                <c:pt idx="21">
                  <c:v> (360,35,80,100,78,0.71) </c:v>
                </c:pt>
                <c:pt idx="22">
                  <c:v> (360,35,90,100,78,0.71) </c:v>
                </c:pt>
                <c:pt idx="23">
                  <c:v> (360,35,100,100,78,0.72) </c:v>
                </c:pt>
                <c:pt idx="24">
                  <c:v> (370,34,30,100,86,0.66) </c:v>
                </c:pt>
                <c:pt idx="25">
                  <c:v> (370,34,40,100,81,0.69) </c:v>
                </c:pt>
                <c:pt idx="26">
                  <c:v> (370,34,50,100,76,0.71) </c:v>
                </c:pt>
                <c:pt idx="27">
                  <c:v> (370,34,60,100,75,0.72) </c:v>
                </c:pt>
                <c:pt idx="28">
                  <c:v> (370,34,70,100,73,0.73) </c:v>
                </c:pt>
                <c:pt idx="29">
                  <c:v> (370,34,80,100,73,0.73) </c:v>
                </c:pt>
                <c:pt idx="30">
                  <c:v> (370,34,90,100,73,0.73) </c:v>
                </c:pt>
                <c:pt idx="31">
                  <c:v> (370,34,100,100,72,0.74) </c:v>
                </c:pt>
                <c:pt idx="32">
                  <c:v> (380,34,20,100,94,0.61) </c:v>
                </c:pt>
                <c:pt idx="33">
                  <c:v> (380,33,30,100,79,0.69) </c:v>
                </c:pt>
                <c:pt idx="34">
                  <c:v> (380,33,40,100,74,0.72) </c:v>
                </c:pt>
                <c:pt idx="35">
                  <c:v> (380,33,50,100,71,0.73) </c:v>
                </c:pt>
                <c:pt idx="36">
                  <c:v> (380,33,60,100,70,0.74) </c:v>
                </c:pt>
                <c:pt idx="37">
                  <c:v> (380,33,70,100,69,0.75) </c:v>
                </c:pt>
                <c:pt idx="38">
                  <c:v> (380,33,80,100,69,0.75) </c:v>
                </c:pt>
                <c:pt idx="39">
                  <c:v> (380,33,90,100,69,0.76) </c:v>
                </c:pt>
                <c:pt idx="40">
                  <c:v> (380,33,100,100,68,0.76) </c:v>
                </c:pt>
                <c:pt idx="41">
                  <c:v> (390,33,20,100,85,0.64) </c:v>
                </c:pt>
                <c:pt idx="42">
                  <c:v> (390,33,30,100,73,0.71) </c:v>
                </c:pt>
                <c:pt idx="43">
                  <c:v> (390,33,40,100,70,0.74) </c:v>
                </c:pt>
                <c:pt idx="44">
                  <c:v> (390,33,50,100,67,0.75) </c:v>
                </c:pt>
                <c:pt idx="45">
                  <c:v> (390,33,60,100,66,0.76) </c:v>
                </c:pt>
                <c:pt idx="46">
                  <c:v> (390,33,70,100,66,0.77) </c:v>
                </c:pt>
                <c:pt idx="47">
                  <c:v> (390,33,80,100,66,0.77) </c:v>
                </c:pt>
                <c:pt idx="48">
                  <c:v> (390,33,90,100,65,0.77) </c:v>
                </c:pt>
                <c:pt idx="49">
                  <c:v> (390,33,100,100,65,0.78) </c:v>
                </c:pt>
                <c:pt idx="50">
                  <c:v> (400,32,20,100,78,0.67) </c:v>
                </c:pt>
                <c:pt idx="51">
                  <c:v> (400,32,30,100,69,0.73) </c:v>
                </c:pt>
                <c:pt idx="52">
                  <c:v> (400,32,40,100,66,0.76) </c:v>
                </c:pt>
                <c:pt idx="53">
                  <c:v> (400,32,50,100,64,0.77) </c:v>
                </c:pt>
                <c:pt idx="54">
                  <c:v> (400,32,60,100,63,0.78) </c:v>
                </c:pt>
                <c:pt idx="55">
                  <c:v> (400,32,70,100,63,0.79) </c:v>
                </c:pt>
                <c:pt idx="56">
                  <c:v> (400,32,80,100,63,0.79) </c:v>
                </c:pt>
                <c:pt idx="57">
                  <c:v> (400,32,90,100,63,0.79) </c:v>
                </c:pt>
                <c:pt idx="58">
                  <c:v> (400,32,100,100,62,0.79) </c:v>
                </c:pt>
                <c:pt idx="59">
                  <c:v> (410,31,20,100,73,0.7) </c:v>
                </c:pt>
                <c:pt idx="60">
                  <c:v> (410,31,30,100,66,0.75) </c:v>
                </c:pt>
                <c:pt idx="61">
                  <c:v> (410,31,40,100,63,0.78) </c:v>
                </c:pt>
                <c:pt idx="62">
                  <c:v> (410,31,50,100,62,0.79) </c:v>
                </c:pt>
                <c:pt idx="63">
                  <c:v> (410,31,60,100,61,0.8) </c:v>
                </c:pt>
                <c:pt idx="64">
                  <c:v> (410,31,70,100,61,0.8) </c:v>
                </c:pt>
                <c:pt idx="65">
                  <c:v> (410,31,80,100,60,0.81) </c:v>
                </c:pt>
                <c:pt idx="66">
                  <c:v> (410,31,90,100,60,0.81) </c:v>
                </c:pt>
                <c:pt idx="67">
                  <c:v> (410,31,100,100,60,0.81) </c:v>
                </c:pt>
                <c:pt idx="68">
                  <c:v> (420,31,20,100,69,0.72) </c:v>
                </c:pt>
                <c:pt idx="69">
                  <c:v> (420,31,30,100,63,0.77) </c:v>
                </c:pt>
                <c:pt idx="70">
                  <c:v> (420,31,40,100,61,0.8) </c:v>
                </c:pt>
                <c:pt idx="71">
                  <c:v> (420,31,50,100,59,0.81) </c:v>
                </c:pt>
                <c:pt idx="72">
                  <c:v> (420,31,60,100,59,0.81) </c:v>
                </c:pt>
                <c:pt idx="73">
                  <c:v> (420,31,70,100,59,0.82) </c:v>
                </c:pt>
                <c:pt idx="74">
                  <c:v> (420,31,80,100,58,0.82) </c:v>
                </c:pt>
                <c:pt idx="75">
                  <c:v> (420,31,90,100,58,0.82) </c:v>
                </c:pt>
                <c:pt idx="76">
                  <c:v> (420,31,100,100,58,0.82) </c:v>
                </c:pt>
              </c:strCache>
            </c:strRef>
          </c:cat>
          <c:val>
            <c:numRef>
              <c:f>'Neg_162 (100yr)'!$Q$5:$Q$81</c:f>
              <c:numCache>
                <c:formatCode>_(* #,##0.00_);_(* \(#,##0.00\);_(* "-"??_);_(@_)</c:formatCode>
                <c:ptCount val="77"/>
                <c:pt idx="0">
                  <c:v>118.85259919222339</c:v>
                </c:pt>
                <c:pt idx="1">
                  <c:v>109.18683223097105</c:v>
                </c:pt>
                <c:pt idx="2">
                  <c:v>108.77301003355939</c:v>
                </c:pt>
                <c:pt idx="3">
                  <c:v>108.70997639020975</c:v>
                </c:pt>
                <c:pt idx="4">
                  <c:v>108.81476786305066</c:v>
                </c:pt>
                <c:pt idx="5">
                  <c:v>109.10168175589189</c:v>
                </c:pt>
                <c:pt idx="6">
                  <c:v>106.83415139285665</c:v>
                </c:pt>
                <c:pt idx="7">
                  <c:v>106.7886109212272</c:v>
                </c:pt>
                <c:pt idx="8">
                  <c:v>106.91186273634014</c:v>
                </c:pt>
                <c:pt idx="9">
                  <c:v>107.20874269095467</c:v>
                </c:pt>
                <c:pt idx="10">
                  <c:v>107.72201654381936</c:v>
                </c:pt>
                <c:pt idx="11">
                  <c:v>106.18533006473064</c:v>
                </c:pt>
                <c:pt idx="12">
                  <c:v>106.22372317664323</c:v>
                </c:pt>
                <c:pt idx="13">
                  <c:v>106.41177541872926</c:v>
                </c:pt>
                <c:pt idx="14">
                  <c:v>106.74645912665255</c:v>
                </c:pt>
                <c:pt idx="15">
                  <c:v>107.2993869721426</c:v>
                </c:pt>
                <c:pt idx="16">
                  <c:v>107.51552921112547</c:v>
                </c:pt>
                <c:pt idx="17">
                  <c:v>106.1199228338303</c:v>
                </c:pt>
                <c:pt idx="18">
                  <c:v>106.43261392442268</c:v>
                </c:pt>
                <c:pt idx="19">
                  <c:v>106.3944323591659</c:v>
                </c:pt>
                <c:pt idx="20">
                  <c:v>106.78516990820219</c:v>
                </c:pt>
                <c:pt idx="21">
                  <c:v>107.07792887524801</c:v>
                </c:pt>
                <c:pt idx="22">
                  <c:v>107.6086117980458</c:v>
                </c:pt>
                <c:pt idx="23">
                  <c:v>108.11633493296084</c:v>
                </c:pt>
                <c:pt idx="24">
                  <c:v>106.84612367416202</c:v>
                </c:pt>
                <c:pt idx="25">
                  <c:v>107.09519176280091</c:v>
                </c:pt>
                <c:pt idx="26">
                  <c:v>106.69255510307572</c:v>
                </c:pt>
                <c:pt idx="27">
                  <c:v>107.14784077372374</c:v>
                </c:pt>
                <c:pt idx="28">
                  <c:v>107.2014563091044</c:v>
                </c:pt>
                <c:pt idx="29">
                  <c:v>107.74181093742057</c:v>
                </c:pt>
                <c:pt idx="30">
                  <c:v>108.25453812866903</c:v>
                </c:pt>
                <c:pt idx="31">
                  <c:v>108.4456600859848</c:v>
                </c:pt>
                <c:pt idx="32">
                  <c:v>108.37708187534435</c:v>
                </c:pt>
                <c:pt idx="33">
                  <c:v>107.38444176816998</c:v>
                </c:pt>
                <c:pt idx="34">
                  <c:v>107.40218789134552</c:v>
                </c:pt>
                <c:pt idx="35">
                  <c:v>107.41858838592722</c:v>
                </c:pt>
                <c:pt idx="36">
                  <c:v>107.85204964281859</c:v>
                </c:pt>
                <c:pt idx="37">
                  <c:v>108.14056146961502</c:v>
                </c:pt>
                <c:pt idx="38">
                  <c:v>108.68133660686678</c:v>
                </c:pt>
                <c:pt idx="39">
                  <c:v>109.18729360425237</c:v>
                </c:pt>
                <c:pt idx="40">
                  <c:v>109.35158709147805</c:v>
                </c:pt>
                <c:pt idx="41">
                  <c:v>108.71183159363734</c:v>
                </c:pt>
                <c:pt idx="42">
                  <c:v>107.94810391092835</c:v>
                </c:pt>
                <c:pt idx="43">
                  <c:v>108.36377763984461</c:v>
                </c:pt>
                <c:pt idx="44">
                  <c:v>108.32185354506117</c:v>
                </c:pt>
                <c:pt idx="45">
                  <c:v>108.68807542315307</c:v>
                </c:pt>
                <c:pt idx="46">
                  <c:v>109.28284390773345</c:v>
                </c:pt>
                <c:pt idx="47">
                  <c:v>109.79157626409391</c:v>
                </c:pt>
                <c:pt idx="48">
                  <c:v>109.98042747315755</c:v>
                </c:pt>
                <c:pt idx="49">
                  <c:v>110.46081752725979</c:v>
                </c:pt>
                <c:pt idx="50">
                  <c:v>109.25397631895906</c:v>
                </c:pt>
                <c:pt idx="51">
                  <c:v>108.91899954696891</c:v>
                </c:pt>
                <c:pt idx="52">
                  <c:v>109.20166629956076</c:v>
                </c:pt>
                <c:pt idx="53">
                  <c:v>109.39308261313145</c:v>
                </c:pt>
                <c:pt idx="54">
                  <c:v>109.71931409144955</c:v>
                </c:pt>
                <c:pt idx="55">
                  <c:v>110.28065211565122</c:v>
                </c:pt>
                <c:pt idx="56">
                  <c:v>110.78900601396964</c:v>
                </c:pt>
                <c:pt idx="57">
                  <c:v>111.30530753117054</c:v>
                </c:pt>
                <c:pt idx="58">
                  <c:v>111.43566594729481</c:v>
                </c:pt>
                <c:pt idx="59">
                  <c:v>110.18921279726234</c:v>
                </c:pt>
                <c:pt idx="60">
                  <c:v>110.12962732718447</c:v>
                </c:pt>
                <c:pt idx="61">
                  <c:v>110.29686437695922</c:v>
                </c:pt>
                <c:pt idx="62">
                  <c:v>110.75038391007782</c:v>
                </c:pt>
                <c:pt idx="63">
                  <c:v>111.03649883594144</c:v>
                </c:pt>
                <c:pt idx="64">
                  <c:v>111.5735314436665</c:v>
                </c:pt>
                <c:pt idx="65">
                  <c:v>111.76145753307188</c:v>
                </c:pt>
                <c:pt idx="66">
                  <c:v>112.23638097101156</c:v>
                </c:pt>
                <c:pt idx="67">
                  <c:v>112.70625830172426</c:v>
                </c:pt>
                <c:pt idx="68">
                  <c:v>111.26753582627882</c:v>
                </c:pt>
                <c:pt idx="69">
                  <c:v>111.25513145877318</c:v>
                </c:pt>
                <c:pt idx="70">
                  <c:v>111.65301765971435</c:v>
                </c:pt>
                <c:pt idx="71">
                  <c:v>111.70852548530513</c:v>
                </c:pt>
                <c:pt idx="72">
                  <c:v>112.31439540578486</c:v>
                </c:pt>
                <c:pt idx="73">
                  <c:v>112.85824025826636</c:v>
                </c:pt>
                <c:pt idx="74">
                  <c:v>113.01000257921173</c:v>
                </c:pt>
                <c:pt idx="75">
                  <c:v>113.4838326939189</c:v>
                </c:pt>
                <c:pt idx="76">
                  <c:v>113.95766280862608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57-BC46-BD3A-187F1796A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385984"/>
        <c:axId val="384676928"/>
      </c:lineChart>
      <c:catAx>
        <c:axId val="385385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84676928"/>
        <c:crosses val="autoZero"/>
        <c:auto val="1"/>
        <c:lblAlgn val="ctr"/>
        <c:lblOffset val="100"/>
        <c:noMultiLvlLbl val="0"/>
      </c:catAx>
      <c:valAx>
        <c:axId val="38467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538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(100yr)'!$L$11:$L$83</c:f>
              <c:numCache>
                <c:formatCode>0.0_ </c:formatCode>
                <c:ptCount val="73"/>
                <c:pt idx="0">
                  <c:v>3.5850379503898764</c:v>
                </c:pt>
                <c:pt idx="1">
                  <c:v>3.5850379503898764</c:v>
                </c:pt>
                <c:pt idx="2">
                  <c:v>3.5850379503898764</c:v>
                </c:pt>
                <c:pt idx="3">
                  <c:v>3.5850379503898764</c:v>
                </c:pt>
                <c:pt idx="4">
                  <c:v>3.5850379503898764</c:v>
                </c:pt>
                <c:pt idx="5">
                  <c:v>3.5850379503898764</c:v>
                </c:pt>
                <c:pt idx="6">
                  <c:v>3.5850379503898764</c:v>
                </c:pt>
                <c:pt idx="7">
                  <c:v>3.5850379503898764</c:v>
                </c:pt>
                <c:pt idx="8">
                  <c:v>3.5850379503898764</c:v>
                </c:pt>
                <c:pt idx="9">
                  <c:v>3.5850379503898764</c:v>
                </c:pt>
                <c:pt idx="10">
                  <c:v>3.5850379503898764</c:v>
                </c:pt>
                <c:pt idx="11">
                  <c:v>3.5850379503898764</c:v>
                </c:pt>
                <c:pt idx="12">
                  <c:v>3.5850379503898764</c:v>
                </c:pt>
                <c:pt idx="13">
                  <c:v>3.5850379503898764</c:v>
                </c:pt>
                <c:pt idx="14">
                  <c:v>3.5850379503898764</c:v>
                </c:pt>
                <c:pt idx="15">
                  <c:v>3.5850379503898764</c:v>
                </c:pt>
                <c:pt idx="16">
                  <c:v>3.5850379503898764</c:v>
                </c:pt>
                <c:pt idx="17">
                  <c:v>3.5850379503898764</c:v>
                </c:pt>
                <c:pt idx="18">
                  <c:v>3.5850379503898764</c:v>
                </c:pt>
                <c:pt idx="19">
                  <c:v>3.5850379503898764</c:v>
                </c:pt>
                <c:pt idx="20">
                  <c:v>3.5850379503898764</c:v>
                </c:pt>
                <c:pt idx="21">
                  <c:v>3.5850379503898764</c:v>
                </c:pt>
                <c:pt idx="22">
                  <c:v>3.5850379503898764</c:v>
                </c:pt>
                <c:pt idx="23">
                  <c:v>3.5850379503898764</c:v>
                </c:pt>
                <c:pt idx="24">
                  <c:v>3.5850379503898764</c:v>
                </c:pt>
                <c:pt idx="25">
                  <c:v>3.5850379503898764</c:v>
                </c:pt>
                <c:pt idx="26">
                  <c:v>3.5850379503898764</c:v>
                </c:pt>
                <c:pt idx="27">
                  <c:v>3.5850379503898764</c:v>
                </c:pt>
                <c:pt idx="28">
                  <c:v>3.5850379503898764</c:v>
                </c:pt>
                <c:pt idx="29">
                  <c:v>3.5850379503898764</c:v>
                </c:pt>
                <c:pt idx="30">
                  <c:v>3.5850379503898764</c:v>
                </c:pt>
                <c:pt idx="31">
                  <c:v>3.5850379503898764</c:v>
                </c:pt>
                <c:pt idx="32">
                  <c:v>3.5850379503898764</c:v>
                </c:pt>
                <c:pt idx="33">
                  <c:v>3.5850379503898764</c:v>
                </c:pt>
                <c:pt idx="34">
                  <c:v>3.5850379503898764</c:v>
                </c:pt>
                <c:pt idx="35">
                  <c:v>3.5850379503898764</c:v>
                </c:pt>
                <c:pt idx="36">
                  <c:v>3.5850379503898764</c:v>
                </c:pt>
                <c:pt idx="37">
                  <c:v>3.5850379503898764</c:v>
                </c:pt>
                <c:pt idx="38">
                  <c:v>3.5850379503898764</c:v>
                </c:pt>
                <c:pt idx="39">
                  <c:v>3.5850379503898764</c:v>
                </c:pt>
                <c:pt idx="40">
                  <c:v>3.5850379503898764</c:v>
                </c:pt>
                <c:pt idx="41">
                  <c:v>3.5850379503898764</c:v>
                </c:pt>
                <c:pt idx="42">
                  <c:v>3.5850379503898764</c:v>
                </c:pt>
                <c:pt idx="43">
                  <c:v>3.5850379503898764</c:v>
                </c:pt>
                <c:pt idx="44">
                  <c:v>3.5850379503898764</c:v>
                </c:pt>
                <c:pt idx="45">
                  <c:v>3.5850379503898764</c:v>
                </c:pt>
                <c:pt idx="46">
                  <c:v>3.5850379503898764</c:v>
                </c:pt>
                <c:pt idx="47">
                  <c:v>3.5850379503898764</c:v>
                </c:pt>
                <c:pt idx="48">
                  <c:v>3.5850379503898764</c:v>
                </c:pt>
                <c:pt idx="49">
                  <c:v>3.5850379503898764</c:v>
                </c:pt>
                <c:pt idx="50">
                  <c:v>3.5850379503898764</c:v>
                </c:pt>
                <c:pt idx="51">
                  <c:v>3.5850379503898764</c:v>
                </c:pt>
                <c:pt idx="52">
                  <c:v>3.5850379503898764</c:v>
                </c:pt>
                <c:pt idx="53">
                  <c:v>3.5850379503898764</c:v>
                </c:pt>
                <c:pt idx="54">
                  <c:v>3.5850379503898764</c:v>
                </c:pt>
                <c:pt idx="55">
                  <c:v>3.5850379503898764</c:v>
                </c:pt>
                <c:pt idx="56">
                  <c:v>3.5850379503898764</c:v>
                </c:pt>
                <c:pt idx="57">
                  <c:v>3.5850379503898764</c:v>
                </c:pt>
                <c:pt idx="58">
                  <c:v>3.5850379503898764</c:v>
                </c:pt>
                <c:pt idx="59">
                  <c:v>3.5850379503898764</c:v>
                </c:pt>
                <c:pt idx="60">
                  <c:v>3.5850379503898764</c:v>
                </c:pt>
                <c:pt idx="61">
                  <c:v>3.5850379503898764</c:v>
                </c:pt>
                <c:pt idx="62">
                  <c:v>3.5850379503898764</c:v>
                </c:pt>
                <c:pt idx="63">
                  <c:v>3.5850379503898764</c:v>
                </c:pt>
                <c:pt idx="64">
                  <c:v>3.5850379503898764</c:v>
                </c:pt>
                <c:pt idx="65">
                  <c:v>3.5850379503898764</c:v>
                </c:pt>
                <c:pt idx="66">
                  <c:v>3.5850379503898764</c:v>
                </c:pt>
                <c:pt idx="67">
                  <c:v>3.5850379503898764</c:v>
                </c:pt>
                <c:pt idx="68">
                  <c:v>3.5850379503898764</c:v>
                </c:pt>
                <c:pt idx="69">
                  <c:v>3.5850379503898764</c:v>
                </c:pt>
                <c:pt idx="70">
                  <c:v>3.5850379503898764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366-8E4A-8BE9-2379942DDF51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(100yr)'!$G$11:$G$83</c:f>
              <c:numCache>
                <c:formatCode>_(* #,##0.0_);_(* \(#,##0.0\);_(* "-"??_);_(@_)</c:formatCode>
                <c:ptCount val="73"/>
                <c:pt idx="0">
                  <c:v>11.502397866094725</c:v>
                </c:pt>
                <c:pt idx="1">
                  <c:v>11.502397866094725</c:v>
                </c:pt>
                <c:pt idx="2">
                  <c:v>11.502397866094725</c:v>
                </c:pt>
                <c:pt idx="3">
                  <c:v>11.502397866094725</c:v>
                </c:pt>
                <c:pt idx="4">
                  <c:v>11.502397866094725</c:v>
                </c:pt>
                <c:pt idx="5">
                  <c:v>11.502397866094725</c:v>
                </c:pt>
                <c:pt idx="6">
                  <c:v>11.502397866094725</c:v>
                </c:pt>
                <c:pt idx="7">
                  <c:v>11.502397866094725</c:v>
                </c:pt>
                <c:pt idx="8">
                  <c:v>11.502397866094725</c:v>
                </c:pt>
                <c:pt idx="9">
                  <c:v>11.502397866094725</c:v>
                </c:pt>
                <c:pt idx="10">
                  <c:v>11.502397866094725</c:v>
                </c:pt>
                <c:pt idx="11">
                  <c:v>11.502397866094725</c:v>
                </c:pt>
                <c:pt idx="12">
                  <c:v>11.502397866094725</c:v>
                </c:pt>
                <c:pt idx="13">
                  <c:v>11.502397866094725</c:v>
                </c:pt>
                <c:pt idx="14">
                  <c:v>11.502397866094725</c:v>
                </c:pt>
                <c:pt idx="15">
                  <c:v>11.502397866094725</c:v>
                </c:pt>
                <c:pt idx="16">
                  <c:v>11.502397866094725</c:v>
                </c:pt>
                <c:pt idx="17">
                  <c:v>11.502397866094725</c:v>
                </c:pt>
                <c:pt idx="18">
                  <c:v>11.502397866094725</c:v>
                </c:pt>
                <c:pt idx="19">
                  <c:v>11.502397866094725</c:v>
                </c:pt>
                <c:pt idx="20">
                  <c:v>11.502397866094725</c:v>
                </c:pt>
                <c:pt idx="21">
                  <c:v>11.502397866094725</c:v>
                </c:pt>
                <c:pt idx="22">
                  <c:v>11.502397866094725</c:v>
                </c:pt>
                <c:pt idx="23">
                  <c:v>11.502397866094725</c:v>
                </c:pt>
                <c:pt idx="24">
                  <c:v>11.502397866094725</c:v>
                </c:pt>
                <c:pt idx="25">
                  <c:v>11.502397866094725</c:v>
                </c:pt>
                <c:pt idx="26">
                  <c:v>11.502397866094725</c:v>
                </c:pt>
                <c:pt idx="27">
                  <c:v>11.502397866094725</c:v>
                </c:pt>
                <c:pt idx="28">
                  <c:v>11.502397866094725</c:v>
                </c:pt>
                <c:pt idx="29">
                  <c:v>11.502397866094725</c:v>
                </c:pt>
                <c:pt idx="30">
                  <c:v>11.502397866094725</c:v>
                </c:pt>
                <c:pt idx="31">
                  <c:v>11.502397866094725</c:v>
                </c:pt>
                <c:pt idx="32">
                  <c:v>11.502397866094725</c:v>
                </c:pt>
                <c:pt idx="33">
                  <c:v>11.502397866094725</c:v>
                </c:pt>
                <c:pt idx="34">
                  <c:v>11.502397866094725</c:v>
                </c:pt>
                <c:pt idx="35">
                  <c:v>11.502397866094725</c:v>
                </c:pt>
                <c:pt idx="36">
                  <c:v>11.502397866094725</c:v>
                </c:pt>
                <c:pt idx="37">
                  <c:v>11.502397866094725</c:v>
                </c:pt>
                <c:pt idx="38">
                  <c:v>11.502397866094725</c:v>
                </c:pt>
                <c:pt idx="39">
                  <c:v>11.502397866094725</c:v>
                </c:pt>
                <c:pt idx="40">
                  <c:v>11.502397866094725</c:v>
                </c:pt>
                <c:pt idx="41">
                  <c:v>11.502397866094725</c:v>
                </c:pt>
                <c:pt idx="42">
                  <c:v>11.502397866094725</c:v>
                </c:pt>
                <c:pt idx="43">
                  <c:v>11.502397866094725</c:v>
                </c:pt>
                <c:pt idx="44">
                  <c:v>11.502397866094725</c:v>
                </c:pt>
                <c:pt idx="45">
                  <c:v>11.502397866094725</c:v>
                </c:pt>
                <c:pt idx="46">
                  <c:v>11.502397866094725</c:v>
                </c:pt>
                <c:pt idx="47">
                  <c:v>11.502397866094725</c:v>
                </c:pt>
                <c:pt idx="48">
                  <c:v>11.502397866094725</c:v>
                </c:pt>
                <c:pt idx="49">
                  <c:v>11.502397866094725</c:v>
                </c:pt>
                <c:pt idx="50">
                  <c:v>11.502397866094725</c:v>
                </c:pt>
                <c:pt idx="51">
                  <c:v>11.502397866094725</c:v>
                </c:pt>
                <c:pt idx="52">
                  <c:v>11.502397866094725</c:v>
                </c:pt>
                <c:pt idx="53">
                  <c:v>11.502397866094725</c:v>
                </c:pt>
                <c:pt idx="54">
                  <c:v>11.502397866094725</c:v>
                </c:pt>
                <c:pt idx="55">
                  <c:v>11.502397866094725</c:v>
                </c:pt>
                <c:pt idx="56">
                  <c:v>11.502397866094725</c:v>
                </c:pt>
                <c:pt idx="57">
                  <c:v>11.502397866094725</c:v>
                </c:pt>
                <c:pt idx="58">
                  <c:v>11.502397866094725</c:v>
                </c:pt>
                <c:pt idx="59">
                  <c:v>11.502397866094725</c:v>
                </c:pt>
                <c:pt idx="60">
                  <c:v>11.502397866094725</c:v>
                </c:pt>
                <c:pt idx="61">
                  <c:v>11.502397866094725</c:v>
                </c:pt>
                <c:pt idx="62">
                  <c:v>11.502397866094725</c:v>
                </c:pt>
                <c:pt idx="63">
                  <c:v>11.502397866094725</c:v>
                </c:pt>
                <c:pt idx="64">
                  <c:v>11.502397866094725</c:v>
                </c:pt>
                <c:pt idx="65">
                  <c:v>11.502397866094725</c:v>
                </c:pt>
                <c:pt idx="66">
                  <c:v>11.502397866094725</c:v>
                </c:pt>
                <c:pt idx="67">
                  <c:v>11.502397866094725</c:v>
                </c:pt>
                <c:pt idx="68">
                  <c:v>11.502397866094725</c:v>
                </c:pt>
                <c:pt idx="69">
                  <c:v>11.502397866094725</c:v>
                </c:pt>
                <c:pt idx="70">
                  <c:v>11.502397866094725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366-8E4A-8BE9-2379942DDF51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(100yr)'!$H$11:$H$83</c:f>
              <c:numCache>
                <c:formatCode>_(* #,##0.0_);_(* \(#,##0.0\);_(* "-"??_);_(@_)</c:formatCode>
                <c:ptCount val="73"/>
                <c:pt idx="0">
                  <c:v>53.468033884562736</c:v>
                </c:pt>
                <c:pt idx="1">
                  <c:v>53.468033884562736</c:v>
                </c:pt>
                <c:pt idx="2">
                  <c:v>53.468033884562736</c:v>
                </c:pt>
                <c:pt idx="3">
                  <c:v>53.468033884562736</c:v>
                </c:pt>
                <c:pt idx="4">
                  <c:v>53.468033884562736</c:v>
                </c:pt>
                <c:pt idx="5">
                  <c:v>55.040623116461646</c:v>
                </c:pt>
                <c:pt idx="6">
                  <c:v>55.040623116461646</c:v>
                </c:pt>
                <c:pt idx="7">
                  <c:v>55.040623116461646</c:v>
                </c:pt>
                <c:pt idx="8">
                  <c:v>55.040623116461646</c:v>
                </c:pt>
                <c:pt idx="9">
                  <c:v>55.040623116461646</c:v>
                </c:pt>
                <c:pt idx="10">
                  <c:v>55.040623116461646</c:v>
                </c:pt>
                <c:pt idx="11">
                  <c:v>56.613212348360541</c:v>
                </c:pt>
                <c:pt idx="12">
                  <c:v>56.613212348360541</c:v>
                </c:pt>
                <c:pt idx="13">
                  <c:v>56.613212348360541</c:v>
                </c:pt>
                <c:pt idx="14">
                  <c:v>56.613212348360541</c:v>
                </c:pt>
                <c:pt idx="15">
                  <c:v>56.613212348360541</c:v>
                </c:pt>
                <c:pt idx="16">
                  <c:v>56.613212348360541</c:v>
                </c:pt>
                <c:pt idx="17">
                  <c:v>56.613212348360541</c:v>
                </c:pt>
                <c:pt idx="18">
                  <c:v>58.185801580259451</c:v>
                </c:pt>
                <c:pt idx="19">
                  <c:v>58.185801580259451</c:v>
                </c:pt>
                <c:pt idx="20">
                  <c:v>58.185801580259451</c:v>
                </c:pt>
                <c:pt idx="21">
                  <c:v>58.185801580259451</c:v>
                </c:pt>
                <c:pt idx="22">
                  <c:v>58.185801580259451</c:v>
                </c:pt>
                <c:pt idx="23">
                  <c:v>58.185801580259451</c:v>
                </c:pt>
                <c:pt idx="24">
                  <c:v>58.185801580259451</c:v>
                </c:pt>
                <c:pt idx="25">
                  <c:v>58.185801580259451</c:v>
                </c:pt>
                <c:pt idx="26">
                  <c:v>59.758390812158353</c:v>
                </c:pt>
                <c:pt idx="27">
                  <c:v>59.758390812158353</c:v>
                </c:pt>
                <c:pt idx="28">
                  <c:v>59.758390812158353</c:v>
                </c:pt>
                <c:pt idx="29">
                  <c:v>59.758390812158353</c:v>
                </c:pt>
                <c:pt idx="30">
                  <c:v>59.758390812158353</c:v>
                </c:pt>
                <c:pt idx="31">
                  <c:v>59.758390812158353</c:v>
                </c:pt>
                <c:pt idx="32">
                  <c:v>59.758390812158353</c:v>
                </c:pt>
                <c:pt idx="33">
                  <c:v>59.758390812158353</c:v>
                </c:pt>
                <c:pt idx="34">
                  <c:v>59.758390812158353</c:v>
                </c:pt>
                <c:pt idx="35">
                  <c:v>61.330980044057263</c:v>
                </c:pt>
                <c:pt idx="36">
                  <c:v>61.330980044057263</c:v>
                </c:pt>
                <c:pt idx="37">
                  <c:v>61.330980044057263</c:v>
                </c:pt>
                <c:pt idx="38">
                  <c:v>61.330980044057263</c:v>
                </c:pt>
                <c:pt idx="39">
                  <c:v>61.330980044057263</c:v>
                </c:pt>
                <c:pt idx="40">
                  <c:v>61.330980044057263</c:v>
                </c:pt>
                <c:pt idx="41">
                  <c:v>61.330980044057263</c:v>
                </c:pt>
                <c:pt idx="42">
                  <c:v>61.330980044057263</c:v>
                </c:pt>
                <c:pt idx="43">
                  <c:v>61.330980044057263</c:v>
                </c:pt>
                <c:pt idx="44">
                  <c:v>62.903569275956158</c:v>
                </c:pt>
                <c:pt idx="45">
                  <c:v>62.903569275956158</c:v>
                </c:pt>
                <c:pt idx="46">
                  <c:v>62.903569275956158</c:v>
                </c:pt>
                <c:pt idx="47">
                  <c:v>62.903569275956158</c:v>
                </c:pt>
                <c:pt idx="48">
                  <c:v>62.903569275956158</c:v>
                </c:pt>
                <c:pt idx="49">
                  <c:v>62.903569275956158</c:v>
                </c:pt>
                <c:pt idx="50">
                  <c:v>62.903569275956158</c:v>
                </c:pt>
                <c:pt idx="51">
                  <c:v>62.903569275956158</c:v>
                </c:pt>
                <c:pt idx="52">
                  <c:v>62.903569275956158</c:v>
                </c:pt>
                <c:pt idx="53">
                  <c:v>64.476158507855075</c:v>
                </c:pt>
                <c:pt idx="54">
                  <c:v>64.476158507855075</c:v>
                </c:pt>
                <c:pt idx="55">
                  <c:v>64.476158507855075</c:v>
                </c:pt>
                <c:pt idx="56">
                  <c:v>64.476158507855075</c:v>
                </c:pt>
                <c:pt idx="57">
                  <c:v>64.476158507855075</c:v>
                </c:pt>
                <c:pt idx="58">
                  <c:v>64.476158507855075</c:v>
                </c:pt>
                <c:pt idx="59">
                  <c:v>64.476158507855075</c:v>
                </c:pt>
                <c:pt idx="60">
                  <c:v>64.476158507855075</c:v>
                </c:pt>
                <c:pt idx="61">
                  <c:v>64.476158507855075</c:v>
                </c:pt>
                <c:pt idx="62">
                  <c:v>66.048747739753978</c:v>
                </c:pt>
                <c:pt idx="63">
                  <c:v>66.048747739753978</c:v>
                </c:pt>
                <c:pt idx="64">
                  <c:v>66.048747739753978</c:v>
                </c:pt>
                <c:pt idx="65">
                  <c:v>66.048747739753978</c:v>
                </c:pt>
                <c:pt idx="66">
                  <c:v>66.048747739753978</c:v>
                </c:pt>
                <c:pt idx="67">
                  <c:v>66.048747739753978</c:v>
                </c:pt>
                <c:pt idx="68">
                  <c:v>66.048747739753978</c:v>
                </c:pt>
                <c:pt idx="69">
                  <c:v>66.048747739753978</c:v>
                </c:pt>
                <c:pt idx="70">
                  <c:v>66.048747739753978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366-8E4A-8BE9-2379942DDF51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(100yr)'!$J$11:$J$83</c:f>
              <c:numCache>
                <c:formatCode>_(* #,##0.0_);_(* \(#,##0.0\);_(* "-"??_);_(@_)</c:formatCode>
                <c:ptCount val="73"/>
                <c:pt idx="0">
                  <c:v>1.8448096287082347</c:v>
                </c:pt>
                <c:pt idx="1">
                  <c:v>1.8448096287082347</c:v>
                </c:pt>
                <c:pt idx="2">
                  <c:v>1.8448096287082347</c:v>
                </c:pt>
                <c:pt idx="3">
                  <c:v>1.8448096287082347</c:v>
                </c:pt>
                <c:pt idx="4">
                  <c:v>1.8448096287082347</c:v>
                </c:pt>
                <c:pt idx="5">
                  <c:v>1.7949499090134178</c:v>
                </c:pt>
                <c:pt idx="6">
                  <c:v>1.7949499090134178</c:v>
                </c:pt>
                <c:pt idx="7">
                  <c:v>1.7949499090134178</c:v>
                </c:pt>
                <c:pt idx="8">
                  <c:v>1.7949499090134178</c:v>
                </c:pt>
                <c:pt idx="9">
                  <c:v>1.7949499090134178</c:v>
                </c:pt>
                <c:pt idx="10">
                  <c:v>1.7949499090134178</c:v>
                </c:pt>
                <c:pt idx="11">
                  <c:v>1.7450901893186006</c:v>
                </c:pt>
                <c:pt idx="12">
                  <c:v>1.7450901893186006</c:v>
                </c:pt>
                <c:pt idx="13">
                  <c:v>1.7450901893186006</c:v>
                </c:pt>
                <c:pt idx="14">
                  <c:v>1.7450901893186006</c:v>
                </c:pt>
                <c:pt idx="15">
                  <c:v>1.7450901893186006</c:v>
                </c:pt>
                <c:pt idx="16">
                  <c:v>1.7450901893186006</c:v>
                </c:pt>
                <c:pt idx="17">
                  <c:v>1.7450901893186006</c:v>
                </c:pt>
                <c:pt idx="18">
                  <c:v>1.6952304696237834</c:v>
                </c:pt>
                <c:pt idx="19">
                  <c:v>1.6952304696237834</c:v>
                </c:pt>
                <c:pt idx="20">
                  <c:v>1.6952304696237834</c:v>
                </c:pt>
                <c:pt idx="21">
                  <c:v>1.6952304696237834</c:v>
                </c:pt>
                <c:pt idx="22">
                  <c:v>1.6952304696237834</c:v>
                </c:pt>
                <c:pt idx="23">
                  <c:v>1.6952304696237834</c:v>
                </c:pt>
                <c:pt idx="24">
                  <c:v>1.6952304696237834</c:v>
                </c:pt>
                <c:pt idx="25">
                  <c:v>1.6952304696237834</c:v>
                </c:pt>
                <c:pt idx="26">
                  <c:v>1.6952304696237834</c:v>
                </c:pt>
                <c:pt idx="27">
                  <c:v>1.6453707499289663</c:v>
                </c:pt>
                <c:pt idx="28">
                  <c:v>1.6453707499289663</c:v>
                </c:pt>
                <c:pt idx="29">
                  <c:v>1.6453707499289663</c:v>
                </c:pt>
                <c:pt idx="30">
                  <c:v>1.6453707499289663</c:v>
                </c:pt>
                <c:pt idx="31">
                  <c:v>1.6453707499289663</c:v>
                </c:pt>
                <c:pt idx="32">
                  <c:v>1.6453707499289663</c:v>
                </c:pt>
                <c:pt idx="33">
                  <c:v>1.6453707499289663</c:v>
                </c:pt>
                <c:pt idx="34">
                  <c:v>1.6453707499289663</c:v>
                </c:pt>
                <c:pt idx="35">
                  <c:v>1.6453707499289663</c:v>
                </c:pt>
                <c:pt idx="36">
                  <c:v>1.6453707499289663</c:v>
                </c:pt>
                <c:pt idx="37">
                  <c:v>1.6453707499289663</c:v>
                </c:pt>
                <c:pt idx="38">
                  <c:v>1.6453707499289663</c:v>
                </c:pt>
                <c:pt idx="39">
                  <c:v>1.6453707499289663</c:v>
                </c:pt>
                <c:pt idx="40">
                  <c:v>1.6453707499289663</c:v>
                </c:pt>
                <c:pt idx="41">
                  <c:v>1.6453707499289663</c:v>
                </c:pt>
                <c:pt idx="42">
                  <c:v>1.6453707499289663</c:v>
                </c:pt>
                <c:pt idx="43">
                  <c:v>1.6453707499289663</c:v>
                </c:pt>
                <c:pt idx="44">
                  <c:v>1.5955110302341491</c:v>
                </c:pt>
                <c:pt idx="45">
                  <c:v>1.5955110302341491</c:v>
                </c:pt>
                <c:pt idx="46">
                  <c:v>1.5955110302341491</c:v>
                </c:pt>
                <c:pt idx="47">
                  <c:v>1.5955110302341491</c:v>
                </c:pt>
                <c:pt idx="48">
                  <c:v>1.5955110302341491</c:v>
                </c:pt>
                <c:pt idx="49">
                  <c:v>1.5955110302341491</c:v>
                </c:pt>
                <c:pt idx="50">
                  <c:v>1.5955110302341491</c:v>
                </c:pt>
                <c:pt idx="51">
                  <c:v>1.5955110302341491</c:v>
                </c:pt>
                <c:pt idx="52">
                  <c:v>1.5955110302341491</c:v>
                </c:pt>
                <c:pt idx="53">
                  <c:v>1.5456513105393319</c:v>
                </c:pt>
                <c:pt idx="54">
                  <c:v>1.5456513105393319</c:v>
                </c:pt>
                <c:pt idx="55">
                  <c:v>1.5456513105393319</c:v>
                </c:pt>
                <c:pt idx="56">
                  <c:v>1.5456513105393319</c:v>
                </c:pt>
                <c:pt idx="57">
                  <c:v>1.5456513105393319</c:v>
                </c:pt>
                <c:pt idx="58">
                  <c:v>1.5456513105393319</c:v>
                </c:pt>
                <c:pt idx="59">
                  <c:v>1.5456513105393319</c:v>
                </c:pt>
                <c:pt idx="60">
                  <c:v>1.5456513105393319</c:v>
                </c:pt>
                <c:pt idx="61">
                  <c:v>1.5456513105393319</c:v>
                </c:pt>
                <c:pt idx="62">
                  <c:v>1.5456513105393319</c:v>
                </c:pt>
                <c:pt idx="63">
                  <c:v>1.5456513105393319</c:v>
                </c:pt>
                <c:pt idx="64">
                  <c:v>1.5456513105393319</c:v>
                </c:pt>
                <c:pt idx="65">
                  <c:v>1.5456513105393319</c:v>
                </c:pt>
                <c:pt idx="66">
                  <c:v>1.5456513105393319</c:v>
                </c:pt>
                <c:pt idx="67">
                  <c:v>1.5456513105393319</c:v>
                </c:pt>
                <c:pt idx="68">
                  <c:v>1.5456513105393319</c:v>
                </c:pt>
                <c:pt idx="69">
                  <c:v>1.5456513105393319</c:v>
                </c:pt>
                <c:pt idx="70">
                  <c:v>1.5456513105393319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366-8E4A-8BE9-2379942DDF51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(100yr)'!$I$11:$I$83</c:f>
              <c:numCache>
                <c:formatCode>_(* #,##0.0_);_(* \(#,##0.0\);_(* "-"??_);_(@_)</c:formatCode>
                <c:ptCount val="73"/>
                <c:pt idx="0">
                  <c:v>2.652742445786032</c:v>
                </c:pt>
                <c:pt idx="1">
                  <c:v>3.0948661867503704</c:v>
                </c:pt>
                <c:pt idx="2">
                  <c:v>3.5369899277147088</c:v>
                </c:pt>
                <c:pt idx="3">
                  <c:v>3.979113668679048</c:v>
                </c:pt>
                <c:pt idx="4">
                  <c:v>4.4212374096433864</c:v>
                </c:pt>
                <c:pt idx="5">
                  <c:v>2.2106187048216932</c:v>
                </c:pt>
                <c:pt idx="6">
                  <c:v>2.652742445786032</c:v>
                </c:pt>
                <c:pt idx="7">
                  <c:v>3.0948661867503704</c:v>
                </c:pt>
                <c:pt idx="8">
                  <c:v>3.5369899277147088</c:v>
                </c:pt>
                <c:pt idx="9">
                  <c:v>3.979113668679048</c:v>
                </c:pt>
                <c:pt idx="10">
                  <c:v>4.4212374096433864</c:v>
                </c:pt>
                <c:pt idx="11">
                  <c:v>1.7684949638573544</c:v>
                </c:pt>
                <c:pt idx="12">
                  <c:v>2.2106187048216932</c:v>
                </c:pt>
                <c:pt idx="13">
                  <c:v>2.652742445786032</c:v>
                </c:pt>
                <c:pt idx="14">
                  <c:v>3.0948661867503704</c:v>
                </c:pt>
                <c:pt idx="15">
                  <c:v>3.5369899277147088</c:v>
                </c:pt>
                <c:pt idx="16">
                  <c:v>3.979113668679048</c:v>
                </c:pt>
                <c:pt idx="17">
                  <c:v>4.4212374096433864</c:v>
                </c:pt>
                <c:pt idx="18">
                  <c:v>1.326371222893016</c:v>
                </c:pt>
                <c:pt idx="19">
                  <c:v>1.7684949638573544</c:v>
                </c:pt>
                <c:pt idx="20">
                  <c:v>2.2106187048216932</c:v>
                </c:pt>
                <c:pt idx="21">
                  <c:v>2.652742445786032</c:v>
                </c:pt>
                <c:pt idx="22">
                  <c:v>3.0948661867503704</c:v>
                </c:pt>
                <c:pt idx="23">
                  <c:v>3.5369899277147088</c:v>
                </c:pt>
                <c:pt idx="24">
                  <c:v>3.979113668679048</c:v>
                </c:pt>
                <c:pt idx="25">
                  <c:v>4.4212374096433864</c:v>
                </c:pt>
                <c:pt idx="26">
                  <c:v>0.88424748192867719</c:v>
                </c:pt>
                <c:pt idx="27">
                  <c:v>1.326371222893016</c:v>
                </c:pt>
                <c:pt idx="28">
                  <c:v>1.7684949638573544</c:v>
                </c:pt>
                <c:pt idx="29">
                  <c:v>2.2106187048216932</c:v>
                </c:pt>
                <c:pt idx="30">
                  <c:v>2.652742445786032</c:v>
                </c:pt>
                <c:pt idx="31">
                  <c:v>3.0948661867503704</c:v>
                </c:pt>
                <c:pt idx="32">
                  <c:v>3.5369899277147088</c:v>
                </c:pt>
                <c:pt idx="33">
                  <c:v>3.979113668679048</c:v>
                </c:pt>
                <c:pt idx="34">
                  <c:v>4.4212374096433864</c:v>
                </c:pt>
                <c:pt idx="35">
                  <c:v>0.88424748192867719</c:v>
                </c:pt>
                <c:pt idx="36">
                  <c:v>1.326371222893016</c:v>
                </c:pt>
                <c:pt idx="37">
                  <c:v>1.7684949638573544</c:v>
                </c:pt>
                <c:pt idx="38">
                  <c:v>2.2106187048216932</c:v>
                </c:pt>
                <c:pt idx="39">
                  <c:v>2.652742445786032</c:v>
                </c:pt>
                <c:pt idx="40">
                  <c:v>3.0948661867503704</c:v>
                </c:pt>
                <c:pt idx="41">
                  <c:v>3.5369899277147088</c:v>
                </c:pt>
                <c:pt idx="42">
                  <c:v>3.979113668679048</c:v>
                </c:pt>
                <c:pt idx="43">
                  <c:v>4.4212374096433864</c:v>
                </c:pt>
                <c:pt idx="44">
                  <c:v>0.88424748192867719</c:v>
                </c:pt>
                <c:pt idx="45">
                  <c:v>1.326371222893016</c:v>
                </c:pt>
                <c:pt idx="46">
                  <c:v>1.7684949638573544</c:v>
                </c:pt>
                <c:pt idx="47">
                  <c:v>2.2106187048216932</c:v>
                </c:pt>
                <c:pt idx="48">
                  <c:v>2.652742445786032</c:v>
                </c:pt>
                <c:pt idx="49">
                  <c:v>3.0948661867503704</c:v>
                </c:pt>
                <c:pt idx="50">
                  <c:v>3.5369899277147088</c:v>
                </c:pt>
                <c:pt idx="51">
                  <c:v>3.979113668679048</c:v>
                </c:pt>
                <c:pt idx="52">
                  <c:v>4.4212374096433864</c:v>
                </c:pt>
                <c:pt idx="53">
                  <c:v>0.88424748192867719</c:v>
                </c:pt>
                <c:pt idx="54">
                  <c:v>1.326371222893016</c:v>
                </c:pt>
                <c:pt idx="55">
                  <c:v>1.7684949638573544</c:v>
                </c:pt>
                <c:pt idx="56">
                  <c:v>2.2106187048216932</c:v>
                </c:pt>
                <c:pt idx="57">
                  <c:v>2.652742445786032</c:v>
                </c:pt>
                <c:pt idx="58">
                  <c:v>3.0948661867503704</c:v>
                </c:pt>
                <c:pt idx="59">
                  <c:v>3.5369899277147088</c:v>
                </c:pt>
                <c:pt idx="60">
                  <c:v>3.979113668679048</c:v>
                </c:pt>
                <c:pt idx="61">
                  <c:v>4.4212374096433864</c:v>
                </c:pt>
                <c:pt idx="62">
                  <c:v>0.88424748192867719</c:v>
                </c:pt>
                <c:pt idx="63">
                  <c:v>1.326371222893016</c:v>
                </c:pt>
                <c:pt idx="64">
                  <c:v>1.7684949638573544</c:v>
                </c:pt>
                <c:pt idx="65">
                  <c:v>2.2106187048216932</c:v>
                </c:pt>
                <c:pt idx="66">
                  <c:v>2.652742445786032</c:v>
                </c:pt>
                <c:pt idx="67">
                  <c:v>3.0948661867503704</c:v>
                </c:pt>
                <c:pt idx="68">
                  <c:v>3.5369899277147088</c:v>
                </c:pt>
                <c:pt idx="69">
                  <c:v>3.979113668679048</c:v>
                </c:pt>
                <c:pt idx="70">
                  <c:v>4.4212374096433864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366-8E4A-8BE9-2379942DDF51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(100yr)'!$K$11:$K$83</c:f>
              <c:numCache>
                <c:formatCode>_(* #,##0.0_);_(* \(#,##0.0\);_(* "-"??_);_(@_)</c:formatCode>
                <c:ptCount val="73"/>
                <c:pt idx="0">
                  <c:v>4.1756131091076423</c:v>
                </c:pt>
                <c:pt idx="1">
                  <c:v>4.1756131091076423</c:v>
                </c:pt>
                <c:pt idx="2">
                  <c:v>4.1756131091076423</c:v>
                </c:pt>
                <c:pt idx="3">
                  <c:v>4.1756131091076423</c:v>
                </c:pt>
                <c:pt idx="4">
                  <c:v>4.1756131091076423</c:v>
                </c:pt>
                <c:pt idx="5">
                  <c:v>4.1756131091076423</c:v>
                </c:pt>
                <c:pt idx="6">
                  <c:v>4.1756131091076423</c:v>
                </c:pt>
                <c:pt idx="7">
                  <c:v>4.1756131091076423</c:v>
                </c:pt>
                <c:pt idx="8">
                  <c:v>4.1756131091076423</c:v>
                </c:pt>
                <c:pt idx="9">
                  <c:v>4.1756131091076423</c:v>
                </c:pt>
                <c:pt idx="10">
                  <c:v>4.1756131091076423</c:v>
                </c:pt>
                <c:pt idx="11">
                  <c:v>4.1756131091076423</c:v>
                </c:pt>
                <c:pt idx="12">
                  <c:v>4.1756131091076423</c:v>
                </c:pt>
                <c:pt idx="13">
                  <c:v>4.1756131091076423</c:v>
                </c:pt>
                <c:pt idx="14">
                  <c:v>4.1756131091076423</c:v>
                </c:pt>
                <c:pt idx="15">
                  <c:v>4.1756131091076423</c:v>
                </c:pt>
                <c:pt idx="16">
                  <c:v>4.1756131091076423</c:v>
                </c:pt>
                <c:pt idx="17">
                  <c:v>4.1756131091076423</c:v>
                </c:pt>
                <c:pt idx="18">
                  <c:v>4.1756131091076423</c:v>
                </c:pt>
                <c:pt idx="19">
                  <c:v>4.1756131091076423</c:v>
                </c:pt>
                <c:pt idx="20">
                  <c:v>4.1756131091076423</c:v>
                </c:pt>
                <c:pt idx="21">
                  <c:v>4.1756131091076423</c:v>
                </c:pt>
                <c:pt idx="22">
                  <c:v>4.1756131091076423</c:v>
                </c:pt>
                <c:pt idx="23">
                  <c:v>4.1756131091076423</c:v>
                </c:pt>
                <c:pt idx="24">
                  <c:v>4.1756131091076423</c:v>
                </c:pt>
                <c:pt idx="25">
                  <c:v>4.1756131091076423</c:v>
                </c:pt>
                <c:pt idx="26">
                  <c:v>4.1756131091076423</c:v>
                </c:pt>
                <c:pt idx="27">
                  <c:v>4.1756131091076423</c:v>
                </c:pt>
                <c:pt idx="28">
                  <c:v>4.1756131091076423</c:v>
                </c:pt>
                <c:pt idx="29">
                  <c:v>4.1756131091076423</c:v>
                </c:pt>
                <c:pt idx="30">
                  <c:v>4.1756131091076423</c:v>
                </c:pt>
                <c:pt idx="31">
                  <c:v>4.1756131091076423</c:v>
                </c:pt>
                <c:pt idx="32">
                  <c:v>4.1756131091076423</c:v>
                </c:pt>
                <c:pt idx="33">
                  <c:v>4.1756131091076423</c:v>
                </c:pt>
                <c:pt idx="34">
                  <c:v>4.1756131091076423</c:v>
                </c:pt>
                <c:pt idx="35">
                  <c:v>4.1756131091076423</c:v>
                </c:pt>
                <c:pt idx="36">
                  <c:v>4.1756131091076423</c:v>
                </c:pt>
                <c:pt idx="37">
                  <c:v>4.1756131091076423</c:v>
                </c:pt>
                <c:pt idx="38">
                  <c:v>4.1756131091076423</c:v>
                </c:pt>
                <c:pt idx="39">
                  <c:v>4.1756131091076423</c:v>
                </c:pt>
                <c:pt idx="40">
                  <c:v>4.1756131091076423</c:v>
                </c:pt>
                <c:pt idx="41">
                  <c:v>4.1756131091076423</c:v>
                </c:pt>
                <c:pt idx="42">
                  <c:v>4.1756131091076423</c:v>
                </c:pt>
                <c:pt idx="43">
                  <c:v>4.1756131091076423</c:v>
                </c:pt>
                <c:pt idx="44">
                  <c:v>4.1756131091076423</c:v>
                </c:pt>
                <c:pt idx="45">
                  <c:v>4.1756131091076423</c:v>
                </c:pt>
                <c:pt idx="46">
                  <c:v>4.1756131091076423</c:v>
                </c:pt>
                <c:pt idx="47">
                  <c:v>4.1756131091076423</c:v>
                </c:pt>
                <c:pt idx="48">
                  <c:v>4.1756131091076423</c:v>
                </c:pt>
                <c:pt idx="49">
                  <c:v>4.1756131091076423</c:v>
                </c:pt>
                <c:pt idx="50">
                  <c:v>4.1756131091076423</c:v>
                </c:pt>
                <c:pt idx="51">
                  <c:v>4.1756131091076423</c:v>
                </c:pt>
                <c:pt idx="52">
                  <c:v>4.1756131091076423</c:v>
                </c:pt>
                <c:pt idx="53">
                  <c:v>4.1756131091076423</c:v>
                </c:pt>
                <c:pt idx="54">
                  <c:v>4.1756131091076423</c:v>
                </c:pt>
                <c:pt idx="55">
                  <c:v>4.1756131091076423</c:v>
                </c:pt>
                <c:pt idx="56">
                  <c:v>4.1756131091076423</c:v>
                </c:pt>
                <c:pt idx="57">
                  <c:v>4.1756131091076423</c:v>
                </c:pt>
                <c:pt idx="58">
                  <c:v>4.1756131091076423</c:v>
                </c:pt>
                <c:pt idx="59">
                  <c:v>4.1756131091076423</c:v>
                </c:pt>
                <c:pt idx="60">
                  <c:v>4.1756131091076423</c:v>
                </c:pt>
                <c:pt idx="61">
                  <c:v>4.1756131091076423</c:v>
                </c:pt>
                <c:pt idx="62">
                  <c:v>4.1756131091076423</c:v>
                </c:pt>
                <c:pt idx="63">
                  <c:v>4.1756131091076423</c:v>
                </c:pt>
                <c:pt idx="64">
                  <c:v>4.1756131091076423</c:v>
                </c:pt>
                <c:pt idx="65">
                  <c:v>4.1756131091076423</c:v>
                </c:pt>
                <c:pt idx="66">
                  <c:v>4.1756131091076423</c:v>
                </c:pt>
                <c:pt idx="67">
                  <c:v>4.1756131091076423</c:v>
                </c:pt>
                <c:pt idx="68">
                  <c:v>4.1756131091076423</c:v>
                </c:pt>
                <c:pt idx="69">
                  <c:v>4.1756131091076423</c:v>
                </c:pt>
                <c:pt idx="70">
                  <c:v>4.1756131091076423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366-8E4A-8BE9-2379942DDF51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(100yr)'!$P$11:$P$83</c:f>
              <c:numCache>
                <c:formatCode>0.0</c:formatCode>
                <c:ptCount val="73"/>
                <c:pt idx="0">
                  <c:v>2.6088428438793594</c:v>
                </c:pt>
                <c:pt idx="1">
                  <c:v>2.6088428438793594</c:v>
                </c:pt>
                <c:pt idx="2">
                  <c:v>2.6088428438793594</c:v>
                </c:pt>
                <c:pt idx="3">
                  <c:v>2.6088428438793594</c:v>
                </c:pt>
                <c:pt idx="4">
                  <c:v>2.6088428438793594</c:v>
                </c:pt>
                <c:pt idx="5">
                  <c:v>2.6088428438793594</c:v>
                </c:pt>
                <c:pt idx="6">
                  <c:v>2.6088428438793594</c:v>
                </c:pt>
                <c:pt idx="7">
                  <c:v>2.6088428438793594</c:v>
                </c:pt>
                <c:pt idx="8">
                  <c:v>2.6088428438793594</c:v>
                </c:pt>
                <c:pt idx="9">
                  <c:v>2.6088428438793594</c:v>
                </c:pt>
                <c:pt idx="10">
                  <c:v>2.6088428438793594</c:v>
                </c:pt>
                <c:pt idx="11">
                  <c:v>2.6088428438793594</c:v>
                </c:pt>
                <c:pt idx="12">
                  <c:v>2.6088428438793594</c:v>
                </c:pt>
                <c:pt idx="13">
                  <c:v>2.6088428438793594</c:v>
                </c:pt>
                <c:pt idx="14">
                  <c:v>2.6088428438793594</c:v>
                </c:pt>
                <c:pt idx="15">
                  <c:v>2.6088428438793594</c:v>
                </c:pt>
                <c:pt idx="16">
                  <c:v>2.6088428438793594</c:v>
                </c:pt>
                <c:pt idx="17">
                  <c:v>2.6088428438793594</c:v>
                </c:pt>
                <c:pt idx="18">
                  <c:v>2.6088428438793594</c:v>
                </c:pt>
                <c:pt idx="19">
                  <c:v>2.6088428438793594</c:v>
                </c:pt>
                <c:pt idx="20">
                  <c:v>2.6088428438793594</c:v>
                </c:pt>
                <c:pt idx="21">
                  <c:v>2.6088428438793594</c:v>
                </c:pt>
                <c:pt idx="22">
                  <c:v>2.6088428438793594</c:v>
                </c:pt>
                <c:pt idx="23">
                  <c:v>2.6088428438793594</c:v>
                </c:pt>
                <c:pt idx="24">
                  <c:v>2.6088428438793594</c:v>
                </c:pt>
                <c:pt idx="25">
                  <c:v>2.6088428438793594</c:v>
                </c:pt>
                <c:pt idx="26">
                  <c:v>2.6088428438793594</c:v>
                </c:pt>
                <c:pt idx="27">
                  <c:v>2.6088428438793594</c:v>
                </c:pt>
                <c:pt idx="28">
                  <c:v>2.6088428438793594</c:v>
                </c:pt>
                <c:pt idx="29">
                  <c:v>2.6088428438793594</c:v>
                </c:pt>
                <c:pt idx="30">
                  <c:v>2.6088428438793594</c:v>
                </c:pt>
                <c:pt idx="31">
                  <c:v>2.6088428438793594</c:v>
                </c:pt>
                <c:pt idx="32">
                  <c:v>2.6088428438793594</c:v>
                </c:pt>
                <c:pt idx="33">
                  <c:v>2.6088428438793594</c:v>
                </c:pt>
                <c:pt idx="34">
                  <c:v>2.6088428438793594</c:v>
                </c:pt>
                <c:pt idx="35">
                  <c:v>2.6088428438793594</c:v>
                </c:pt>
                <c:pt idx="36">
                  <c:v>2.6088428438793594</c:v>
                </c:pt>
                <c:pt idx="37">
                  <c:v>2.6088428438793594</c:v>
                </c:pt>
                <c:pt idx="38">
                  <c:v>2.6088428438793594</c:v>
                </c:pt>
                <c:pt idx="39">
                  <c:v>2.6088428438793594</c:v>
                </c:pt>
                <c:pt idx="40">
                  <c:v>2.6088428438793594</c:v>
                </c:pt>
                <c:pt idx="41">
                  <c:v>2.6088428438793594</c:v>
                </c:pt>
                <c:pt idx="42">
                  <c:v>2.6088428438793594</c:v>
                </c:pt>
                <c:pt idx="43">
                  <c:v>2.6088428438793594</c:v>
                </c:pt>
                <c:pt idx="44">
                  <c:v>2.6088428438793594</c:v>
                </c:pt>
                <c:pt idx="45">
                  <c:v>2.6088428438793594</c:v>
                </c:pt>
                <c:pt idx="46">
                  <c:v>2.6088428438793594</c:v>
                </c:pt>
                <c:pt idx="47">
                  <c:v>2.6088428438793594</c:v>
                </c:pt>
                <c:pt idx="48">
                  <c:v>2.6088428438793594</c:v>
                </c:pt>
                <c:pt idx="49">
                  <c:v>2.6088428438793594</c:v>
                </c:pt>
                <c:pt idx="50">
                  <c:v>2.6088428438793594</c:v>
                </c:pt>
                <c:pt idx="51">
                  <c:v>2.6088428438793594</c:v>
                </c:pt>
                <c:pt idx="52">
                  <c:v>2.6088428438793594</c:v>
                </c:pt>
                <c:pt idx="53">
                  <c:v>2.6088428438793594</c:v>
                </c:pt>
                <c:pt idx="54">
                  <c:v>2.6088428438793594</c:v>
                </c:pt>
                <c:pt idx="55">
                  <c:v>2.6088428438793594</c:v>
                </c:pt>
                <c:pt idx="56">
                  <c:v>2.6088428438793594</c:v>
                </c:pt>
                <c:pt idx="57">
                  <c:v>2.6088428438793594</c:v>
                </c:pt>
                <c:pt idx="58">
                  <c:v>2.6088428438793594</c:v>
                </c:pt>
                <c:pt idx="59">
                  <c:v>2.6088428438793594</c:v>
                </c:pt>
                <c:pt idx="60">
                  <c:v>2.6088428438793594</c:v>
                </c:pt>
                <c:pt idx="61">
                  <c:v>2.6088428438793594</c:v>
                </c:pt>
                <c:pt idx="62">
                  <c:v>2.6088428438793594</c:v>
                </c:pt>
                <c:pt idx="63">
                  <c:v>2.6088428438793594</c:v>
                </c:pt>
                <c:pt idx="64">
                  <c:v>2.6088428438793594</c:v>
                </c:pt>
                <c:pt idx="65">
                  <c:v>2.6088428438793594</c:v>
                </c:pt>
                <c:pt idx="66">
                  <c:v>2.6088428438793594</c:v>
                </c:pt>
                <c:pt idx="67">
                  <c:v>2.6088428438793594</c:v>
                </c:pt>
                <c:pt idx="68">
                  <c:v>2.6088428438793594</c:v>
                </c:pt>
                <c:pt idx="69">
                  <c:v>2.6088428438793594</c:v>
                </c:pt>
                <c:pt idx="70">
                  <c:v>2.6088428438793594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366-8E4A-8BE9-2379942DDF51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'Neg_162 (100yr)'!$S$11:$S$83</c:f>
              <c:strCache>
                <c:ptCount val="71"/>
                <c:pt idx="0">
                  <c:v> (340,37,60,100,100,0.64) </c:v>
                </c:pt>
                <c:pt idx="1">
                  <c:v> (340,37,70,100,97,0.65) </c:v>
                </c:pt>
                <c:pt idx="2">
                  <c:v> (340,37,80,100,95,0.66) </c:v>
                </c:pt>
                <c:pt idx="3">
                  <c:v> (340,37,90,100,94,0.66) </c:v>
                </c:pt>
                <c:pt idx="4">
                  <c:v> (340,37,100,100,94,0.66) </c:v>
                </c:pt>
                <c:pt idx="5">
                  <c:v> (350,36,50,100,91,0.66) </c:v>
                </c:pt>
                <c:pt idx="6">
                  <c:v> (350,36,60,100,88,0.67) </c:v>
                </c:pt>
                <c:pt idx="7">
                  <c:v> (350,36,70,100,86,0.68) </c:v>
                </c:pt>
                <c:pt idx="8">
                  <c:v> (350,36,80,100,85,0.69) </c:v>
                </c:pt>
                <c:pt idx="9">
                  <c:v> (350,36,90,100,85,0.69) </c:v>
                </c:pt>
                <c:pt idx="10">
                  <c:v> (350,36,100,100,84,0.69) </c:v>
                </c:pt>
                <c:pt idx="11">
                  <c:v> (360,35,40,100,86,0.67) </c:v>
                </c:pt>
                <c:pt idx="12">
                  <c:v> (360,35,50,100,83,0.69) </c:v>
                </c:pt>
                <c:pt idx="13">
                  <c:v> (360,35,60,100,80,0.7) </c:v>
                </c:pt>
                <c:pt idx="14">
                  <c:v> (360,35,70,100,79,0.71) </c:v>
                </c:pt>
                <c:pt idx="15">
                  <c:v> (360,35,80,100,78,0.71) </c:v>
                </c:pt>
                <c:pt idx="16">
                  <c:v> (360,35,90,100,78,0.71) </c:v>
                </c:pt>
                <c:pt idx="17">
                  <c:v> (360,35,100,100,78,0.72) </c:v>
                </c:pt>
                <c:pt idx="18">
                  <c:v> (370,34,30,100,86,0.66) </c:v>
                </c:pt>
                <c:pt idx="19">
                  <c:v> (370,34,40,100,81,0.69) </c:v>
                </c:pt>
                <c:pt idx="20">
                  <c:v> (370,34,50,100,76,0.71) </c:v>
                </c:pt>
                <c:pt idx="21">
                  <c:v> (370,34,60,100,75,0.72) </c:v>
                </c:pt>
                <c:pt idx="22">
                  <c:v> (370,34,70,100,73,0.73) </c:v>
                </c:pt>
                <c:pt idx="23">
                  <c:v> (370,34,80,100,73,0.73) </c:v>
                </c:pt>
                <c:pt idx="24">
                  <c:v> (370,34,90,100,73,0.73) </c:v>
                </c:pt>
                <c:pt idx="25">
                  <c:v> (370,34,100,100,72,0.74) </c:v>
                </c:pt>
                <c:pt idx="26">
                  <c:v> (380,34,20,100,94,0.61) </c:v>
                </c:pt>
                <c:pt idx="27">
                  <c:v> (380,33,30,100,79,0.69) </c:v>
                </c:pt>
                <c:pt idx="28">
                  <c:v> (380,33,40,100,74,0.72) </c:v>
                </c:pt>
                <c:pt idx="29">
                  <c:v> (380,33,50,100,71,0.73) </c:v>
                </c:pt>
                <c:pt idx="30">
                  <c:v> (380,33,60,100,70,0.74) </c:v>
                </c:pt>
                <c:pt idx="31">
                  <c:v> (380,33,70,100,69,0.75) </c:v>
                </c:pt>
                <c:pt idx="32">
                  <c:v> (380,33,80,100,69,0.75) </c:v>
                </c:pt>
                <c:pt idx="33">
                  <c:v> (380,33,90,100,69,0.76) </c:v>
                </c:pt>
                <c:pt idx="34">
                  <c:v> (380,33,100,100,68,0.76) </c:v>
                </c:pt>
                <c:pt idx="35">
                  <c:v> (390,33,20,100,85,0.64) </c:v>
                </c:pt>
                <c:pt idx="36">
                  <c:v> (390,33,30,100,73,0.71) </c:v>
                </c:pt>
                <c:pt idx="37">
                  <c:v> (390,33,40,100,70,0.74) </c:v>
                </c:pt>
                <c:pt idx="38">
                  <c:v> (390,33,50,100,67,0.75) </c:v>
                </c:pt>
                <c:pt idx="39">
                  <c:v> (390,33,60,100,66,0.76) </c:v>
                </c:pt>
                <c:pt idx="40">
                  <c:v> (390,33,70,100,66,0.77) </c:v>
                </c:pt>
                <c:pt idx="41">
                  <c:v> (390,33,80,100,66,0.77) </c:v>
                </c:pt>
                <c:pt idx="42">
                  <c:v> (390,33,90,100,65,0.77) </c:v>
                </c:pt>
                <c:pt idx="43">
                  <c:v> (390,33,100,100,65,0.78) </c:v>
                </c:pt>
                <c:pt idx="44">
                  <c:v> (400,32,20,100,78,0.67) </c:v>
                </c:pt>
                <c:pt idx="45">
                  <c:v> (400,32,30,100,69,0.73) </c:v>
                </c:pt>
                <c:pt idx="46">
                  <c:v> (400,32,40,100,66,0.76) </c:v>
                </c:pt>
                <c:pt idx="47">
                  <c:v> (400,32,50,100,64,0.77) </c:v>
                </c:pt>
                <c:pt idx="48">
                  <c:v> (400,32,60,100,63,0.78) </c:v>
                </c:pt>
                <c:pt idx="49">
                  <c:v> (400,32,70,100,63,0.79) </c:v>
                </c:pt>
                <c:pt idx="50">
                  <c:v> (400,32,80,100,63,0.79) </c:v>
                </c:pt>
                <c:pt idx="51">
                  <c:v> (400,32,90,100,63,0.79) </c:v>
                </c:pt>
                <c:pt idx="52">
                  <c:v> (400,32,100,100,62,0.79) </c:v>
                </c:pt>
                <c:pt idx="53">
                  <c:v> (410,31,20,100,73,0.7) </c:v>
                </c:pt>
                <c:pt idx="54">
                  <c:v> (410,31,30,100,66,0.75) </c:v>
                </c:pt>
                <c:pt idx="55">
                  <c:v> (410,31,40,100,63,0.78) </c:v>
                </c:pt>
                <c:pt idx="56">
                  <c:v> (410,31,50,100,62,0.79) </c:v>
                </c:pt>
                <c:pt idx="57">
                  <c:v> (410,31,60,100,61,0.8) </c:v>
                </c:pt>
                <c:pt idx="58">
                  <c:v> (410,31,70,100,61,0.8) </c:v>
                </c:pt>
                <c:pt idx="59">
                  <c:v> (410,31,80,100,60,0.81) </c:v>
                </c:pt>
                <c:pt idx="60">
                  <c:v> (410,31,90,100,60,0.81) </c:v>
                </c:pt>
                <c:pt idx="61">
                  <c:v> (410,31,100,100,60,0.81) </c:v>
                </c:pt>
                <c:pt idx="62">
                  <c:v> (420,31,20,100,69,0.72) </c:v>
                </c:pt>
                <c:pt idx="63">
                  <c:v> (420,31,30,100,63,0.77) </c:v>
                </c:pt>
                <c:pt idx="64">
                  <c:v> (420,31,40,100,61,0.8) </c:v>
                </c:pt>
                <c:pt idx="65">
                  <c:v> (420,31,50,100,59,0.81) </c:v>
                </c:pt>
                <c:pt idx="66">
                  <c:v> (420,31,60,100,59,0.81) </c:v>
                </c:pt>
                <c:pt idx="67">
                  <c:v> (420,31,70,100,59,0.82) </c:v>
                </c:pt>
                <c:pt idx="68">
                  <c:v> (420,31,80,100,58,0.82) </c:v>
                </c:pt>
                <c:pt idx="69">
                  <c:v> (420,31,90,100,58,0.82) </c:v>
                </c:pt>
                <c:pt idx="70">
                  <c:v> (420,31,100,100,58,0.82) </c:v>
                </c:pt>
              </c:strCache>
            </c:strRef>
          </c:cat>
          <c:val>
            <c:numRef>
              <c:f>'Neg_162 (100yr)'!$O$11:$O$83</c:f>
              <c:numCache>
                <c:formatCode>_(* #,##0.00_);_(* \(#,##0.00\);_(* "-"??_);_(@_)</c:formatCode>
                <c:ptCount val="73"/>
                <c:pt idx="0">
                  <c:v>26.996673664328046</c:v>
                </c:pt>
                <c:pt idx="1">
                  <c:v>26.509009451734254</c:v>
                </c:pt>
                <c:pt idx="2">
                  <c:v>26.19013752588285</c:v>
                </c:pt>
                <c:pt idx="3">
                  <c:v>26.04489373953303</c:v>
                </c:pt>
                <c:pt idx="4">
                  <c:v>26.116043851433407</c:v>
                </c:pt>
                <c:pt idx="5">
                  <c:v>25.267246564962274</c:v>
                </c:pt>
                <c:pt idx="6">
                  <c:v>24.863515935910542</c:v>
                </c:pt>
                <c:pt idx="7">
                  <c:v>24.609444437032245</c:v>
                </c:pt>
                <c:pt idx="8">
                  <c:v>24.502004403991183</c:v>
                </c:pt>
                <c:pt idx="9">
                  <c:v>24.612808508516892</c:v>
                </c:pt>
                <c:pt idx="10">
                  <c:v>24.38682700653543</c:v>
                </c:pt>
                <c:pt idx="11">
                  <c:v>24.121233562822198</c:v>
                </c:pt>
                <c:pt idx="12">
                  <c:v>23.991800912450234</c:v>
                </c:pt>
                <c:pt idx="13">
                  <c:v>23.511495606229122</c:v>
                </c:pt>
                <c:pt idx="14">
                  <c:v>23.460109414301069</c:v>
                </c:pt>
                <c:pt idx="15">
                  <c:v>23.310744640382541</c:v>
                </c:pt>
                <c:pt idx="16">
                  <c:v>23.399303822215998</c:v>
                </c:pt>
                <c:pt idx="17">
                  <c:v>23.4649032161667</c:v>
                </c:pt>
                <c:pt idx="18">
                  <c:v>23.766828631914169</c:v>
                </c:pt>
                <c:pt idx="19">
                  <c:v>23.573772979588728</c:v>
                </c:pt>
                <c:pt idx="20">
                  <c:v>22.729012578899191</c:v>
                </c:pt>
                <c:pt idx="21">
                  <c:v>22.742174508582885</c:v>
                </c:pt>
                <c:pt idx="22">
                  <c:v>22.353666302999201</c:v>
                </c:pt>
                <c:pt idx="23">
                  <c:v>22.451897190351023</c:v>
                </c:pt>
                <c:pt idx="24">
                  <c:v>22.522500640635148</c:v>
                </c:pt>
                <c:pt idx="25">
                  <c:v>22.271498856986589</c:v>
                </c:pt>
                <c:pt idx="26">
                  <c:v>24.167321342161927</c:v>
                </c:pt>
                <c:pt idx="27">
                  <c:v>22.782417213718027</c:v>
                </c:pt>
                <c:pt idx="28">
                  <c:v>22.358039595929242</c:v>
                </c:pt>
                <c:pt idx="29">
                  <c:v>21.9323163495466</c:v>
                </c:pt>
                <c:pt idx="30">
                  <c:v>21.923653865473625</c:v>
                </c:pt>
                <c:pt idx="31">
                  <c:v>21.770041951305728</c:v>
                </c:pt>
                <c:pt idx="32">
                  <c:v>21.868693347593133</c:v>
                </c:pt>
                <c:pt idx="33">
                  <c:v>21.932526604014392</c:v>
                </c:pt>
                <c:pt idx="34">
                  <c:v>21.654696350275746</c:v>
                </c:pt>
                <c:pt idx="35">
                  <c:v>22.979341548250815</c:v>
                </c:pt>
                <c:pt idx="36">
                  <c:v>21.773490124577496</c:v>
                </c:pt>
                <c:pt idx="37">
                  <c:v>21.747040112529422</c:v>
                </c:pt>
                <c:pt idx="38">
                  <c:v>21.262992276781635</c:v>
                </c:pt>
                <c:pt idx="39">
                  <c:v>21.187090413909186</c:v>
                </c:pt>
                <c:pt idx="40">
                  <c:v>21.339735157525247</c:v>
                </c:pt>
                <c:pt idx="41">
                  <c:v>21.406343772921343</c:v>
                </c:pt>
                <c:pt idx="42">
                  <c:v>21.153071241020651</c:v>
                </c:pt>
                <c:pt idx="43">
                  <c:v>21.191337554158562</c:v>
                </c:pt>
                <c:pt idx="44">
                  <c:v>21.998756761368469</c:v>
                </c:pt>
                <c:pt idx="45">
                  <c:v>21.221656248413979</c:v>
                </c:pt>
                <c:pt idx="46">
                  <c:v>21.062199260041499</c:v>
                </c:pt>
                <c:pt idx="47">
                  <c:v>20.81149183264785</c:v>
                </c:pt>
                <c:pt idx="48">
                  <c:v>20.695599570001608</c:v>
                </c:pt>
                <c:pt idx="49">
                  <c:v>20.814813853238942</c:v>
                </c:pt>
                <c:pt idx="50">
                  <c:v>20.881044010593019</c:v>
                </c:pt>
                <c:pt idx="51">
                  <c:v>20.955221786829583</c:v>
                </c:pt>
                <c:pt idx="52">
                  <c:v>20.643456461989512</c:v>
                </c:pt>
                <c:pt idx="53">
                  <c:v>21.411263727467649</c:v>
                </c:pt>
                <c:pt idx="54">
                  <c:v>20.909554516425437</c:v>
                </c:pt>
                <c:pt idx="55">
                  <c:v>20.634667825235862</c:v>
                </c:pt>
                <c:pt idx="56">
                  <c:v>20.646063617390112</c:v>
                </c:pt>
                <c:pt idx="57">
                  <c:v>20.4900548022894</c:v>
                </c:pt>
                <c:pt idx="58">
                  <c:v>20.584963669050129</c:v>
                </c:pt>
                <c:pt idx="59">
                  <c:v>20.330766017491154</c:v>
                </c:pt>
                <c:pt idx="60">
                  <c:v>20.363565714466503</c:v>
                </c:pt>
                <c:pt idx="61">
                  <c:v>20.391319304214878</c:v>
                </c:pt>
                <c:pt idx="62">
                  <c:v>20.916997524585231</c:v>
                </c:pt>
                <c:pt idx="63">
                  <c:v>20.462469416115258</c:v>
                </c:pt>
                <c:pt idx="64">
                  <c:v>20.418231876092094</c:v>
                </c:pt>
                <c:pt idx="65">
                  <c:v>20.031615960718522</c:v>
                </c:pt>
                <c:pt idx="66">
                  <c:v>20.195362140233932</c:v>
                </c:pt>
                <c:pt idx="67">
                  <c:v>20.297083251751083</c:v>
                </c:pt>
                <c:pt idx="68">
                  <c:v>20.006721831732104</c:v>
                </c:pt>
                <c:pt idx="69">
                  <c:v>20.038428205474943</c:v>
                </c:pt>
                <c:pt idx="70">
                  <c:v>20.070134579217786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366-8E4A-8BE9-2379942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909248"/>
        <c:axId val="385854848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'Neg_162 (100yr)'!$Q$11:$Q$83</c:f>
              <c:numCache>
                <c:formatCode>_(* #,##0.00_);_(* \(#,##0.00\);_(* "-"??_);_(@_)</c:formatCode>
                <c:ptCount val="73"/>
                <c:pt idx="0">
                  <c:v>106.83415139285665</c:v>
                </c:pt>
                <c:pt idx="1">
                  <c:v>106.7886109212272</c:v>
                </c:pt>
                <c:pt idx="2">
                  <c:v>106.91186273634014</c:v>
                </c:pt>
                <c:pt idx="3">
                  <c:v>107.20874269095467</c:v>
                </c:pt>
                <c:pt idx="4">
                  <c:v>107.72201654381936</c:v>
                </c:pt>
                <c:pt idx="5">
                  <c:v>106.18533006473064</c:v>
                </c:pt>
                <c:pt idx="6">
                  <c:v>106.22372317664323</c:v>
                </c:pt>
                <c:pt idx="7">
                  <c:v>106.41177541872926</c:v>
                </c:pt>
                <c:pt idx="8">
                  <c:v>106.74645912665255</c:v>
                </c:pt>
                <c:pt idx="9">
                  <c:v>107.2993869721426</c:v>
                </c:pt>
                <c:pt idx="10">
                  <c:v>107.51552921112547</c:v>
                </c:pt>
                <c:pt idx="11">
                  <c:v>106.1199228338303</c:v>
                </c:pt>
                <c:pt idx="12">
                  <c:v>106.43261392442268</c:v>
                </c:pt>
                <c:pt idx="13">
                  <c:v>106.3944323591659</c:v>
                </c:pt>
                <c:pt idx="14">
                  <c:v>106.78516990820219</c:v>
                </c:pt>
                <c:pt idx="15">
                  <c:v>107.07792887524801</c:v>
                </c:pt>
                <c:pt idx="16">
                  <c:v>107.6086117980458</c:v>
                </c:pt>
                <c:pt idx="17">
                  <c:v>108.11633493296084</c:v>
                </c:pt>
                <c:pt idx="18">
                  <c:v>106.84612367416202</c:v>
                </c:pt>
                <c:pt idx="19">
                  <c:v>107.09519176280091</c:v>
                </c:pt>
                <c:pt idx="20">
                  <c:v>106.69255510307572</c:v>
                </c:pt>
                <c:pt idx="21">
                  <c:v>107.14784077372374</c:v>
                </c:pt>
                <c:pt idx="22">
                  <c:v>107.2014563091044</c:v>
                </c:pt>
                <c:pt idx="23">
                  <c:v>107.74181093742057</c:v>
                </c:pt>
                <c:pt idx="24">
                  <c:v>108.25453812866903</c:v>
                </c:pt>
                <c:pt idx="25">
                  <c:v>108.4456600859848</c:v>
                </c:pt>
                <c:pt idx="26">
                  <c:v>108.37708187534435</c:v>
                </c:pt>
                <c:pt idx="27">
                  <c:v>107.38444176816998</c:v>
                </c:pt>
                <c:pt idx="28">
                  <c:v>107.40218789134552</c:v>
                </c:pt>
                <c:pt idx="29">
                  <c:v>107.41858838592722</c:v>
                </c:pt>
                <c:pt idx="30">
                  <c:v>107.85204964281859</c:v>
                </c:pt>
                <c:pt idx="31">
                  <c:v>108.14056146961502</c:v>
                </c:pt>
                <c:pt idx="32">
                  <c:v>108.68133660686678</c:v>
                </c:pt>
                <c:pt idx="33">
                  <c:v>109.18729360425237</c:v>
                </c:pt>
                <c:pt idx="34">
                  <c:v>109.35158709147805</c:v>
                </c:pt>
                <c:pt idx="35">
                  <c:v>108.71183159363734</c:v>
                </c:pt>
                <c:pt idx="36">
                  <c:v>107.94810391092835</c:v>
                </c:pt>
                <c:pt idx="37">
                  <c:v>108.36377763984461</c:v>
                </c:pt>
                <c:pt idx="38">
                  <c:v>108.32185354506117</c:v>
                </c:pt>
                <c:pt idx="39">
                  <c:v>108.68807542315307</c:v>
                </c:pt>
                <c:pt idx="40">
                  <c:v>109.28284390773345</c:v>
                </c:pt>
                <c:pt idx="41">
                  <c:v>109.79157626409391</c:v>
                </c:pt>
                <c:pt idx="42">
                  <c:v>109.98042747315755</c:v>
                </c:pt>
                <c:pt idx="43">
                  <c:v>110.46081752725979</c:v>
                </c:pt>
                <c:pt idx="44">
                  <c:v>109.25397631895906</c:v>
                </c:pt>
                <c:pt idx="45">
                  <c:v>108.91899954696891</c:v>
                </c:pt>
                <c:pt idx="46">
                  <c:v>109.20166629956076</c:v>
                </c:pt>
                <c:pt idx="47">
                  <c:v>109.39308261313145</c:v>
                </c:pt>
                <c:pt idx="48">
                  <c:v>109.71931409144955</c:v>
                </c:pt>
                <c:pt idx="49">
                  <c:v>110.28065211565122</c:v>
                </c:pt>
                <c:pt idx="50">
                  <c:v>110.78900601396964</c:v>
                </c:pt>
                <c:pt idx="51">
                  <c:v>111.30530753117054</c:v>
                </c:pt>
                <c:pt idx="52">
                  <c:v>111.43566594729481</c:v>
                </c:pt>
                <c:pt idx="53">
                  <c:v>110.18921279726234</c:v>
                </c:pt>
                <c:pt idx="54">
                  <c:v>110.12962732718447</c:v>
                </c:pt>
                <c:pt idx="55">
                  <c:v>110.29686437695922</c:v>
                </c:pt>
                <c:pt idx="56">
                  <c:v>110.75038391007782</c:v>
                </c:pt>
                <c:pt idx="57">
                  <c:v>111.03649883594144</c:v>
                </c:pt>
                <c:pt idx="58">
                  <c:v>111.5735314436665</c:v>
                </c:pt>
                <c:pt idx="59">
                  <c:v>111.76145753307188</c:v>
                </c:pt>
                <c:pt idx="60">
                  <c:v>112.23638097101156</c:v>
                </c:pt>
                <c:pt idx="61">
                  <c:v>112.70625830172426</c:v>
                </c:pt>
                <c:pt idx="62">
                  <c:v>111.26753582627882</c:v>
                </c:pt>
                <c:pt idx="63">
                  <c:v>111.25513145877318</c:v>
                </c:pt>
                <c:pt idx="64">
                  <c:v>111.65301765971435</c:v>
                </c:pt>
                <c:pt idx="65">
                  <c:v>111.70852548530513</c:v>
                </c:pt>
                <c:pt idx="66">
                  <c:v>112.31439540578486</c:v>
                </c:pt>
                <c:pt idx="67">
                  <c:v>112.85824025826636</c:v>
                </c:pt>
                <c:pt idx="68">
                  <c:v>113.01000257921173</c:v>
                </c:pt>
                <c:pt idx="69">
                  <c:v>113.4838326939189</c:v>
                </c:pt>
                <c:pt idx="70">
                  <c:v>113.95766280862608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366-8E4A-8BE9-2379942D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909248"/>
        <c:axId val="385854848"/>
      </c:lineChart>
      <c:catAx>
        <c:axId val="3859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5854848"/>
        <c:crosses val="autoZero"/>
        <c:auto val="1"/>
        <c:lblAlgn val="ctr"/>
        <c:lblOffset val="100"/>
        <c:noMultiLvlLbl val="0"/>
      </c:catAx>
      <c:valAx>
        <c:axId val="38585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59092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Discount Rate = 5%</c:v>
          </c:tx>
          <c:spPr>
            <a:ln w="41275">
              <a:solidFill>
                <a:schemeClr val="tx1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w="38100">
                <a:solidFill>
                  <a:srgbClr val="FF0000"/>
                </a:solidFill>
              </a:ln>
            </c:spPr>
          </c:marker>
          <c:cat>
            <c:strRef>
              <c:f>Overall!$S$5:$S$96</c:f>
              <c:strCache>
                <c:ptCount val="92"/>
                <c:pt idx="0">
                  <c:v> (230,136,50,100,0,0) </c:v>
                </c:pt>
                <c:pt idx="1">
                  <c:v> (230,121,60,100,0,0) </c:v>
                </c:pt>
                <c:pt idx="2">
                  <c:v> (230,116,70,100,0,0) </c:v>
                </c:pt>
                <c:pt idx="3">
                  <c:v> (230,114,80,100,0,0) </c:v>
                </c:pt>
                <c:pt idx="4">
                  <c:v> (230,111,90,100,0,0) </c:v>
                </c:pt>
                <c:pt idx="5">
                  <c:v> (230,110,100,100,0,0) </c:v>
                </c:pt>
                <c:pt idx="6">
                  <c:v> (240,114,40,100,0,0) </c:v>
                </c:pt>
                <c:pt idx="7">
                  <c:v> (240,99,50,100,0,0) </c:v>
                </c:pt>
                <c:pt idx="8">
                  <c:v> (240,91,60,100,0,0) </c:v>
                </c:pt>
                <c:pt idx="9">
                  <c:v> (240,85,70,100,0,0) </c:v>
                </c:pt>
                <c:pt idx="10">
                  <c:v> (240,81,80,100,0,0) </c:v>
                </c:pt>
                <c:pt idx="11">
                  <c:v> (240,79,90,100,0,0) </c:v>
                </c:pt>
                <c:pt idx="12">
                  <c:v> (240,79,100,100,0,0) </c:v>
                </c:pt>
                <c:pt idx="13">
                  <c:v> (250,111,30,100,0,0) </c:v>
                </c:pt>
                <c:pt idx="14">
                  <c:v> (250,84,40,100,0,0) </c:v>
                </c:pt>
                <c:pt idx="15">
                  <c:v> (250,71,50,100,0,0) </c:v>
                </c:pt>
                <c:pt idx="16">
                  <c:v> (250,69,60,100,0,0) </c:v>
                </c:pt>
                <c:pt idx="17">
                  <c:v> (250,68,70,100,0,0) </c:v>
                </c:pt>
                <c:pt idx="18">
                  <c:v> (250,67,80,100,0,0) </c:v>
                </c:pt>
                <c:pt idx="19">
                  <c:v> (250,67,90,100,0,0) </c:v>
                </c:pt>
                <c:pt idx="20">
                  <c:v> (250,67,100,100,0,0) </c:v>
                </c:pt>
                <c:pt idx="21">
                  <c:v> (260,81,30,100,0,0) </c:v>
                </c:pt>
                <c:pt idx="22">
                  <c:v> (260,63,40,100,0,0) </c:v>
                </c:pt>
                <c:pt idx="23">
                  <c:v> (260,60,50,100,0,0) </c:v>
                </c:pt>
                <c:pt idx="24">
                  <c:v> (260,58,60,100,0,0) </c:v>
                </c:pt>
                <c:pt idx="25">
                  <c:v> (260,57,70,100,0,0) </c:v>
                </c:pt>
                <c:pt idx="26">
                  <c:v> (260,56,80,100,0,0) </c:v>
                </c:pt>
                <c:pt idx="27">
                  <c:v> (260,55,90,100,0,0) </c:v>
                </c:pt>
                <c:pt idx="28">
                  <c:v> (260,55,100,100,0,0) </c:v>
                </c:pt>
                <c:pt idx="29">
                  <c:v> (240,114,40,100,41,0.06) </c:v>
                </c:pt>
                <c:pt idx="30">
                  <c:v> (240,99,50,100,18,0.11) </c:v>
                </c:pt>
                <c:pt idx="31">
                  <c:v> (240,91,60,100,14,0.15) </c:v>
                </c:pt>
                <c:pt idx="32">
                  <c:v> (240,85,70,100,12,0.17) </c:v>
                </c:pt>
                <c:pt idx="33">
                  <c:v> (240,81,80,100,11,0.18) </c:v>
                </c:pt>
                <c:pt idx="34">
                  <c:v> (240,79,90,100,11,0.18) </c:v>
                </c:pt>
                <c:pt idx="35">
                  <c:v> (240,79,100,100,11,0.19) </c:v>
                </c:pt>
                <c:pt idx="36">
                  <c:v> (250,111,30,100,91,0.04) </c:v>
                </c:pt>
                <c:pt idx="37">
                  <c:v> (250,84,40,100,15,0.13) </c:v>
                </c:pt>
                <c:pt idx="38">
                  <c:v> (250,71,50,100,11,0.19) </c:v>
                </c:pt>
                <c:pt idx="39">
                  <c:v> (250,69,60,100,9,0.22) </c:v>
                </c:pt>
                <c:pt idx="40">
                  <c:v> (250,68,70,100,8,0.24) </c:v>
                </c:pt>
                <c:pt idx="41">
                  <c:v> (250,67,80,100,8,0.25) </c:v>
                </c:pt>
                <c:pt idx="42">
                  <c:v> (250,67,90,100,8,0.26) </c:v>
                </c:pt>
                <c:pt idx="43">
                  <c:v> (250,67,100,100,8,0.26) </c:v>
                </c:pt>
                <c:pt idx="44">
                  <c:v> (260,81,30,100,19,0.11) </c:v>
                </c:pt>
                <c:pt idx="45">
                  <c:v> (260,63,40,100,10,0.21) </c:v>
                </c:pt>
                <c:pt idx="46">
                  <c:v> (260,60,50,100,8,0.26) </c:v>
                </c:pt>
                <c:pt idx="47">
                  <c:v> (260,58,60,100,7,0.29) </c:v>
                </c:pt>
                <c:pt idx="48">
                  <c:v> (260,57,70,100,7,0.31) </c:v>
                </c:pt>
                <c:pt idx="49">
                  <c:v> (260,56,80,100,6,0.32) </c:v>
                </c:pt>
                <c:pt idx="50">
                  <c:v> (260,55,90,100,6,0.32) </c:v>
                </c:pt>
                <c:pt idx="51">
                  <c:v> (260,55,100,100,6,0.33) </c:v>
                </c:pt>
                <c:pt idx="52">
                  <c:v> (240,99,50,100,52,0.11) </c:v>
                </c:pt>
                <c:pt idx="53">
                  <c:v> (240,91,60,100,36,0.15) </c:v>
                </c:pt>
                <c:pt idx="54">
                  <c:v> (240,85,70,100,31,0.17) </c:v>
                </c:pt>
                <c:pt idx="55">
                  <c:v> (240,81,80,100,29,0.18) </c:v>
                </c:pt>
                <c:pt idx="56">
                  <c:v> (240,79,90,100,28,0.18) </c:v>
                </c:pt>
                <c:pt idx="57">
                  <c:v> (240,79,100,100,28,0.19) </c:v>
                </c:pt>
                <c:pt idx="58">
                  <c:v> (250,84,40,100,41,0.13) </c:v>
                </c:pt>
                <c:pt idx="59">
                  <c:v> (250,71,50,100,27,0.19) </c:v>
                </c:pt>
                <c:pt idx="60">
                  <c:v> (250,69,60,100,23,0.22) </c:v>
                </c:pt>
                <c:pt idx="61">
                  <c:v> (250,68,70,100,21,0.24) </c:v>
                </c:pt>
                <c:pt idx="62">
                  <c:v> (250,67,80,100,20,0.25) </c:v>
                </c:pt>
                <c:pt idx="63">
                  <c:v> (250,67,90,100,19,0.26) </c:v>
                </c:pt>
                <c:pt idx="64">
                  <c:v> (250,67,100,100,19,0.26) </c:v>
                </c:pt>
                <c:pt idx="65">
                  <c:v> (260,81,30,100,53,0.11) </c:v>
                </c:pt>
                <c:pt idx="66">
                  <c:v> (260,63,40,100,24,0.21) </c:v>
                </c:pt>
                <c:pt idx="67">
                  <c:v> (260,60,50,100,19,0.26) </c:v>
                </c:pt>
                <c:pt idx="68">
                  <c:v> (260,58,60,100,17,0.29) </c:v>
                </c:pt>
                <c:pt idx="69">
                  <c:v> (260,57,70,100,16,0.31) </c:v>
                </c:pt>
                <c:pt idx="70">
                  <c:v> (260,56,80,100,15,0.32) </c:v>
                </c:pt>
                <c:pt idx="71">
                  <c:v> (260,55,90,100,15,0.32) </c:v>
                </c:pt>
                <c:pt idx="72">
                  <c:v> (260,55,100,100,15,0.33) </c:v>
                </c:pt>
                <c:pt idx="73">
                  <c:v> (240,91,60,100,81,0.15) </c:v>
                </c:pt>
                <c:pt idx="74">
                  <c:v> (240,85,70,100,62,0.17) </c:v>
                </c:pt>
                <c:pt idx="75">
                  <c:v> (240,81,80,100,57,0.18) </c:v>
                </c:pt>
                <c:pt idx="76">
                  <c:v> (240,79,90,100,54,0.18) </c:v>
                </c:pt>
                <c:pt idx="77">
                  <c:v> (240,79,100,100,53,0.19) </c:v>
                </c:pt>
                <c:pt idx="78">
                  <c:v> (250,84,40,100,106,0.13) </c:v>
                </c:pt>
                <c:pt idx="79">
                  <c:v> (250,71,50,100,50,0.19) </c:v>
                </c:pt>
                <c:pt idx="80">
                  <c:v> (250,69,60,100,40,0.22) </c:v>
                </c:pt>
                <c:pt idx="81">
                  <c:v> (250,68,70,100,36,0.24) </c:v>
                </c:pt>
                <c:pt idx="82">
                  <c:v> (250,67,80,100,35,0.25) </c:v>
                </c:pt>
                <c:pt idx="83">
                  <c:v> (250,67,90,100,34,0.26) </c:v>
                </c:pt>
                <c:pt idx="84">
                  <c:v> (250,67,100,100,33,0.26) </c:v>
                </c:pt>
                <c:pt idx="85">
                  <c:v> (260,63,40,100,43,0.21) </c:v>
                </c:pt>
                <c:pt idx="86">
                  <c:v> (260,60,50,100,33,0.26) </c:v>
                </c:pt>
                <c:pt idx="87">
                  <c:v> (260,58,60,100,29,0.29) </c:v>
                </c:pt>
                <c:pt idx="88">
                  <c:v> (260,57,70,100,27,0.31) </c:v>
                </c:pt>
                <c:pt idx="89">
                  <c:v> (260,56,80,100,26,0.32) </c:v>
                </c:pt>
                <c:pt idx="90">
                  <c:v> (260,55,90,100,25,0.32) </c:v>
                </c:pt>
                <c:pt idx="91">
                  <c:v> (260,55,100,100,25,0.33) </c:v>
                </c:pt>
              </c:strCache>
            </c:strRef>
          </c:cat>
          <c:val>
            <c:numRef>
              <c:f>Overall!$Q$5:$Q$96</c:f>
              <c:numCache>
                <c:formatCode>_(* #,##0.00_);_(* \(#,##0.00\);_(* "-"??_);_(@_)</c:formatCode>
                <c:ptCount val="92"/>
                <c:pt idx="0">
                  <c:v>71.881126765285885</c:v>
                </c:pt>
                <c:pt idx="1">
                  <c:v>71.539962115216099</c:v>
                </c:pt>
                <c:pt idx="2">
                  <c:v>71.755106440223074</c:v>
                </c:pt>
                <c:pt idx="3">
                  <c:v>72.137143457753069</c:v>
                </c:pt>
                <c:pt idx="4">
                  <c:v>72.463549577775396</c:v>
                </c:pt>
                <c:pt idx="5">
                  <c:v>72.901217492813075</c:v>
                </c:pt>
                <c:pt idx="6">
                  <c:v>71.918561970282752</c:v>
                </c:pt>
                <c:pt idx="7">
                  <c:v>71.577397320212967</c:v>
                </c:pt>
                <c:pt idx="8">
                  <c:v>71.625648952696906</c:v>
                </c:pt>
                <c:pt idx="9">
                  <c:v>71.785162380196212</c:v>
                </c:pt>
                <c:pt idx="10">
                  <c:v>72.055937602710856</c:v>
                </c:pt>
                <c:pt idx="11">
                  <c:v>72.437974620240851</c:v>
                </c:pt>
                <c:pt idx="12">
                  <c:v>72.931273432786213</c:v>
                </c:pt>
                <c:pt idx="13">
                  <c:v>73.012984227925472</c:v>
                </c:pt>
                <c:pt idx="14">
                  <c:v>72.00424880776356</c:v>
                </c:pt>
                <c:pt idx="15">
                  <c:v>71.774345952709126</c:v>
                </c:pt>
                <c:pt idx="16">
                  <c:v>72.156382970239122</c:v>
                </c:pt>
                <c:pt idx="17">
                  <c:v>72.5940508852768</c:v>
                </c:pt>
                <c:pt idx="18">
                  <c:v>73.031718800314493</c:v>
                </c:pt>
                <c:pt idx="19">
                  <c:v>73.525017612859841</c:v>
                </c:pt>
                <c:pt idx="20">
                  <c:v>74.018316425405189</c:v>
                </c:pt>
                <c:pt idx="21">
                  <c:v>73.098671065406265</c:v>
                </c:pt>
                <c:pt idx="22">
                  <c:v>72.59061372281343</c:v>
                </c:pt>
                <c:pt idx="23">
                  <c:v>72.917019842835771</c:v>
                </c:pt>
                <c:pt idx="24">
                  <c:v>73.299056860365766</c:v>
                </c:pt>
                <c:pt idx="25">
                  <c:v>73.736724775403445</c:v>
                </c:pt>
                <c:pt idx="26">
                  <c:v>74.174392690441124</c:v>
                </c:pt>
                <c:pt idx="27">
                  <c:v>74.612060605478803</c:v>
                </c:pt>
                <c:pt idx="28">
                  <c:v>75.10535941802415</c:v>
                </c:pt>
                <c:pt idx="29">
                  <c:v>74.186434167447189</c:v>
                </c:pt>
                <c:pt idx="30">
                  <c:v>73.683314112555777</c:v>
                </c:pt>
                <c:pt idx="31">
                  <c:v>73.756685358848785</c:v>
                </c:pt>
                <c:pt idx="32">
                  <c:v>73.864901890780104</c:v>
                </c:pt>
                <c:pt idx="33">
                  <c:v>74.100046924233979</c:v>
                </c:pt>
                <c:pt idx="34">
                  <c:v>74.527167038126578</c:v>
                </c:pt>
                <c:pt idx="35">
                  <c:v>75.037917371844543</c:v>
                </c:pt>
                <c:pt idx="36">
                  <c:v>75.869118117950151</c:v>
                </c:pt>
                <c:pt idx="37">
                  <c:v>74.086566383975224</c:v>
                </c:pt>
                <c:pt idx="38">
                  <c:v>73.902077146517712</c:v>
                </c:pt>
                <c:pt idx="39">
                  <c:v>74.221843963499964</c:v>
                </c:pt>
                <c:pt idx="40">
                  <c:v>74.612181237781598</c:v>
                </c:pt>
                <c:pt idx="41">
                  <c:v>75.100617214412367</c:v>
                </c:pt>
                <c:pt idx="42">
                  <c:v>75.625646065453367</c:v>
                </c:pt>
                <c:pt idx="43">
                  <c:v>76.1395694030209</c:v>
                </c:pt>
                <c:pt idx="44">
                  <c:v>75.231227869236065</c:v>
                </c:pt>
                <c:pt idx="45">
                  <c:v>74.701025603943123</c:v>
                </c:pt>
                <c:pt idx="46">
                  <c:v>75.026638473003075</c:v>
                </c:pt>
                <c:pt idx="47">
                  <c:v>75.377342077518605</c:v>
                </c:pt>
                <c:pt idx="48">
                  <c:v>75.897838613879344</c:v>
                </c:pt>
                <c:pt idx="49">
                  <c:v>76.180756487003791</c:v>
                </c:pt>
                <c:pt idx="50">
                  <c:v>76.641032054469633</c:v>
                </c:pt>
                <c:pt idx="51">
                  <c:v>77.145436380488462</c:v>
                </c:pt>
                <c:pt idx="52">
                  <c:v>76.0904233811426</c:v>
                </c:pt>
                <c:pt idx="53">
                  <c:v>75.784029365187834</c:v>
                </c:pt>
                <c:pt idx="54">
                  <c:v>75.831599786750104</c:v>
                </c:pt>
                <c:pt idx="55">
                  <c:v>76.080050193265905</c:v>
                </c:pt>
                <c:pt idx="56">
                  <c:v>76.458834166178931</c:v>
                </c:pt>
                <c:pt idx="57">
                  <c:v>76.99499662544207</c:v>
                </c:pt>
                <c:pt idx="58">
                  <c:v>76.250716565667048</c:v>
                </c:pt>
                <c:pt idx="59">
                  <c:v>75.768543289825729</c:v>
                </c:pt>
                <c:pt idx="60">
                  <c:v>76.1318274619167</c:v>
                </c:pt>
                <c:pt idx="61">
                  <c:v>76.538113064178873</c:v>
                </c:pt>
                <c:pt idx="62">
                  <c:v>76.944653807195323</c:v>
                </c:pt>
                <c:pt idx="63">
                  <c:v>77.350949622533761</c:v>
                </c:pt>
                <c:pt idx="64">
                  <c:v>77.891513259808093</c:v>
                </c:pt>
                <c:pt idx="65">
                  <c:v>77.55282339728754</c:v>
                </c:pt>
                <c:pt idx="66">
                  <c:v>76.471911276164477</c:v>
                </c:pt>
                <c:pt idx="67">
                  <c:v>76.763554468417198</c:v>
                </c:pt>
                <c:pt idx="68">
                  <c:v>77.142721152461633</c:v>
                </c:pt>
                <c:pt idx="69">
                  <c:v>77.579240934105087</c:v>
                </c:pt>
                <c:pt idx="70">
                  <c:v>77.936475726358367</c:v>
                </c:pt>
                <c:pt idx="71">
                  <c:v>78.428679977621783</c:v>
                </c:pt>
                <c:pt idx="72">
                  <c:v>78.94876856936574</c:v>
                </c:pt>
                <c:pt idx="73">
                  <c:v>79.782818625920243</c:v>
                </c:pt>
                <c:pt idx="74">
                  <c:v>78.897060885896167</c:v>
                </c:pt>
                <c:pt idx="75">
                  <c:v>79.01484709042407</c:v>
                </c:pt>
                <c:pt idx="76">
                  <c:v>79.27305343115178</c:v>
                </c:pt>
                <c:pt idx="77">
                  <c:v>79.730857807276408</c:v>
                </c:pt>
                <c:pt idx="78">
                  <c:v>81.49359788328718</c:v>
                </c:pt>
                <c:pt idx="79">
                  <c:v>78.317472258849222</c:v>
                </c:pt>
                <c:pt idx="80">
                  <c:v>78.311961703674569</c:v>
                </c:pt>
                <c:pt idx="81">
                  <c:v>78.619708908624588</c:v>
                </c:pt>
                <c:pt idx="82">
                  <c:v>79.115939567982096</c:v>
                </c:pt>
                <c:pt idx="83">
                  <c:v>79.580695194220311</c:v>
                </c:pt>
                <c:pt idx="84">
                  <c:v>79.995438728933308</c:v>
                </c:pt>
                <c:pt idx="85">
                  <c:v>78.748530044782655</c:v>
                </c:pt>
                <c:pt idx="86">
                  <c:v>78.849481902271251</c:v>
                </c:pt>
                <c:pt idx="87">
                  <c:v>79.13340171687048</c:v>
                </c:pt>
                <c:pt idx="88">
                  <c:v>79.513798712830692</c:v>
                </c:pt>
                <c:pt idx="89">
                  <c:v>79.955096041644495</c:v>
                </c:pt>
                <c:pt idx="90">
                  <c:v>80.28474276022672</c:v>
                </c:pt>
                <c:pt idx="91">
                  <c:v>80.821102414183684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F-A043-8D34-1248352185F6}"/>
            </c:ext>
          </c:extLst>
        </c:ser>
        <c:ser>
          <c:idx val="1"/>
          <c:order val="1"/>
          <c:tx>
            <c:v>Discount Rate = 10%</c:v>
          </c:tx>
          <c:spPr>
            <a:ln w="34925">
              <a:solidFill>
                <a:schemeClr val="tx1"/>
              </a:solidFill>
            </a:ln>
          </c:spPr>
          <c:marker>
            <c:symbol val="square"/>
            <c:size val="8"/>
            <c:spPr>
              <a:solidFill>
                <a:srgbClr val="00B050"/>
              </a:solidFill>
              <a:ln w="38100">
                <a:solidFill>
                  <a:schemeClr val="accent1"/>
                </a:solidFill>
              </a:ln>
            </c:spPr>
          </c:marker>
          <c:val>
            <c:numRef>
              <c:f>Overall!$Q$97:$Q$188</c:f>
              <c:numCache>
                <c:formatCode>_(* #,##0.00_);_(* \(#,##0.00\);_(* "-"??_);_(@_)</c:formatCode>
                <c:ptCount val="92"/>
                <c:pt idx="0">
                  <c:v>79.410648410684217</c:v>
                </c:pt>
                <c:pt idx="1">
                  <c:v>78.894630686337379</c:v>
                </c:pt>
                <c:pt idx="2">
                  <c:v>79.220040382135366</c:v>
                </c:pt>
                <c:pt idx="3">
                  <c:v>79.797878303976788</c:v>
                </c:pt>
                <c:pt idx="4">
                  <c:v>80.291573483803731</c:v>
                </c:pt>
                <c:pt idx="5">
                  <c:v>80.953554147659631</c:v>
                </c:pt>
                <c:pt idx="6">
                  <c:v>78.567998443206321</c:v>
                </c:pt>
                <c:pt idx="7">
                  <c:v>78.051980718859483</c:v>
                </c:pt>
                <c:pt idx="8">
                  <c:v>78.12496218861402</c:v>
                </c:pt>
                <c:pt idx="9">
                  <c:v>78.366229142397515</c:v>
                </c:pt>
                <c:pt idx="10">
                  <c:v>78.77578158020998</c:v>
                </c:pt>
                <c:pt idx="11">
                  <c:v>79.353619502051416</c:v>
                </c:pt>
                <c:pt idx="12">
                  <c:v>80.099742907921794</c:v>
                </c:pt>
                <c:pt idx="13">
                  <c:v>79.324060574003582</c:v>
                </c:pt>
                <c:pt idx="14">
                  <c:v>77.798329945482962</c:v>
                </c:pt>
                <c:pt idx="15">
                  <c:v>77.450597705165094</c:v>
                </c:pt>
                <c:pt idx="16">
                  <c:v>78.028435627006516</c:v>
                </c:pt>
                <c:pt idx="17">
                  <c:v>78.690416290862416</c:v>
                </c:pt>
                <c:pt idx="18">
                  <c:v>79.35239695471833</c:v>
                </c:pt>
                <c:pt idx="19">
                  <c:v>80.098520360588722</c:v>
                </c:pt>
                <c:pt idx="20">
                  <c:v>80.844643766459114</c:v>
                </c:pt>
                <c:pt idx="21">
                  <c:v>78.554392076280195</c:v>
                </c:pt>
                <c:pt idx="22">
                  <c:v>77.785946125889922</c:v>
                </c:pt>
                <c:pt idx="23">
                  <c:v>78.279641305716865</c:v>
                </c:pt>
                <c:pt idx="24">
                  <c:v>78.857479227558287</c:v>
                </c:pt>
                <c:pt idx="25">
                  <c:v>79.519459891414201</c:v>
                </c:pt>
                <c:pt idx="26">
                  <c:v>80.1814405552701</c:v>
                </c:pt>
                <c:pt idx="27">
                  <c:v>80.843421219126014</c:v>
                </c:pt>
                <c:pt idx="28">
                  <c:v>81.589544624996407</c:v>
                </c:pt>
                <c:pt idx="29">
                  <c:v>81.401379050370693</c:v>
                </c:pt>
                <c:pt idx="30">
                  <c:v>80.663276782911296</c:v>
                </c:pt>
                <c:pt idx="31">
                  <c:v>80.77070401853635</c:v>
                </c:pt>
                <c:pt idx="32">
                  <c:v>80.941629092542158</c:v>
                </c:pt>
                <c:pt idx="33">
                  <c:v>81.302322930869849</c:v>
                </c:pt>
                <c:pt idx="34">
                  <c:v>81.941981937773647</c:v>
                </c:pt>
                <c:pt idx="35">
                  <c:v>82.712036086248801</c:v>
                </c:pt>
                <c:pt idx="36">
                  <c:v>82.964106629804149</c:v>
                </c:pt>
                <c:pt idx="37">
                  <c:v>80.377265118966946</c:v>
                </c:pt>
                <c:pt idx="38">
                  <c:v>80.091807197472875</c:v>
                </c:pt>
                <c:pt idx="39">
                  <c:v>80.584255878656336</c:v>
                </c:pt>
                <c:pt idx="40">
                  <c:v>81.181333467871994</c:v>
                </c:pt>
                <c:pt idx="41">
                  <c:v>81.912930837487266</c:v>
                </c:pt>
                <c:pt idx="42">
                  <c:v>82.702564684457258</c:v>
                </c:pt>
                <c:pt idx="43">
                  <c:v>83.476969877042393</c:v>
                </c:pt>
                <c:pt idx="44">
                  <c:v>81.202218781505209</c:v>
                </c:pt>
                <c:pt idx="45">
                  <c:v>80.403406169097508</c:v>
                </c:pt>
                <c:pt idx="46">
                  <c:v>80.89601358789696</c:v>
                </c:pt>
                <c:pt idx="47">
                  <c:v>81.430884949152528</c:v>
                </c:pt>
                <c:pt idx="48">
                  <c:v>82.206445993628861</c:v>
                </c:pt>
                <c:pt idx="49">
                  <c:v>82.656222610371898</c:v>
                </c:pt>
                <c:pt idx="50">
                  <c:v>83.349204463511285</c:v>
                </c:pt>
                <c:pt idx="51">
                  <c:v>84.110556523766533</c:v>
                </c:pt>
                <c:pt idx="52">
                  <c:v>84.162947482526818</c:v>
                </c:pt>
                <c:pt idx="53">
                  <c:v>83.731933009544278</c:v>
                </c:pt>
                <c:pt idx="54">
                  <c:v>83.814114913057352</c:v>
                </c:pt>
                <c:pt idx="55">
                  <c:v>84.191940987568017</c:v>
                </c:pt>
                <c:pt idx="56">
                  <c:v>84.76515592504262</c:v>
                </c:pt>
                <c:pt idx="57">
                  <c:v>85.572193948452437</c:v>
                </c:pt>
                <c:pt idx="58">
                  <c:v>83.53048393132687</c:v>
                </c:pt>
                <c:pt idx="59">
                  <c:v>82.824243785698727</c:v>
                </c:pt>
                <c:pt idx="60">
                  <c:v>83.375431562366643</c:v>
                </c:pt>
                <c:pt idx="61">
                  <c:v>83.992814024095452</c:v>
                </c:pt>
                <c:pt idx="62">
                  <c:v>84.610559072833425</c:v>
                </c:pt>
                <c:pt idx="63">
                  <c:v>85.23304030857912</c:v>
                </c:pt>
                <c:pt idx="64">
                  <c:v>86.046332957897022</c:v>
                </c:pt>
                <c:pt idx="65">
                  <c:v>84.581691887583091</c:v>
                </c:pt>
                <c:pt idx="66">
                  <c:v>82.999147454868762</c:v>
                </c:pt>
                <c:pt idx="67">
                  <c:v>83.4434401546972</c:v>
                </c:pt>
                <c:pt idx="68">
                  <c:v>84.017198972685534</c:v>
                </c:pt>
                <c:pt idx="69">
                  <c:v>84.677547995000211</c:v>
                </c:pt>
                <c:pt idx="70">
                  <c:v>85.225223104217363</c:v>
                </c:pt>
                <c:pt idx="71">
                  <c:v>85.964706741281944</c:v>
                </c:pt>
                <c:pt idx="72">
                  <c:v>86.748901783114491</c:v>
                </c:pt>
                <c:pt idx="73">
                  <c:v>89.816861241012063</c:v>
                </c:pt>
                <c:pt idx="74">
                  <c:v>88.517858579869568</c:v>
                </c:pt>
                <c:pt idx="75">
                  <c:v>88.701972544734716</c:v>
                </c:pt>
                <c:pt idx="76">
                  <c:v>89.097338554214687</c:v>
                </c:pt>
                <c:pt idx="77">
                  <c:v>89.791158784013248</c:v>
                </c:pt>
                <c:pt idx="78">
                  <c:v>91.453275065491468</c:v>
                </c:pt>
                <c:pt idx="79">
                  <c:v>86.764107270956018</c:v>
                </c:pt>
                <c:pt idx="80">
                  <c:v>86.770870653365151</c:v>
                </c:pt>
                <c:pt idx="81">
                  <c:v>87.241405376382787</c:v>
                </c:pt>
                <c:pt idx="82">
                  <c:v>87.989681748419585</c:v>
                </c:pt>
                <c:pt idx="83">
                  <c:v>88.69374506122702</c:v>
                </c:pt>
                <c:pt idx="84">
                  <c:v>89.324112564422009</c:v>
                </c:pt>
                <c:pt idx="85">
                  <c:v>86.531825728835599</c:v>
                </c:pt>
                <c:pt idx="86">
                  <c:v>86.693300561516608</c:v>
                </c:pt>
                <c:pt idx="87">
                  <c:v>87.126556913454138</c:v>
                </c:pt>
                <c:pt idx="88">
                  <c:v>87.704145450927285</c:v>
                </c:pt>
                <c:pt idx="89">
                  <c:v>88.371474273168346</c:v>
                </c:pt>
                <c:pt idx="90">
                  <c:v>88.874279240001542</c:v>
                </c:pt>
                <c:pt idx="91">
                  <c:v>89.68385537247552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475712"/>
        <c:axId val="385857152"/>
      </c:lineChart>
      <c:catAx>
        <c:axId val="38347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85857152"/>
        <c:crosses val="autoZero"/>
        <c:auto val="1"/>
        <c:lblAlgn val="ctr"/>
        <c:lblOffset val="100"/>
        <c:noMultiLvlLbl val="0"/>
      </c:catAx>
      <c:valAx>
        <c:axId val="385857152"/>
        <c:scaling>
          <c:orientation val="minMax"/>
          <c:max val="92"/>
          <c:min val="7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347571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5.7403556359444427E-2"/>
          <c:y val="0.12350995234252761"/>
          <c:w val="8.7724657191212405E-2"/>
          <c:h val="6.3258580012863649E-2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DAC Capacity</a:t>
            </a:r>
            <a:r>
              <a:rPr lang="en-GB" baseline="0"/>
              <a:t> and Capacity Factor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DAC Capacity (43)</c:v>
          </c:tx>
          <c:marker>
            <c:symbol val="diamond"/>
            <c:size val="10"/>
          </c:marker>
          <c:cat>
            <c:numRef>
              <c:f>'DAC Capacity 43_101_162'!$B$1:$B$6</c:f>
              <c:numCache>
                <c:formatCode>0</c:formatCode>
                <c:ptCount val="6"/>
                <c:pt idx="0">
                  <c:v>230</c:v>
                </c:pt>
                <c:pt idx="1">
                  <c:v>240</c:v>
                </c:pt>
                <c:pt idx="2">
                  <c:v>250</c:v>
                </c:pt>
                <c:pt idx="3">
                  <c:v>260</c:v>
                </c:pt>
                <c:pt idx="4">
                  <c:v>270</c:v>
                </c:pt>
                <c:pt idx="5">
                  <c:v>280</c:v>
                </c:pt>
              </c:numCache>
            </c:numRef>
          </c:cat>
          <c:val>
            <c:numRef>
              <c:f>'DAC Capacity 43_101_162'!$M$1:$M$6</c:f>
              <c:numCache>
                <c:formatCode>0</c:formatCode>
                <c:ptCount val="6"/>
                <c:pt idx="0">
                  <c:v>31</c:v>
                </c:pt>
                <c:pt idx="1">
                  <c:v>14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v>DAC Capacity (101)</c:v>
          </c:tx>
          <c:spPr>
            <a:ln>
              <a:solidFill>
                <a:srgbClr val="00B050"/>
              </a:solidFill>
            </a:ln>
          </c:spPr>
          <c:marker>
            <c:symbol val="triangle"/>
            <c:size val="8"/>
            <c:spPr>
              <a:solidFill>
                <a:srgbClr val="00B050"/>
              </a:solidFill>
            </c:spPr>
          </c:marker>
          <c:val>
            <c:numRef>
              <c:f>'DAC Capacity 43_101_162'!$M$7:$M$12</c:f>
              <c:numCache>
                <c:formatCode>0</c:formatCode>
                <c:ptCount val="6"/>
                <c:pt idx="1">
                  <c:v>36</c:v>
                </c:pt>
                <c:pt idx="2">
                  <c:v>23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</c:numCache>
            </c:numRef>
          </c:val>
          <c:smooth val="0"/>
        </c:ser>
        <c:ser>
          <c:idx val="4"/>
          <c:order val="2"/>
          <c:tx>
            <c:v>DAC Capacity (162)</c:v>
          </c:tx>
          <c:spPr>
            <a:ln>
              <a:solidFill>
                <a:srgbClr val="7030A0"/>
              </a:solidFill>
            </a:ln>
          </c:spPr>
          <c:marker>
            <c:symbol val="circle"/>
            <c:size val="8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val>
            <c:numRef>
              <c:f>'DAC Capacity 43_101_162'!$M$13:$M$18</c:f>
              <c:numCache>
                <c:formatCode>0</c:formatCode>
                <c:ptCount val="6"/>
                <c:pt idx="1">
                  <c:v>81</c:v>
                </c:pt>
                <c:pt idx="2">
                  <c:v>40</c:v>
                </c:pt>
                <c:pt idx="3">
                  <c:v>29</c:v>
                </c:pt>
                <c:pt idx="4">
                  <c:v>23</c:v>
                </c:pt>
                <c:pt idx="5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42464"/>
        <c:axId val="385858880"/>
      </c:lineChart>
      <c:lineChart>
        <c:grouping val="standard"/>
        <c:varyColors val="0"/>
        <c:ser>
          <c:idx val="1"/>
          <c:order val="3"/>
          <c:tx>
            <c:v>Capacity Factor</c:v>
          </c:tx>
          <c:marker>
            <c:symbol val="square"/>
            <c:size val="8"/>
          </c:marker>
          <c:val>
            <c:numRef>
              <c:f>'DAC Capacity 43_101_162'!$L$1:$L$6</c:f>
              <c:numCache>
                <c:formatCode>0</c:formatCode>
                <c:ptCount val="6"/>
                <c:pt idx="0">
                  <c:v>7.08</c:v>
                </c:pt>
                <c:pt idx="1">
                  <c:v>14.98</c:v>
                </c:pt>
                <c:pt idx="2">
                  <c:v>22.2</c:v>
                </c:pt>
                <c:pt idx="3">
                  <c:v>28.82</c:v>
                </c:pt>
                <c:pt idx="4">
                  <c:v>34.85</c:v>
                </c:pt>
                <c:pt idx="5">
                  <c:v>40.44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43488"/>
        <c:axId val="386400256"/>
      </c:lineChart>
      <c:catAx>
        <c:axId val="38694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Renewable Capacity [GW]</a:t>
                </a:r>
                <a:endParaRPr lang="en-GB" sz="1000">
                  <a:effectLst/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 rot="-4620000"/>
          <a:lstStyle/>
          <a:p>
            <a:pPr>
              <a:defRPr/>
            </a:pPr>
            <a:endParaRPr lang="en-US"/>
          </a:p>
        </c:txPr>
        <c:crossAx val="385858880"/>
        <c:crosses val="autoZero"/>
        <c:auto val="1"/>
        <c:lblAlgn val="ctr"/>
        <c:lblOffset val="100"/>
        <c:noMultiLvlLbl val="0"/>
      </c:catAx>
      <c:valAx>
        <c:axId val="385858880"/>
        <c:scaling>
          <c:orientation val="minMax"/>
          <c:max val="1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 i="0"/>
                  <a:t>Capacity</a:t>
                </a:r>
                <a:r>
                  <a:rPr lang="en-GB" b="0" i="0" baseline="0"/>
                  <a:t> (GW)</a:t>
                </a:r>
                <a:endParaRPr lang="en-GB" b="0" i="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86942464"/>
        <c:crosses val="autoZero"/>
        <c:crossBetween val="between"/>
      </c:valAx>
      <c:valAx>
        <c:axId val="386400256"/>
        <c:scaling>
          <c:orientation val="minMax"/>
          <c:max val="5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GB" b="0"/>
                  <a:t>Capacity</a:t>
                </a:r>
                <a:r>
                  <a:rPr lang="en-GB" b="0" baseline="0"/>
                  <a:t>  Factor</a:t>
                </a:r>
                <a:endParaRPr lang="en-GB" b="0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386943488"/>
        <c:crosses val="max"/>
        <c:crossBetween val="between"/>
      </c:valAx>
      <c:catAx>
        <c:axId val="386943488"/>
        <c:scaling>
          <c:orientation val="minMax"/>
        </c:scaling>
        <c:delete val="1"/>
        <c:axPos val="b"/>
        <c:majorTickMark val="out"/>
        <c:minorTickMark val="none"/>
        <c:tickLblPos val="nextTo"/>
        <c:crossAx val="386400256"/>
        <c:crosses val="autoZero"/>
        <c:auto val="1"/>
        <c:lblAlgn val="ctr"/>
        <c:lblOffset val="100"/>
        <c:noMultiLvlLbl val="0"/>
      </c:cat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by Components</a:t>
            </a:r>
            <a:endParaRPr lang="en-GB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43_101_162'!$K$47:$K$54</c:f>
              <c:numCache>
                <c:formatCode>0.0_ </c:formatCode>
                <c:ptCount val="8"/>
                <c:pt idx="0" formatCode="0.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3.8524645164669762</c:v>
                </c:pt>
                <c:pt idx="5">
                  <c:v>3.717312990995091</c:v>
                </c:pt>
                <c:pt idx="6">
                  <c:v>3.5850379503898764</c:v>
                </c:pt>
                <c:pt idx="7">
                  <c:v>3.5850379503898764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43_101_162'!$F$47:$F$54</c:f>
              <c:numCache>
                <c:formatCode>_(* #,##0.0_);_(* \(#,##0.0\);_(* "-"??_);_(@_)</c:formatCode>
                <c:ptCount val="8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12.360421353028176</c:v>
                </c:pt>
                <c:pt idx="5">
                  <c:v>11.926795087504766</c:v>
                </c:pt>
                <c:pt idx="6">
                  <c:v>11.502397866094725</c:v>
                </c:pt>
                <c:pt idx="7">
                  <c:v>11.502397866094725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43_101_162'!$G$47:$G$54</c:f>
              <c:numCache>
                <c:formatCode>_(* #,##0.0_);_(* \(#,##0.0\);_(* "-"??_);_(@_)</c:formatCode>
                <c:ptCount val="8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43.86534406777713</c:v>
                </c:pt>
                <c:pt idx="4">
                  <c:v>47.317110826643422</c:v>
                </c:pt>
                <c:pt idx="5">
                  <c:v>60.332648942318421</c:v>
                </c:pt>
                <c:pt idx="6">
                  <c:v>72.339104667349574</c:v>
                </c:pt>
                <c:pt idx="7">
                  <c:v>56.613212348360541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dLbl>
              <c:idx val="6"/>
              <c:layout>
                <c:manualLayout>
                  <c:x val="0"/>
                  <c:y val="1.85108744828615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5.55326234485846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43_101_162'!$I$47:$I$54</c:f>
              <c:numCache>
                <c:formatCode>_(* #,##0.0_);_(* \(#,##0.0\);_(* "-"??_);_(@_)</c:formatCode>
                <c:ptCount val="8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3.8385319280296546</c:v>
                </c:pt>
                <c:pt idx="4">
                  <c:v>2.2503186160091024</c:v>
                </c:pt>
                <c:pt idx="5">
                  <c:v>1.7577783930510089</c:v>
                </c:pt>
                <c:pt idx="6">
                  <c:v>1.4957915908445147</c:v>
                </c:pt>
                <c:pt idx="7">
                  <c:v>1.7450901893186006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43_101_162'!$H$47:$H$54</c:f>
              <c:numCache>
                <c:formatCode>_(* #,##0.0_);_(* \(#,##0.0\);_(* "-"??_);_(@_)</c:formatCode>
                <c:ptCount val="8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2.9597928752721221</c:v>
                </c:pt>
                <c:pt idx="4">
                  <c:v>2.8506242570194043</c:v>
                </c:pt>
                <c:pt idx="5">
                  <c:v>1.8337460843172952</c:v>
                </c:pt>
                <c:pt idx="6">
                  <c:v>2.2106187048216932</c:v>
                </c:pt>
                <c:pt idx="7">
                  <c:v>1.7684949638573544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dLbl>
              <c:idx val="1"/>
              <c:layout>
                <c:manualLayout>
                  <c:x val="0"/>
                  <c:y val="5.553262344858398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43_101_162'!$J$47:$J$54</c:f>
              <c:numCache>
                <c:formatCode>_(* #,##0.0_);_(* \(#,##0.0\);_(* "-"??_);_(@_)</c:formatCode>
                <c:ptCount val="8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4.4870937379009144</c:v>
                </c:pt>
                <c:pt idx="5">
                  <c:v>4.3296782546380586</c:v>
                </c:pt>
                <c:pt idx="6">
                  <c:v>4.1756131091076423</c:v>
                </c:pt>
                <c:pt idx="7">
                  <c:v>4.1756131091076423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-7.879482997339822E-3"/>
                  <c:y val="-6.7872422369144038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43_101_162'!$O$47:$O$54</c:f>
              <c:numCache>
                <c:formatCode>0.0</c:formatCode>
                <c:ptCount val="8"/>
                <c:pt idx="0" formatCode="General">
                  <c:v>0</c:v>
                </c:pt>
                <c:pt idx="1">
                  <c:v>0.74469814087879027</c:v>
                </c:pt>
                <c:pt idx="2">
                  <c:v>0.71857276338974674</c:v>
                </c:pt>
                <c:pt idx="3">
                  <c:v>0.69300342293188655</c:v>
                </c:pt>
                <c:pt idx="4">
                  <c:v>5.5904146014630776</c:v>
                </c:pt>
                <c:pt idx="5">
                  <c:v>4.3917597561181276</c:v>
                </c:pt>
                <c:pt idx="6">
                  <c:v>3.5836390578944357</c:v>
                </c:pt>
                <c:pt idx="7">
                  <c:v>2.6088428438793594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1.8759451404956023E-2"/>
                  <c:y val="-1.815814758326686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7589659946796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43_101_162'!$R$47:$R$54</c:f>
              <c:strCache>
                <c:ptCount val="8"/>
                <c:pt idx="0">
                  <c:v> (230,121,60,0,0) </c:v>
                </c:pt>
                <c:pt idx="1">
                  <c:v> (240,99,50,18,0.11) </c:v>
                </c:pt>
                <c:pt idx="2">
                  <c:v> (250,71,50,27,0.19) </c:v>
                </c:pt>
                <c:pt idx="3">
                  <c:v> (250,69,60,40,0.22) </c:v>
                </c:pt>
                <c:pt idx="4">
                  <c:v> (280,42,60,70,0.4) </c:v>
                </c:pt>
                <c:pt idx="5">
                  <c:v> (370,34,40,99,0.69) </c:v>
                </c:pt>
                <c:pt idx="6">
                  <c:v> (460,30,50,128,0.86) </c:v>
                </c:pt>
                <c:pt idx="7">
                  <c:v> (360,35,40,86,0.67) </c:v>
                </c:pt>
              </c:strCache>
            </c:strRef>
          </c:cat>
          <c:val>
            <c:numRef>
              <c:f>'DAC Capacity 43_101_162'!$N$47:$N$54</c:f>
              <c:numCache>
                <c:formatCode>_(* #,##0.00_);_(* \(#,##0.00\);_(* "-"??_);_(@_)</c:formatCode>
                <c:ptCount val="8"/>
                <c:pt idx="0" formatCode="General">
                  <c:v>0</c:v>
                </c:pt>
                <c:pt idx="1">
                  <c:v>1.3612186514640137</c:v>
                </c:pt>
                <c:pt idx="2">
                  <c:v>3.2756245737268643</c:v>
                </c:pt>
                <c:pt idx="3">
                  <c:v>5.4625753105035653</c:v>
                </c:pt>
                <c:pt idx="4">
                  <c:v>14.049501329393737</c:v>
                </c:pt>
                <c:pt idx="5">
                  <c:v>26.714701367905981</c:v>
                </c:pt>
                <c:pt idx="6">
                  <c:v>34.932364089322398</c:v>
                </c:pt>
                <c:pt idx="7">
                  <c:v>24.121233562822198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339328"/>
        <c:axId val="38640256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'DAC Capacity 43_101_162'!$P$47:$P$54</c:f>
              <c:numCache>
                <c:formatCode>_(* #,##0.00_);_(* \(#,##0.00\);_(* "-"??_);_(@_)</c:formatCode>
                <c:ptCount val="8"/>
                <c:pt idx="0">
                  <c:v>71.539962115216099</c:v>
                </c:pt>
                <c:pt idx="1">
                  <c:v>73.683314112555777</c:v>
                </c:pt>
                <c:pt idx="2">
                  <c:v>75.768543289825729</c:v>
                </c:pt>
                <c:pt idx="3">
                  <c:v>78.311961703674569</c:v>
                </c:pt>
                <c:pt idx="4">
                  <c:v>92.757949237924819</c:v>
                </c:pt>
                <c:pt idx="5">
                  <c:v>115.00442087684876</c:v>
                </c:pt>
                <c:pt idx="6">
                  <c:v>133.82456703582486</c:v>
                </c:pt>
                <c:pt idx="7">
                  <c:v>106.1199228338303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39328"/>
        <c:axId val="386402560"/>
      </c:lineChart>
      <c:catAx>
        <c:axId val="38633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6402560"/>
        <c:crosses val="autoZero"/>
        <c:auto val="1"/>
        <c:lblAlgn val="ctr"/>
        <c:lblOffset val="100"/>
        <c:noMultiLvlLbl val="0"/>
      </c:catAx>
      <c:valAx>
        <c:axId val="386402560"/>
        <c:scaling>
          <c:orientation val="minMax"/>
          <c:max val="1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6339328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by Components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43_101_162'!$K$91:$K$92</c:f>
              <c:numCache>
                <c:formatCode>0.0_ </c:formatCode>
                <c:ptCount val="2"/>
                <c:pt idx="0">
                  <c:v>3.717312990995091</c:v>
                </c:pt>
                <c:pt idx="1">
                  <c:v>3.717312990995091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43_101_162'!$F$91:$F$92</c:f>
              <c:numCache>
                <c:formatCode>_(* #,##0.0_);_(* \(#,##0.0\);_(* "-"??_);_(@_)</c:formatCode>
                <c:ptCount val="2"/>
                <c:pt idx="0">
                  <c:v>11.926795087504766</c:v>
                </c:pt>
                <c:pt idx="1">
                  <c:v>11.926795087504766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43_101_162'!$G$91:$G$92</c:f>
              <c:numCache>
                <c:formatCode>_(* #,##0.0_);_(* \(#,##0.0\);_(* "-"??_);_(@_)</c:formatCode>
                <c:ptCount val="2"/>
                <c:pt idx="0">
                  <c:v>55.440812541589899</c:v>
                </c:pt>
                <c:pt idx="1">
                  <c:v>60.332648942318421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dLbl>
              <c:idx val="6"/>
              <c:layout>
                <c:manualLayout>
                  <c:x val="0"/>
                  <c:y val="1.85108744828615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0"/>
                  <c:y val="5.553262344858466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43_101_162'!$I$91:$I$92</c:f>
              <c:numCache>
                <c:formatCode>_(* #,##0.0_);_(* \(#,##0.0\);_(* "-"??_);_(@_)</c:formatCode>
                <c:ptCount val="2"/>
                <c:pt idx="0">
                  <c:v>1.9128764865555095</c:v>
                </c:pt>
                <c:pt idx="1">
                  <c:v>1.7577783930510089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43_101_162'!$H$91:$H$92</c:f>
              <c:numCache>
                <c:formatCode>_(* #,##0.0_);_(* \(#,##0.0\);_(* "-"??_);_(@_)</c:formatCode>
                <c:ptCount val="2"/>
                <c:pt idx="0">
                  <c:v>2.7506191264759434</c:v>
                </c:pt>
                <c:pt idx="1">
                  <c:v>1.8337460843172952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dLbl>
              <c:idx val="1"/>
              <c:layout>
                <c:manualLayout>
                  <c:x val="-1.0033049814092327E-3"/>
                  <c:y val="-2.8726760679107871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43_101_162'!$J$91:$J$92</c:f>
              <c:numCache>
                <c:formatCode>_(* #,##0.0_);_(* \(#,##0.0\);_(* "-"??_);_(@_)</c:formatCode>
                <c:ptCount val="2"/>
                <c:pt idx="0">
                  <c:v>4.3296782546380586</c:v>
                </c:pt>
                <c:pt idx="1">
                  <c:v>4.3296782546380586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1.9576746010813917E-3"/>
                  <c:y val="-1.720699295743290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43_101_162'!$O$91:$O$92</c:f>
              <c:numCache>
                <c:formatCode>0.0</c:formatCode>
                <c:ptCount val="2"/>
                <c:pt idx="0">
                  <c:v>4.3917597561181276</c:v>
                </c:pt>
                <c:pt idx="1">
                  <c:v>4.3917597561181276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delete val="1"/>
            </c:dLbl>
            <c:dLbl>
              <c:idx val="1"/>
              <c:layout>
                <c:manualLayout>
                  <c:x val="2.036294515621932E-3"/>
                  <c:y val="-1.8158083074006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575896599467964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43_101_162'!$N$91:$N$92</c:f>
              <c:numCache>
                <c:formatCode>_(* #,##0.00_);_(* \(#,##0.00\);_(* "-"??_);_(@_)</c:formatCode>
                <c:ptCount val="2"/>
                <c:pt idx="0">
                  <c:v>37.546768679853677</c:v>
                </c:pt>
                <c:pt idx="1">
                  <c:v>26.714701367905981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6341888"/>
        <c:axId val="38640486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dLbl>
              <c:idx val="0"/>
              <c:layout>
                <c:manualLayout>
                  <c:x val="-3.7656563964840122E-2"/>
                  <c:y val="-1.09069715893256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3110747094859326E-2"/>
                  <c:y val="-1.86941617840881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ln w="9525">
                <a:solidFill>
                  <a:schemeClr val="tx1"/>
                </a:solidFill>
              </a:ln>
            </c:spPr>
            <c:txPr>
              <a:bodyPr rot="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'DAC Capacity 43_101_162'!$R$91:$R$92</c:f>
              <c:strCache>
                <c:ptCount val="2"/>
                <c:pt idx="0">
                  <c:v> (340,37,60,100,150,0.64) </c:v>
                </c:pt>
                <c:pt idx="1">
                  <c:v> (370,34,40,100,99,0.69) </c:v>
                </c:pt>
              </c:strCache>
            </c:strRef>
          </c:cat>
          <c:val>
            <c:numRef>
              <c:f>'DAC Capacity 43_101_162'!$P$91:$P$92</c:f>
              <c:numCache>
                <c:formatCode>_(* #,##0.00_);_(* \(#,##0.00\);_(* "-"??_);_(@_)</c:formatCode>
                <c:ptCount val="2"/>
                <c:pt idx="0">
                  <c:v>122.01662292373108</c:v>
                </c:pt>
                <c:pt idx="1">
                  <c:v>115.00442087684876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341888"/>
        <c:axId val="386404864"/>
      </c:lineChart>
      <c:catAx>
        <c:axId val="3863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6404864"/>
        <c:crosses val="autoZero"/>
        <c:auto val="1"/>
        <c:lblAlgn val="ctr"/>
        <c:lblOffset val="100"/>
        <c:noMultiLvlLbl val="0"/>
      </c:catAx>
      <c:valAx>
        <c:axId val="386404864"/>
        <c:scaling>
          <c:orientation val="minMax"/>
          <c:max val="12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8634188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Price Trend: No DAC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rgbClr val="FF7128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C8-814E-82BE-3CE1D4B1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411200"/>
        <c:axId val="351010112"/>
      </c:lineChart>
      <c:catAx>
        <c:axId val="35141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(Renewable Capacity [GW], Storage Capacity [TWh], Catalyser Capacity [GW])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010112"/>
        <c:crosses val="autoZero"/>
        <c:auto val="1"/>
        <c:lblAlgn val="ctr"/>
        <c:lblOffset val="100"/>
        <c:noMultiLvlLbl val="0"/>
      </c:catAx>
      <c:valAx>
        <c:axId val="351010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411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 sz="1800" b="1" i="0" baseline="0">
                <a:effectLst/>
              </a:rPr>
              <a:t>Electricity Price in components: No DAC</a:t>
            </a:r>
            <a:endParaRPr lang="en-GB"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DAC'!$L$5:$L$68</c:f>
              <c:numCache>
                <c:formatCode>General</c:formatCode>
                <c:ptCount val="6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9D-4748-855D-D50E0915587D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DAC'!$G$5:$G$68</c:f>
              <c:numCache>
                <c:formatCode>_(* #,##0.0_);_(* \(#,##0.0\);_(* "-"??_);_(@_)</c:formatCode>
                <c:ptCount val="64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  <c:pt idx="46">
                  <c:v>12.833780869565217</c:v>
                </c:pt>
                <c:pt idx="47">
                  <c:v>12.833780869565217</c:v>
                </c:pt>
                <c:pt idx="48">
                  <c:v>12.833780869565217</c:v>
                </c:pt>
                <c:pt idx="49">
                  <c:v>12.833780869565217</c:v>
                </c:pt>
                <c:pt idx="50">
                  <c:v>12.833780869565217</c:v>
                </c:pt>
                <c:pt idx="51">
                  <c:v>12.833780869565217</c:v>
                </c:pt>
                <c:pt idx="52">
                  <c:v>12.833780869565217</c:v>
                </c:pt>
                <c:pt idx="53">
                  <c:v>12.833780869565217</c:v>
                </c:pt>
                <c:pt idx="54">
                  <c:v>12.833780869565217</c:v>
                </c:pt>
                <c:pt idx="55">
                  <c:v>12.833780869565217</c:v>
                </c:pt>
                <c:pt idx="56">
                  <c:v>12.833780869565217</c:v>
                </c:pt>
                <c:pt idx="57">
                  <c:v>12.833780869565217</c:v>
                </c:pt>
                <c:pt idx="58">
                  <c:v>12.833780869565217</c:v>
                </c:pt>
                <c:pt idx="59">
                  <c:v>12.833780869565217</c:v>
                </c:pt>
                <c:pt idx="60">
                  <c:v>12.833780869565217</c:v>
                </c:pt>
                <c:pt idx="61">
                  <c:v>12.833780869565217</c:v>
                </c:pt>
                <c:pt idx="62">
                  <c:v>12.833780869565217</c:v>
                </c:pt>
                <c:pt idx="63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39D-4748-855D-D50E0915587D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DAC'!$H$5:$H$68</c:f>
              <c:numCache>
                <c:formatCode>_(* #,##0.0_);_(* \(#,##0.0\);_(* "-"??_);_(@_)</c:formatCode>
                <c:ptCount val="64"/>
                <c:pt idx="0">
                  <c:v>38.601502779643866</c:v>
                </c:pt>
                <c:pt idx="1">
                  <c:v>38.601502779643866</c:v>
                </c:pt>
                <c:pt idx="2">
                  <c:v>38.601502779643866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40.35611654235494</c:v>
                </c:pt>
                <c:pt idx="7">
                  <c:v>40.35611654235494</c:v>
                </c:pt>
                <c:pt idx="8">
                  <c:v>40.35611654235494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42.110730305066035</c:v>
                </c:pt>
                <c:pt idx="14">
                  <c:v>42.110730305066035</c:v>
                </c:pt>
                <c:pt idx="15">
                  <c:v>42.110730305066035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43.86534406777713</c:v>
                </c:pt>
                <c:pt idx="22">
                  <c:v>43.86534406777713</c:v>
                </c:pt>
                <c:pt idx="23">
                  <c:v>43.86534406777713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45.619957830488204</c:v>
                </c:pt>
                <c:pt idx="30">
                  <c:v>45.619957830488204</c:v>
                </c:pt>
                <c:pt idx="31">
                  <c:v>45.619957830488204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47.374571593199285</c:v>
                </c:pt>
                <c:pt idx="38">
                  <c:v>47.374571593199285</c:v>
                </c:pt>
                <c:pt idx="39">
                  <c:v>47.374571593199285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  <c:pt idx="46">
                  <c:v>49.129185355910373</c:v>
                </c:pt>
                <c:pt idx="47">
                  <c:v>49.129185355910373</c:v>
                </c:pt>
                <c:pt idx="48">
                  <c:v>50.883799118621454</c:v>
                </c:pt>
                <c:pt idx="49">
                  <c:v>50.883799118621454</c:v>
                </c:pt>
                <c:pt idx="50">
                  <c:v>50.883799118621454</c:v>
                </c:pt>
                <c:pt idx="51">
                  <c:v>50.883799118621454</c:v>
                </c:pt>
                <c:pt idx="52">
                  <c:v>50.883799118621454</c:v>
                </c:pt>
                <c:pt idx="53">
                  <c:v>50.883799118621454</c:v>
                </c:pt>
                <c:pt idx="54">
                  <c:v>50.883799118621454</c:v>
                </c:pt>
                <c:pt idx="55">
                  <c:v>50.883799118621454</c:v>
                </c:pt>
                <c:pt idx="56">
                  <c:v>52.638412881332542</c:v>
                </c:pt>
                <c:pt idx="57">
                  <c:v>52.638412881332542</c:v>
                </c:pt>
                <c:pt idx="58">
                  <c:v>52.638412881332542</c:v>
                </c:pt>
                <c:pt idx="59">
                  <c:v>52.638412881332542</c:v>
                </c:pt>
                <c:pt idx="60">
                  <c:v>52.638412881332542</c:v>
                </c:pt>
                <c:pt idx="61">
                  <c:v>52.638412881332542</c:v>
                </c:pt>
                <c:pt idx="62">
                  <c:v>52.638412881332542</c:v>
                </c:pt>
                <c:pt idx="63">
                  <c:v>52.638412881332542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39D-4748-855D-D50E0915587D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DAC'!$J$5:$J$68</c:f>
              <c:numCache>
                <c:formatCode>_(* #,##0.0_);_(* \(#,##0.0\);_(* "-"??_);_(@_)</c:formatCode>
                <c:ptCount val="64"/>
                <c:pt idx="0">
                  <c:v>9.1790980887665672</c:v>
                </c:pt>
                <c:pt idx="1">
                  <c:v>8.9009436012281853</c:v>
                </c:pt>
                <c:pt idx="2">
                  <c:v>8.845312703720511</c:v>
                </c:pt>
                <c:pt idx="3">
                  <c:v>7.565802061043958</c:v>
                </c:pt>
                <c:pt idx="4">
                  <c:v>6.731338598428815</c:v>
                </c:pt>
                <c:pt idx="5">
                  <c:v>6.453184110890434</c:v>
                </c:pt>
                <c:pt idx="6">
                  <c:v>6.3419223158750819</c:v>
                </c:pt>
                <c:pt idx="7">
                  <c:v>6.1750296233520539</c:v>
                </c:pt>
                <c:pt idx="8">
                  <c:v>6.1193987258443778</c:v>
                </c:pt>
                <c:pt idx="9">
                  <c:v>6.3419223158750819</c:v>
                </c:pt>
                <c:pt idx="10">
                  <c:v>5.5074588532599389</c:v>
                </c:pt>
                <c:pt idx="11">
                  <c:v>5.0624116731985298</c:v>
                </c:pt>
                <c:pt idx="12">
                  <c:v>4.7286262881524737</c:v>
                </c:pt>
                <c:pt idx="13">
                  <c:v>4.5061026981217687</c:v>
                </c:pt>
                <c:pt idx="14">
                  <c:v>4.3948409031064157</c:v>
                </c:pt>
                <c:pt idx="15">
                  <c:v>4.3948409031064157</c:v>
                </c:pt>
                <c:pt idx="16">
                  <c:v>6.1750296233520539</c:v>
                </c:pt>
                <c:pt idx="17">
                  <c:v>4.6729953906447976</c:v>
                </c:pt>
                <c:pt idx="18">
                  <c:v>3.9497937230450071</c:v>
                </c:pt>
                <c:pt idx="19">
                  <c:v>3.8385319280296546</c:v>
                </c:pt>
                <c:pt idx="20">
                  <c:v>3.782901030521979</c:v>
                </c:pt>
                <c:pt idx="21">
                  <c:v>3.7272701330143021</c:v>
                </c:pt>
                <c:pt idx="22">
                  <c:v>3.7272701330143021</c:v>
                </c:pt>
                <c:pt idx="23">
                  <c:v>3.7272701330143021</c:v>
                </c:pt>
                <c:pt idx="24">
                  <c:v>4.5061026981217687</c:v>
                </c:pt>
                <c:pt idx="25">
                  <c:v>3.5047465429835976</c:v>
                </c:pt>
                <c:pt idx="26">
                  <c:v>3.3378538504605695</c:v>
                </c:pt>
                <c:pt idx="27">
                  <c:v>3.226592055445217</c:v>
                </c:pt>
                <c:pt idx="28">
                  <c:v>3.170961157937541</c:v>
                </c:pt>
                <c:pt idx="29">
                  <c:v>3.1153302604298649</c:v>
                </c:pt>
                <c:pt idx="30">
                  <c:v>3.0596993629221889</c:v>
                </c:pt>
                <c:pt idx="31">
                  <c:v>3.0596993629221889</c:v>
                </c:pt>
                <c:pt idx="32">
                  <c:v>3.393484747968246</c:v>
                </c:pt>
                <c:pt idx="33">
                  <c:v>2.9484375679068364</c:v>
                </c:pt>
                <c:pt idx="34">
                  <c:v>2.7815448753838083</c:v>
                </c:pt>
                <c:pt idx="35">
                  <c:v>2.6146521828607794</c:v>
                </c:pt>
                <c:pt idx="36">
                  <c:v>2.5590212853531038</c:v>
                </c:pt>
                <c:pt idx="37">
                  <c:v>2.5033903878454269</c:v>
                </c:pt>
                <c:pt idx="38">
                  <c:v>2.4477594903377509</c:v>
                </c:pt>
                <c:pt idx="39">
                  <c:v>2.4477594903377509</c:v>
                </c:pt>
                <c:pt idx="40">
                  <c:v>2.89280667039916</c:v>
                </c:pt>
                <c:pt idx="41">
                  <c:v>2.4477594903377509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  <c:pt idx="46">
                  <c:v>2.3364976953223988</c:v>
                </c:pt>
                <c:pt idx="47">
                  <c:v>2.3364976953223988</c:v>
                </c:pt>
                <c:pt idx="48">
                  <c:v>2.5590212853531038</c:v>
                </c:pt>
                <c:pt idx="49">
                  <c:v>2.2808667978147223</c:v>
                </c:pt>
                <c:pt idx="50">
                  <c:v>2.2808667978147223</c:v>
                </c:pt>
                <c:pt idx="51">
                  <c:v>2.2808667978147223</c:v>
                </c:pt>
                <c:pt idx="52">
                  <c:v>2.2808667978147223</c:v>
                </c:pt>
                <c:pt idx="53">
                  <c:v>2.2808667978147223</c:v>
                </c:pt>
                <c:pt idx="54">
                  <c:v>2.2808667978147223</c:v>
                </c:pt>
                <c:pt idx="55">
                  <c:v>2.2808667978147223</c:v>
                </c:pt>
                <c:pt idx="56">
                  <c:v>2.2808667978147223</c:v>
                </c:pt>
                <c:pt idx="57">
                  <c:v>2.2252359003070463</c:v>
                </c:pt>
                <c:pt idx="58">
                  <c:v>2.2252359003070463</c:v>
                </c:pt>
                <c:pt idx="59">
                  <c:v>2.2252359003070463</c:v>
                </c:pt>
                <c:pt idx="60">
                  <c:v>2.2252359003070463</c:v>
                </c:pt>
                <c:pt idx="61">
                  <c:v>2.2252359003070463</c:v>
                </c:pt>
                <c:pt idx="62">
                  <c:v>2.2252359003070463</c:v>
                </c:pt>
                <c:pt idx="63">
                  <c:v>2.2252359003070463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39D-4748-855D-D50E0915587D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DAC'!$I$5:$I$68</c:f>
              <c:numCache>
                <c:formatCode>_(* #,##0.0_);_(* \(#,##0.0\);_(* "-"??_);_(@_)</c:formatCode>
                <c:ptCount val="64"/>
                <c:pt idx="0">
                  <c:v>3.9463905003628286</c:v>
                </c:pt>
                <c:pt idx="1">
                  <c:v>4.4396893129081834</c:v>
                </c:pt>
                <c:pt idx="2">
                  <c:v>4.9329881254535364</c:v>
                </c:pt>
                <c:pt idx="3">
                  <c:v>2.4664940627267682</c:v>
                </c:pt>
                <c:pt idx="4">
                  <c:v>2.9597928752721221</c:v>
                </c:pt>
                <c:pt idx="5">
                  <c:v>3.4530916878174751</c:v>
                </c:pt>
                <c:pt idx="6">
                  <c:v>3.9463905003628286</c:v>
                </c:pt>
                <c:pt idx="7">
                  <c:v>4.4396893129081834</c:v>
                </c:pt>
                <c:pt idx="8">
                  <c:v>4.9329881254535364</c:v>
                </c:pt>
                <c:pt idx="9">
                  <c:v>1.9731952501814143</c:v>
                </c:pt>
                <c:pt idx="10">
                  <c:v>2.4664940627267682</c:v>
                </c:pt>
                <c:pt idx="11">
                  <c:v>2.9597928752721221</c:v>
                </c:pt>
                <c:pt idx="12">
                  <c:v>3.4530916878174751</c:v>
                </c:pt>
                <c:pt idx="13">
                  <c:v>3.9463905003628286</c:v>
                </c:pt>
                <c:pt idx="14">
                  <c:v>4.4396893129081834</c:v>
                </c:pt>
                <c:pt idx="15">
                  <c:v>4.9329881254535364</c:v>
                </c:pt>
                <c:pt idx="16">
                  <c:v>1.479896437636061</c:v>
                </c:pt>
                <c:pt idx="17">
                  <c:v>1.9731952501814143</c:v>
                </c:pt>
                <c:pt idx="18">
                  <c:v>2.4664940627267682</c:v>
                </c:pt>
                <c:pt idx="19">
                  <c:v>2.9597928752721221</c:v>
                </c:pt>
                <c:pt idx="20">
                  <c:v>3.4530916878174751</c:v>
                </c:pt>
                <c:pt idx="21">
                  <c:v>3.9463905003628286</c:v>
                </c:pt>
                <c:pt idx="22">
                  <c:v>4.4396893129081834</c:v>
                </c:pt>
                <c:pt idx="23">
                  <c:v>4.9329881254535364</c:v>
                </c:pt>
                <c:pt idx="24">
                  <c:v>1.479896437636061</c:v>
                </c:pt>
                <c:pt idx="25">
                  <c:v>1.9731952501814143</c:v>
                </c:pt>
                <c:pt idx="26">
                  <c:v>2.4664940627267682</c:v>
                </c:pt>
                <c:pt idx="27">
                  <c:v>2.9597928752721221</c:v>
                </c:pt>
                <c:pt idx="28">
                  <c:v>3.4530916878174751</c:v>
                </c:pt>
                <c:pt idx="29">
                  <c:v>3.9463905003628286</c:v>
                </c:pt>
                <c:pt idx="30">
                  <c:v>4.4396893129081834</c:v>
                </c:pt>
                <c:pt idx="31">
                  <c:v>4.9329881254535364</c:v>
                </c:pt>
                <c:pt idx="32">
                  <c:v>1.479896437636061</c:v>
                </c:pt>
                <c:pt idx="33">
                  <c:v>1.9731952501814143</c:v>
                </c:pt>
                <c:pt idx="34">
                  <c:v>2.4664940627267682</c:v>
                </c:pt>
                <c:pt idx="35">
                  <c:v>2.9597928752721221</c:v>
                </c:pt>
                <c:pt idx="36">
                  <c:v>3.4530916878174751</c:v>
                </c:pt>
                <c:pt idx="37">
                  <c:v>3.9463905003628286</c:v>
                </c:pt>
                <c:pt idx="38">
                  <c:v>4.4396893129081834</c:v>
                </c:pt>
                <c:pt idx="39">
                  <c:v>4.9329881254535364</c:v>
                </c:pt>
                <c:pt idx="40">
                  <c:v>1.479896437636061</c:v>
                </c:pt>
                <c:pt idx="41">
                  <c:v>1.9731952501814143</c:v>
                </c:pt>
                <c:pt idx="42">
                  <c:v>2.4664940627267682</c:v>
                </c:pt>
                <c:pt idx="43">
                  <c:v>2.9597928752721221</c:v>
                </c:pt>
                <c:pt idx="44">
                  <c:v>3.4530916878174751</c:v>
                </c:pt>
                <c:pt idx="45">
                  <c:v>3.9463905003628286</c:v>
                </c:pt>
                <c:pt idx="46">
                  <c:v>4.4396893129081834</c:v>
                </c:pt>
                <c:pt idx="47">
                  <c:v>4.9329881254535364</c:v>
                </c:pt>
                <c:pt idx="48">
                  <c:v>1.479896437636061</c:v>
                </c:pt>
                <c:pt idx="49">
                  <c:v>1.9731952501814143</c:v>
                </c:pt>
                <c:pt idx="50">
                  <c:v>2.4664940627267682</c:v>
                </c:pt>
                <c:pt idx="51">
                  <c:v>2.9597928752721221</c:v>
                </c:pt>
                <c:pt idx="52">
                  <c:v>3.4530916878174751</c:v>
                </c:pt>
                <c:pt idx="53">
                  <c:v>3.9463905003628286</c:v>
                </c:pt>
                <c:pt idx="54">
                  <c:v>4.4396893129081834</c:v>
                </c:pt>
                <c:pt idx="55">
                  <c:v>4.9329881254535364</c:v>
                </c:pt>
                <c:pt idx="56">
                  <c:v>1.479896437636061</c:v>
                </c:pt>
                <c:pt idx="57">
                  <c:v>1.9731952501814143</c:v>
                </c:pt>
                <c:pt idx="58">
                  <c:v>2.4664940627267682</c:v>
                </c:pt>
                <c:pt idx="59">
                  <c:v>2.9597928752721221</c:v>
                </c:pt>
                <c:pt idx="60">
                  <c:v>3.4530916878174751</c:v>
                </c:pt>
                <c:pt idx="61">
                  <c:v>3.9463905003628286</c:v>
                </c:pt>
                <c:pt idx="62">
                  <c:v>4.4396893129081834</c:v>
                </c:pt>
                <c:pt idx="63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39D-4748-855D-D50E0915587D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DAC'!$K$5:$K$68</c:f>
              <c:numCache>
                <c:formatCode>_(* #,##0.0_);_(* \(#,##0.0\);_(* "-"??_);_(@_)</c:formatCode>
                <c:ptCount val="64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  <c:pt idx="46">
                  <c:v>4.6589332295950063</c:v>
                </c:pt>
                <c:pt idx="47">
                  <c:v>4.6589332295950063</c:v>
                </c:pt>
                <c:pt idx="48">
                  <c:v>4.6589332295950063</c:v>
                </c:pt>
                <c:pt idx="49">
                  <c:v>4.6589332295950063</c:v>
                </c:pt>
                <c:pt idx="50">
                  <c:v>4.6589332295950063</c:v>
                </c:pt>
                <c:pt idx="51">
                  <c:v>4.6589332295950063</c:v>
                </c:pt>
                <c:pt idx="52">
                  <c:v>4.6589332295950063</c:v>
                </c:pt>
                <c:pt idx="53">
                  <c:v>4.6589332295950063</c:v>
                </c:pt>
                <c:pt idx="54">
                  <c:v>4.6589332295950063</c:v>
                </c:pt>
                <c:pt idx="55">
                  <c:v>4.6589332295950063</c:v>
                </c:pt>
                <c:pt idx="56">
                  <c:v>4.6589332295950063</c:v>
                </c:pt>
                <c:pt idx="57">
                  <c:v>4.6589332295950063</c:v>
                </c:pt>
                <c:pt idx="58">
                  <c:v>4.6589332295950063</c:v>
                </c:pt>
                <c:pt idx="59">
                  <c:v>4.6589332295950063</c:v>
                </c:pt>
                <c:pt idx="60">
                  <c:v>4.6589332295950063</c:v>
                </c:pt>
                <c:pt idx="61">
                  <c:v>4.6589332295950063</c:v>
                </c:pt>
                <c:pt idx="62">
                  <c:v>4.6589332295950063</c:v>
                </c:pt>
                <c:pt idx="63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39D-4748-855D-D50E0915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091648"/>
        <c:axId val="351331456"/>
      </c:barChart>
      <c:lineChart>
        <c:grouping val="standard"/>
        <c:varyColors val="0"/>
        <c:ser>
          <c:idx val="6"/>
          <c:order val="6"/>
          <c:tx>
            <c:v>Total</c:v>
          </c:tx>
          <c:dLbls>
            <c:spPr>
              <a:noFill/>
              <a:ln>
                <a:solidFill>
                  <a:schemeClr val="tx1"/>
                </a:solidFill>
              </a:ln>
            </c:spPr>
            <c:txPr>
              <a:bodyPr rot="-426000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'No DAC'!$N$5:$N$68</c:f>
              <c:strCache>
                <c:ptCount val="64"/>
                <c:pt idx="0">
                  <c:v> (220,165,80) </c:v>
                </c:pt>
                <c:pt idx="1">
                  <c:v> (220,160,90) </c:v>
                </c:pt>
                <c:pt idx="2">
                  <c:v> (220,159,100) </c:v>
                </c:pt>
                <c:pt idx="3">
                  <c:v> (230,136,50) </c:v>
                </c:pt>
                <c:pt idx="4">
                  <c:v> (230,121,60) </c:v>
                </c:pt>
                <c:pt idx="5">
                  <c:v> (230,116,70) </c:v>
                </c:pt>
                <c:pt idx="6">
                  <c:v> (230,114,80) </c:v>
                </c:pt>
                <c:pt idx="7">
                  <c:v> (230,111,90) </c:v>
                </c:pt>
                <c:pt idx="8">
                  <c:v> (230,110,100) </c:v>
                </c:pt>
                <c:pt idx="9">
                  <c:v> (240,114,40) </c:v>
                </c:pt>
                <c:pt idx="10">
                  <c:v> (240,99,50) </c:v>
                </c:pt>
                <c:pt idx="11">
                  <c:v> (240,91,60) </c:v>
                </c:pt>
                <c:pt idx="12">
                  <c:v> (240,85,70) </c:v>
                </c:pt>
                <c:pt idx="13">
                  <c:v> (240,81,80) </c:v>
                </c:pt>
                <c:pt idx="14">
                  <c:v> (240,79,90) </c:v>
                </c:pt>
                <c:pt idx="15">
                  <c:v> (240,79,100) </c:v>
                </c:pt>
                <c:pt idx="16">
                  <c:v> (250,111,30) </c:v>
                </c:pt>
                <c:pt idx="17">
                  <c:v> (250,84,40) </c:v>
                </c:pt>
                <c:pt idx="18">
                  <c:v> (250,71,50) </c:v>
                </c:pt>
                <c:pt idx="19">
                  <c:v> (250,69,60) </c:v>
                </c:pt>
                <c:pt idx="20">
                  <c:v> (250,68,70) </c:v>
                </c:pt>
                <c:pt idx="21">
                  <c:v> (250,67,80) </c:v>
                </c:pt>
                <c:pt idx="22">
                  <c:v> (250,67,90) </c:v>
                </c:pt>
                <c:pt idx="23">
                  <c:v> (250,67,100) </c:v>
                </c:pt>
                <c:pt idx="24">
                  <c:v> (260,81,30) </c:v>
                </c:pt>
                <c:pt idx="25">
                  <c:v> (260,63,40) </c:v>
                </c:pt>
                <c:pt idx="26">
                  <c:v> (260,60,50) </c:v>
                </c:pt>
                <c:pt idx="27">
                  <c:v> (260,58,60) </c:v>
                </c:pt>
                <c:pt idx="28">
                  <c:v> (260,57,70) </c:v>
                </c:pt>
                <c:pt idx="29">
                  <c:v> (260,56,80) </c:v>
                </c:pt>
                <c:pt idx="30">
                  <c:v> (260,55,90) </c:v>
                </c:pt>
                <c:pt idx="31">
                  <c:v> (260,55,100) </c:v>
                </c:pt>
                <c:pt idx="32">
                  <c:v> (270,61,30) </c:v>
                </c:pt>
                <c:pt idx="33">
                  <c:v> (270,53,40) </c:v>
                </c:pt>
                <c:pt idx="34">
                  <c:v> (270,50,50) </c:v>
                </c:pt>
                <c:pt idx="35">
                  <c:v> (270,47,60) </c:v>
                </c:pt>
                <c:pt idx="36">
                  <c:v> (270,46,70) </c:v>
                </c:pt>
                <c:pt idx="37">
                  <c:v> (270,45,80) </c:v>
                </c:pt>
                <c:pt idx="38">
                  <c:v> (270,44,90) </c:v>
                </c:pt>
                <c:pt idx="39">
                  <c:v> (270,44,100) </c:v>
                </c:pt>
                <c:pt idx="40">
                  <c:v> (280,52,30) </c:v>
                </c:pt>
                <c:pt idx="41">
                  <c:v> (280,44,40) </c:v>
                </c:pt>
                <c:pt idx="42">
                  <c:v> (280,42,50) </c:v>
                </c:pt>
                <c:pt idx="43">
                  <c:v> (280,42,60) </c:v>
                </c:pt>
                <c:pt idx="44">
                  <c:v> (280,42,70) </c:v>
                </c:pt>
                <c:pt idx="45">
                  <c:v> (280,42,80) </c:v>
                </c:pt>
                <c:pt idx="46">
                  <c:v> (280,42,90) </c:v>
                </c:pt>
                <c:pt idx="47">
                  <c:v> (280,42,100) </c:v>
                </c:pt>
                <c:pt idx="48">
                  <c:v> (290,46,30) </c:v>
                </c:pt>
                <c:pt idx="49">
                  <c:v> (290,41,40) </c:v>
                </c:pt>
                <c:pt idx="50">
                  <c:v> (290,41,50) </c:v>
                </c:pt>
                <c:pt idx="51">
                  <c:v> (290,41,60) </c:v>
                </c:pt>
                <c:pt idx="52">
                  <c:v> (290,41,70) </c:v>
                </c:pt>
                <c:pt idx="53">
                  <c:v> (290,41,80) </c:v>
                </c:pt>
                <c:pt idx="54">
                  <c:v> (290,41,90) </c:v>
                </c:pt>
                <c:pt idx="55">
                  <c:v> (290,41,100) </c:v>
                </c:pt>
                <c:pt idx="56">
                  <c:v> (300,41,30) </c:v>
                </c:pt>
                <c:pt idx="57">
                  <c:v> (300,40,40) </c:v>
                </c:pt>
                <c:pt idx="58">
                  <c:v> (300,40,50) </c:v>
                </c:pt>
                <c:pt idx="59">
                  <c:v> (300,40,60) </c:v>
                </c:pt>
                <c:pt idx="60">
                  <c:v> (300,40,70) </c:v>
                </c:pt>
                <c:pt idx="61">
                  <c:v> (300,40,80) </c:v>
                </c:pt>
                <c:pt idx="62">
                  <c:v> (300,40,90) </c:v>
                </c:pt>
                <c:pt idx="63">
                  <c:v> (300,40,100) </c:v>
                </c:pt>
              </c:strCache>
            </c:strRef>
          </c:cat>
          <c:val>
            <c:numRef>
              <c:f>'No DAC'!$M$5:$M$68</c:f>
              <c:numCache>
                <c:formatCode>_(* #,##0.00_);_(* \(#,##0.00\);_(* "-"??_);_(@_)</c:formatCode>
                <c:ptCount val="64"/>
                <c:pt idx="0">
                  <c:v>73.219705467933494</c:v>
                </c:pt>
                <c:pt idx="1">
                  <c:v>73.434849792940454</c:v>
                </c:pt>
                <c:pt idx="2">
                  <c:v>73.872517707978133</c:v>
                </c:pt>
                <c:pt idx="3">
                  <c:v>71.881126765285885</c:v>
                </c:pt>
                <c:pt idx="4">
                  <c:v>71.539962115216099</c:v>
                </c:pt>
                <c:pt idx="5">
                  <c:v>71.755106440223074</c:v>
                </c:pt>
                <c:pt idx="6">
                  <c:v>72.137143457753069</c:v>
                </c:pt>
                <c:pt idx="7">
                  <c:v>72.463549577775396</c:v>
                </c:pt>
                <c:pt idx="8">
                  <c:v>72.901217492813075</c:v>
                </c:pt>
                <c:pt idx="9">
                  <c:v>71.918561970282752</c:v>
                </c:pt>
                <c:pt idx="10">
                  <c:v>71.577397320212967</c:v>
                </c:pt>
                <c:pt idx="11">
                  <c:v>71.625648952696906</c:v>
                </c:pt>
                <c:pt idx="12">
                  <c:v>71.785162380196212</c:v>
                </c:pt>
                <c:pt idx="13">
                  <c:v>72.055937602710856</c:v>
                </c:pt>
                <c:pt idx="14">
                  <c:v>72.437974620240851</c:v>
                </c:pt>
                <c:pt idx="15">
                  <c:v>72.931273432786213</c:v>
                </c:pt>
                <c:pt idx="16">
                  <c:v>73.012984227925472</c:v>
                </c:pt>
                <c:pt idx="17">
                  <c:v>72.00424880776356</c:v>
                </c:pt>
                <c:pt idx="18">
                  <c:v>71.774345952709126</c:v>
                </c:pt>
                <c:pt idx="19">
                  <c:v>72.156382970239122</c:v>
                </c:pt>
                <c:pt idx="20">
                  <c:v>72.5940508852768</c:v>
                </c:pt>
                <c:pt idx="21">
                  <c:v>73.031718800314493</c:v>
                </c:pt>
                <c:pt idx="22">
                  <c:v>73.525017612859841</c:v>
                </c:pt>
                <c:pt idx="23">
                  <c:v>74.018316425405189</c:v>
                </c:pt>
                <c:pt idx="24">
                  <c:v>73.098671065406265</c:v>
                </c:pt>
                <c:pt idx="25">
                  <c:v>72.59061372281343</c:v>
                </c:pt>
                <c:pt idx="26">
                  <c:v>72.917019842835771</c:v>
                </c:pt>
                <c:pt idx="27">
                  <c:v>73.299056860365766</c:v>
                </c:pt>
                <c:pt idx="28">
                  <c:v>73.736724775403445</c:v>
                </c:pt>
                <c:pt idx="29">
                  <c:v>74.174392690441124</c:v>
                </c:pt>
                <c:pt idx="30">
                  <c:v>74.612060605478803</c:v>
                </c:pt>
                <c:pt idx="31">
                  <c:v>75.10535941802415</c:v>
                </c:pt>
                <c:pt idx="32">
                  <c:v>73.740666877963818</c:v>
                </c:pt>
                <c:pt idx="33">
                  <c:v>73.788918510447758</c:v>
                </c:pt>
                <c:pt idx="34">
                  <c:v>74.115324630470084</c:v>
                </c:pt>
                <c:pt idx="35">
                  <c:v>74.441730750492411</c:v>
                </c:pt>
                <c:pt idx="36">
                  <c:v>74.87939866553009</c:v>
                </c:pt>
                <c:pt idx="37">
                  <c:v>75.317066580567769</c:v>
                </c:pt>
                <c:pt idx="38">
                  <c:v>75.754734495605433</c:v>
                </c:pt>
                <c:pt idx="39">
                  <c:v>76.248033308150795</c:v>
                </c:pt>
                <c:pt idx="40">
                  <c:v>74.994602563105815</c:v>
                </c:pt>
                <c:pt idx="41">
                  <c:v>75.042854195589754</c:v>
                </c:pt>
                <c:pt idx="42">
                  <c:v>75.424891213119764</c:v>
                </c:pt>
                <c:pt idx="43">
                  <c:v>75.918190025665112</c:v>
                </c:pt>
                <c:pt idx="44">
                  <c:v>76.41148883821046</c:v>
                </c:pt>
                <c:pt idx="45">
                  <c:v>76.904787650755821</c:v>
                </c:pt>
                <c:pt idx="46">
                  <c:v>77.398086463301169</c:v>
                </c:pt>
                <c:pt idx="47">
                  <c:v>77.891385275846531</c:v>
                </c:pt>
                <c:pt idx="48">
                  <c:v>76.415430940770833</c:v>
                </c:pt>
                <c:pt idx="49">
                  <c:v>76.630575265777821</c:v>
                </c:pt>
                <c:pt idx="50">
                  <c:v>77.123874078323169</c:v>
                </c:pt>
                <c:pt idx="51">
                  <c:v>77.617172890868531</c:v>
                </c:pt>
                <c:pt idx="52">
                  <c:v>78.110471703413879</c:v>
                </c:pt>
                <c:pt idx="53">
                  <c:v>78.603770515959226</c:v>
                </c:pt>
                <c:pt idx="54">
                  <c:v>79.097069328504588</c:v>
                </c:pt>
                <c:pt idx="55">
                  <c:v>79.590368141049936</c:v>
                </c:pt>
                <c:pt idx="56">
                  <c:v>77.891890215943548</c:v>
                </c:pt>
                <c:pt idx="57">
                  <c:v>78.329558130981226</c:v>
                </c:pt>
                <c:pt idx="58">
                  <c:v>78.822856943526574</c:v>
                </c:pt>
                <c:pt idx="59">
                  <c:v>79.316155756071936</c:v>
                </c:pt>
                <c:pt idx="60">
                  <c:v>79.809454568617284</c:v>
                </c:pt>
                <c:pt idx="61">
                  <c:v>80.302753381162631</c:v>
                </c:pt>
                <c:pt idx="62">
                  <c:v>80.796052193707993</c:v>
                </c:pt>
                <c:pt idx="63">
                  <c:v>81.289351006253341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39D-4748-855D-D50E09155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091648"/>
        <c:axId val="351331456"/>
      </c:lineChart>
      <c:catAx>
        <c:axId val="35209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(Renewable Capacity [GW], Storage Capacity [TWh], Catalyser Capacity [GW])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331456"/>
        <c:crosses val="autoZero"/>
        <c:auto val="1"/>
        <c:lblAlgn val="ctr"/>
        <c:lblOffset val="100"/>
        <c:noMultiLvlLbl val="0"/>
      </c:catAx>
      <c:valAx>
        <c:axId val="35133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20916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Trend: Mid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43'!$Q$5:$Q$50</c:f>
              <c:numCache>
                <c:formatCode>_(* #,##0.00_);_(* \(#,##0.00\);_(* "-"??_);_(@_)</c:formatCode>
                <c:ptCount val="46"/>
                <c:pt idx="0">
                  <c:v>74.577618899129249</c:v>
                </c:pt>
                <c:pt idx="1">
                  <c:v>73.735516266309162</c:v>
                </c:pt>
                <c:pt idx="2">
                  <c:v>73.932415819181131</c:v>
                </c:pt>
                <c:pt idx="3">
                  <c:v>74.215788074493716</c:v>
                </c:pt>
                <c:pt idx="4">
                  <c:v>74.603047327526113</c:v>
                </c:pt>
                <c:pt idx="5">
                  <c:v>75.00237477938154</c:v>
                </c:pt>
                <c:pt idx="6">
                  <c:v>74.186434167447189</c:v>
                </c:pt>
                <c:pt idx="7">
                  <c:v>73.683314112555777</c:v>
                </c:pt>
                <c:pt idx="8">
                  <c:v>73.756685358848785</c:v>
                </c:pt>
                <c:pt idx="9">
                  <c:v>73.864901890780104</c:v>
                </c:pt>
                <c:pt idx="10">
                  <c:v>74.100046924233979</c:v>
                </c:pt>
                <c:pt idx="11">
                  <c:v>74.527167038126578</c:v>
                </c:pt>
                <c:pt idx="12">
                  <c:v>75.037917371844543</c:v>
                </c:pt>
                <c:pt idx="13">
                  <c:v>75.869118117950151</c:v>
                </c:pt>
                <c:pt idx="14">
                  <c:v>74.086566383975224</c:v>
                </c:pt>
                <c:pt idx="15">
                  <c:v>73.902077146517712</c:v>
                </c:pt>
                <c:pt idx="16">
                  <c:v>74.221843963499964</c:v>
                </c:pt>
                <c:pt idx="17">
                  <c:v>74.612181237781598</c:v>
                </c:pt>
                <c:pt idx="18">
                  <c:v>75.100617214412367</c:v>
                </c:pt>
                <c:pt idx="19">
                  <c:v>75.625646065453367</c:v>
                </c:pt>
                <c:pt idx="20">
                  <c:v>76.1395694030209</c:v>
                </c:pt>
                <c:pt idx="21">
                  <c:v>75.231227869236065</c:v>
                </c:pt>
                <c:pt idx="22">
                  <c:v>74.701025603943123</c:v>
                </c:pt>
                <c:pt idx="23">
                  <c:v>75.026638473003075</c:v>
                </c:pt>
                <c:pt idx="24">
                  <c:v>75.377342077518605</c:v>
                </c:pt>
                <c:pt idx="25">
                  <c:v>75.897838613879344</c:v>
                </c:pt>
                <c:pt idx="26">
                  <c:v>76.180756487003791</c:v>
                </c:pt>
                <c:pt idx="27">
                  <c:v>76.641032054469633</c:v>
                </c:pt>
                <c:pt idx="28">
                  <c:v>77.145436380488462</c:v>
                </c:pt>
                <c:pt idx="29">
                  <c:v>75.836403616289275</c:v>
                </c:pt>
                <c:pt idx="30">
                  <c:v>75.806586133224499</c:v>
                </c:pt>
                <c:pt idx="31">
                  <c:v>76.136363569836988</c:v>
                </c:pt>
                <c:pt idx="32">
                  <c:v>76.568668693338594</c:v>
                </c:pt>
                <c:pt idx="33">
                  <c:v>77.063847303149672</c:v>
                </c:pt>
                <c:pt idx="34">
                  <c:v>77.537211511494974</c:v>
                </c:pt>
                <c:pt idx="35">
                  <c:v>77.748141859782365</c:v>
                </c:pt>
                <c:pt idx="36">
                  <c:v>78.25168683059195</c:v>
                </c:pt>
                <c:pt idx="37">
                  <c:v>77.852518064056724</c:v>
                </c:pt>
                <c:pt idx="38">
                  <c:v>77.085712004150651</c:v>
                </c:pt>
                <c:pt idx="39">
                  <c:v>77.122197080692445</c:v>
                </c:pt>
                <c:pt idx="40">
                  <c:v>77.423586917045981</c:v>
                </c:pt>
                <c:pt idx="41">
                  <c:v>77.99951603817378</c:v>
                </c:pt>
                <c:pt idx="42">
                  <c:v>78.540409908462621</c:v>
                </c:pt>
                <c:pt idx="43">
                  <c:v>79.063786153332003</c:v>
                </c:pt>
                <c:pt idx="44">
                  <c:v>79.573941548828174</c:v>
                </c:pt>
                <c:pt idx="45">
                  <c:v>80.078147562106423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8C-DD4D-A69C-2C452BB5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56288"/>
        <c:axId val="351334336"/>
      </c:lineChart>
      <c:catAx>
        <c:axId val="35175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51334336"/>
        <c:crosses val="autoZero"/>
        <c:auto val="1"/>
        <c:lblAlgn val="ctr"/>
        <c:lblOffset val="100"/>
        <c:noMultiLvlLbl val="0"/>
      </c:catAx>
      <c:valAx>
        <c:axId val="351334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756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43'!$L$5:$L$50</c:f>
              <c:numCache>
                <c:formatCode>0.0_ </c:formatCode>
                <c:ptCount val="4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45-BA4B-9E4D-077EC95FCD84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43'!$G$5:$G$50</c:f>
              <c:numCache>
                <c:formatCode>_(* #,##0.0_);_(* \(#,##0.0\);_(* "-"??_);_(@_)</c:formatCode>
                <c:ptCount val="4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  <c:pt idx="42">
                  <c:v>12.833780869565217</c:v>
                </c:pt>
                <c:pt idx="43">
                  <c:v>12.833780869565217</c:v>
                </c:pt>
                <c:pt idx="44">
                  <c:v>12.833780869565217</c:v>
                </c:pt>
                <c:pt idx="4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45-BA4B-9E4D-077EC95FCD84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43'!$H$5:$H$50</c:f>
              <c:numCache>
                <c:formatCode>_(* #,##0.0_);_(* \(#,##0.0\);_(* "-"??_);_(@_)</c:formatCode>
                <c:ptCount val="46"/>
                <c:pt idx="0">
                  <c:v>40.35611654235494</c:v>
                </c:pt>
                <c:pt idx="1">
                  <c:v>40.35611654235494</c:v>
                </c:pt>
                <c:pt idx="2">
                  <c:v>40.35611654235494</c:v>
                </c:pt>
                <c:pt idx="3">
                  <c:v>40.35611654235494</c:v>
                </c:pt>
                <c:pt idx="4">
                  <c:v>40.35611654235494</c:v>
                </c:pt>
                <c:pt idx="5">
                  <c:v>40.35611654235494</c:v>
                </c:pt>
                <c:pt idx="6">
                  <c:v>42.110730305066035</c:v>
                </c:pt>
                <c:pt idx="7">
                  <c:v>42.110730305066035</c:v>
                </c:pt>
                <c:pt idx="8">
                  <c:v>42.110730305066035</c:v>
                </c:pt>
                <c:pt idx="9">
                  <c:v>42.110730305066035</c:v>
                </c:pt>
                <c:pt idx="10">
                  <c:v>42.110730305066035</c:v>
                </c:pt>
                <c:pt idx="11">
                  <c:v>42.110730305066035</c:v>
                </c:pt>
                <c:pt idx="12">
                  <c:v>42.110730305066035</c:v>
                </c:pt>
                <c:pt idx="13">
                  <c:v>43.86534406777713</c:v>
                </c:pt>
                <c:pt idx="14">
                  <c:v>43.86534406777713</c:v>
                </c:pt>
                <c:pt idx="15">
                  <c:v>43.86534406777713</c:v>
                </c:pt>
                <c:pt idx="16">
                  <c:v>43.86534406777713</c:v>
                </c:pt>
                <c:pt idx="17">
                  <c:v>43.86534406777713</c:v>
                </c:pt>
                <c:pt idx="18">
                  <c:v>43.86534406777713</c:v>
                </c:pt>
                <c:pt idx="19">
                  <c:v>43.86534406777713</c:v>
                </c:pt>
                <c:pt idx="20">
                  <c:v>43.86534406777713</c:v>
                </c:pt>
                <c:pt idx="21">
                  <c:v>45.619957830488204</c:v>
                </c:pt>
                <c:pt idx="22">
                  <c:v>45.619957830488204</c:v>
                </c:pt>
                <c:pt idx="23">
                  <c:v>45.619957830488204</c:v>
                </c:pt>
                <c:pt idx="24">
                  <c:v>45.619957830488204</c:v>
                </c:pt>
                <c:pt idx="25">
                  <c:v>45.619957830488204</c:v>
                </c:pt>
                <c:pt idx="26">
                  <c:v>45.619957830488204</c:v>
                </c:pt>
                <c:pt idx="27">
                  <c:v>45.619957830488204</c:v>
                </c:pt>
                <c:pt idx="28">
                  <c:v>45.619957830488204</c:v>
                </c:pt>
                <c:pt idx="29">
                  <c:v>47.374571593199285</c:v>
                </c:pt>
                <c:pt idx="30">
                  <c:v>47.374571593199285</c:v>
                </c:pt>
                <c:pt idx="31">
                  <c:v>47.374571593199285</c:v>
                </c:pt>
                <c:pt idx="32">
                  <c:v>47.374571593199285</c:v>
                </c:pt>
                <c:pt idx="33">
                  <c:v>47.374571593199285</c:v>
                </c:pt>
                <c:pt idx="34">
                  <c:v>47.374571593199285</c:v>
                </c:pt>
                <c:pt idx="35">
                  <c:v>47.374571593199285</c:v>
                </c:pt>
                <c:pt idx="36">
                  <c:v>47.374571593199285</c:v>
                </c:pt>
                <c:pt idx="37">
                  <c:v>49.129185355910373</c:v>
                </c:pt>
                <c:pt idx="38">
                  <c:v>49.129185355910373</c:v>
                </c:pt>
                <c:pt idx="39">
                  <c:v>49.129185355910373</c:v>
                </c:pt>
                <c:pt idx="40">
                  <c:v>49.129185355910373</c:v>
                </c:pt>
                <c:pt idx="41">
                  <c:v>49.129185355910373</c:v>
                </c:pt>
                <c:pt idx="42">
                  <c:v>49.129185355910373</c:v>
                </c:pt>
                <c:pt idx="43">
                  <c:v>49.129185355910373</c:v>
                </c:pt>
                <c:pt idx="44">
                  <c:v>49.129185355910373</c:v>
                </c:pt>
                <c:pt idx="4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45-BA4B-9E4D-077EC95FCD84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43'!$J$5:$J$50</c:f>
              <c:numCache>
                <c:formatCode>_(* #,##0.0_);_(* \(#,##0.0\);_(* "-"??_);_(@_)</c:formatCode>
                <c:ptCount val="46"/>
                <c:pt idx="0">
                  <c:v>7.565802061043958</c:v>
                </c:pt>
                <c:pt idx="1">
                  <c:v>6.731338598428815</c:v>
                </c:pt>
                <c:pt idx="2">
                  <c:v>6.453184110890434</c:v>
                </c:pt>
                <c:pt idx="3">
                  <c:v>6.2862914183674059</c:v>
                </c:pt>
                <c:pt idx="4">
                  <c:v>6.1750296233520539</c:v>
                </c:pt>
                <c:pt idx="5">
                  <c:v>6.1193987258443778</c:v>
                </c:pt>
                <c:pt idx="6">
                  <c:v>6.3419223158750819</c:v>
                </c:pt>
                <c:pt idx="7">
                  <c:v>5.5074588532599389</c:v>
                </c:pt>
                <c:pt idx="8">
                  <c:v>5.0624116731985298</c:v>
                </c:pt>
                <c:pt idx="9">
                  <c:v>4.7286262881524737</c:v>
                </c:pt>
                <c:pt idx="10">
                  <c:v>4.5061026981217687</c:v>
                </c:pt>
                <c:pt idx="11">
                  <c:v>4.3948409031064157</c:v>
                </c:pt>
                <c:pt idx="12">
                  <c:v>4.3948409031064157</c:v>
                </c:pt>
                <c:pt idx="13">
                  <c:v>6.1750296233520539</c:v>
                </c:pt>
                <c:pt idx="14">
                  <c:v>4.6729953906447976</c:v>
                </c:pt>
                <c:pt idx="15">
                  <c:v>3.9497937230450071</c:v>
                </c:pt>
                <c:pt idx="16">
                  <c:v>3.8385319280296546</c:v>
                </c:pt>
                <c:pt idx="17">
                  <c:v>3.782901030521979</c:v>
                </c:pt>
                <c:pt idx="18">
                  <c:v>3.7272701330143021</c:v>
                </c:pt>
                <c:pt idx="19">
                  <c:v>3.7272701330143021</c:v>
                </c:pt>
                <c:pt idx="20">
                  <c:v>3.7272701330143021</c:v>
                </c:pt>
                <c:pt idx="21">
                  <c:v>4.5061026981217687</c:v>
                </c:pt>
                <c:pt idx="22">
                  <c:v>3.5047465429835976</c:v>
                </c:pt>
                <c:pt idx="23">
                  <c:v>3.3378538504605695</c:v>
                </c:pt>
                <c:pt idx="24">
                  <c:v>3.226592055445217</c:v>
                </c:pt>
                <c:pt idx="25">
                  <c:v>3.170961157937541</c:v>
                </c:pt>
                <c:pt idx="26">
                  <c:v>3.1153302604298649</c:v>
                </c:pt>
                <c:pt idx="27">
                  <c:v>3.0596993629221889</c:v>
                </c:pt>
                <c:pt idx="28">
                  <c:v>3.0596993629221889</c:v>
                </c:pt>
                <c:pt idx="29">
                  <c:v>3.393484747968246</c:v>
                </c:pt>
                <c:pt idx="30">
                  <c:v>2.9484375679068364</c:v>
                </c:pt>
                <c:pt idx="31">
                  <c:v>2.7815448753838083</c:v>
                </c:pt>
                <c:pt idx="32">
                  <c:v>2.6146521828607794</c:v>
                </c:pt>
                <c:pt idx="33">
                  <c:v>2.5590212853531038</c:v>
                </c:pt>
                <c:pt idx="34">
                  <c:v>2.5033903878454269</c:v>
                </c:pt>
                <c:pt idx="35">
                  <c:v>2.4477594903377509</c:v>
                </c:pt>
                <c:pt idx="36">
                  <c:v>2.4477594903377509</c:v>
                </c:pt>
                <c:pt idx="37">
                  <c:v>4.1166864155680347</c:v>
                </c:pt>
                <c:pt idx="38">
                  <c:v>2.89280667039916</c:v>
                </c:pt>
                <c:pt idx="39">
                  <c:v>2.4477594903377509</c:v>
                </c:pt>
                <c:pt idx="40">
                  <c:v>2.3364976953223988</c:v>
                </c:pt>
                <c:pt idx="41">
                  <c:v>2.3364976953223988</c:v>
                </c:pt>
                <c:pt idx="42">
                  <c:v>2.3364976953223988</c:v>
                </c:pt>
                <c:pt idx="43">
                  <c:v>2.3364976953223988</c:v>
                </c:pt>
                <c:pt idx="44">
                  <c:v>2.3364976953223988</c:v>
                </c:pt>
                <c:pt idx="45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45-BA4B-9E4D-077EC95FCD84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43'!$I$5:$I$50</c:f>
              <c:numCache>
                <c:formatCode>_(* #,##0.0_);_(* \(#,##0.0\);_(* "-"??_);_(@_)</c:formatCode>
                <c:ptCount val="46"/>
                <c:pt idx="0">
                  <c:v>2.4664940627267682</c:v>
                </c:pt>
                <c:pt idx="1">
                  <c:v>2.9597928752721221</c:v>
                </c:pt>
                <c:pt idx="2">
                  <c:v>3.4530916878174751</c:v>
                </c:pt>
                <c:pt idx="3">
                  <c:v>3.9463905003628286</c:v>
                </c:pt>
                <c:pt idx="4">
                  <c:v>4.4396893129081834</c:v>
                </c:pt>
                <c:pt idx="5">
                  <c:v>4.9329881254535364</c:v>
                </c:pt>
                <c:pt idx="6">
                  <c:v>1.9731952501814143</c:v>
                </c:pt>
                <c:pt idx="7">
                  <c:v>2.4664940627267682</c:v>
                </c:pt>
                <c:pt idx="8">
                  <c:v>2.9597928752721221</c:v>
                </c:pt>
                <c:pt idx="9">
                  <c:v>3.4530916878174751</c:v>
                </c:pt>
                <c:pt idx="10">
                  <c:v>3.9463905003628286</c:v>
                </c:pt>
                <c:pt idx="11">
                  <c:v>4.4396893129081834</c:v>
                </c:pt>
                <c:pt idx="12">
                  <c:v>4.9329881254535364</c:v>
                </c:pt>
                <c:pt idx="13">
                  <c:v>1.479896437636061</c:v>
                </c:pt>
                <c:pt idx="14">
                  <c:v>1.9731952501814143</c:v>
                </c:pt>
                <c:pt idx="15">
                  <c:v>2.4664940627267682</c:v>
                </c:pt>
                <c:pt idx="16">
                  <c:v>2.9597928752721221</c:v>
                </c:pt>
                <c:pt idx="17">
                  <c:v>3.4530916878174751</c:v>
                </c:pt>
                <c:pt idx="18">
                  <c:v>3.9463905003628286</c:v>
                </c:pt>
                <c:pt idx="19">
                  <c:v>4.4396893129081834</c:v>
                </c:pt>
                <c:pt idx="20">
                  <c:v>4.9329881254535364</c:v>
                </c:pt>
                <c:pt idx="21">
                  <c:v>1.479896437636061</c:v>
                </c:pt>
                <c:pt idx="22">
                  <c:v>1.9731952501814143</c:v>
                </c:pt>
                <c:pt idx="23">
                  <c:v>2.4664940627267682</c:v>
                </c:pt>
                <c:pt idx="24">
                  <c:v>2.9597928752721221</c:v>
                </c:pt>
                <c:pt idx="25">
                  <c:v>3.4530916878174751</c:v>
                </c:pt>
                <c:pt idx="26">
                  <c:v>3.9463905003628286</c:v>
                </c:pt>
                <c:pt idx="27">
                  <c:v>4.4396893129081834</c:v>
                </c:pt>
                <c:pt idx="28">
                  <c:v>4.9329881254535364</c:v>
                </c:pt>
                <c:pt idx="29">
                  <c:v>1.479896437636061</c:v>
                </c:pt>
                <c:pt idx="30">
                  <c:v>1.9731952501814143</c:v>
                </c:pt>
                <c:pt idx="31">
                  <c:v>2.4664940627267682</c:v>
                </c:pt>
                <c:pt idx="32">
                  <c:v>2.9597928752721221</c:v>
                </c:pt>
                <c:pt idx="33">
                  <c:v>3.4530916878174751</c:v>
                </c:pt>
                <c:pt idx="34">
                  <c:v>3.9463905003628286</c:v>
                </c:pt>
                <c:pt idx="35">
                  <c:v>4.4396893129081834</c:v>
                </c:pt>
                <c:pt idx="36">
                  <c:v>4.9329881254535364</c:v>
                </c:pt>
                <c:pt idx="37">
                  <c:v>0.98659762509070714</c:v>
                </c:pt>
                <c:pt idx="38">
                  <c:v>1.479896437636061</c:v>
                </c:pt>
                <c:pt idx="39">
                  <c:v>1.9731952501814143</c:v>
                </c:pt>
                <c:pt idx="40">
                  <c:v>2.4664940627267682</c:v>
                </c:pt>
                <c:pt idx="41">
                  <c:v>2.9597928752721221</c:v>
                </c:pt>
                <c:pt idx="42">
                  <c:v>3.4530916878174751</c:v>
                </c:pt>
                <c:pt idx="43">
                  <c:v>3.9463905003628286</c:v>
                </c:pt>
                <c:pt idx="44">
                  <c:v>4.4396893129081834</c:v>
                </c:pt>
                <c:pt idx="45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45-BA4B-9E4D-077EC95FCD84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43'!$K$5:$K$50</c:f>
              <c:numCache>
                <c:formatCode>_(* #,##0.0_);_(* \(#,##0.0\);_(* "-"??_);_(@_)</c:formatCode>
                <c:ptCount val="4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  <c:pt idx="42">
                  <c:v>4.6589332295950063</c:v>
                </c:pt>
                <c:pt idx="43">
                  <c:v>4.6589332295950063</c:v>
                </c:pt>
                <c:pt idx="44">
                  <c:v>4.6589332295950063</c:v>
                </c:pt>
                <c:pt idx="4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845-BA4B-9E4D-077EC95FCD84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43'!$P$5:$P$50</c:f>
              <c:numCache>
                <c:formatCode>0.0</c:formatCode>
                <c:ptCount val="46"/>
                <c:pt idx="0">
                  <c:v>0.74469814087879027</c:v>
                </c:pt>
                <c:pt idx="1">
                  <c:v>0.74469814087879027</c:v>
                </c:pt>
                <c:pt idx="2">
                  <c:v>0.74469814087879027</c:v>
                </c:pt>
                <c:pt idx="3">
                  <c:v>0.74469814087879027</c:v>
                </c:pt>
                <c:pt idx="4">
                  <c:v>0.74469814087879027</c:v>
                </c:pt>
                <c:pt idx="5">
                  <c:v>0.74469814087879027</c:v>
                </c:pt>
                <c:pt idx="6">
                  <c:v>0.74469814087879027</c:v>
                </c:pt>
                <c:pt idx="7">
                  <c:v>0.74469814087879027</c:v>
                </c:pt>
                <c:pt idx="8">
                  <c:v>0.74469814087879027</c:v>
                </c:pt>
                <c:pt idx="9">
                  <c:v>0.74469814087879027</c:v>
                </c:pt>
                <c:pt idx="10">
                  <c:v>0.74469814087879027</c:v>
                </c:pt>
                <c:pt idx="11">
                  <c:v>0.74469814087879027</c:v>
                </c:pt>
                <c:pt idx="12">
                  <c:v>0.74469814087879027</c:v>
                </c:pt>
                <c:pt idx="13">
                  <c:v>0.74469814087879027</c:v>
                </c:pt>
                <c:pt idx="14">
                  <c:v>0.74469814087879027</c:v>
                </c:pt>
                <c:pt idx="15">
                  <c:v>0.74469814087879027</c:v>
                </c:pt>
                <c:pt idx="16">
                  <c:v>0.74469814087879027</c:v>
                </c:pt>
                <c:pt idx="17">
                  <c:v>0.74469814087879027</c:v>
                </c:pt>
                <c:pt idx="18">
                  <c:v>0.74469814087879027</c:v>
                </c:pt>
                <c:pt idx="19">
                  <c:v>0.74469814087879027</c:v>
                </c:pt>
                <c:pt idx="20">
                  <c:v>0.74469814087879027</c:v>
                </c:pt>
                <c:pt idx="21">
                  <c:v>0.74469814087879027</c:v>
                </c:pt>
                <c:pt idx="22">
                  <c:v>0.74469814087879027</c:v>
                </c:pt>
                <c:pt idx="23">
                  <c:v>0.74469814087879027</c:v>
                </c:pt>
                <c:pt idx="24">
                  <c:v>0.74469814087879027</c:v>
                </c:pt>
                <c:pt idx="25">
                  <c:v>0.74469814087879027</c:v>
                </c:pt>
                <c:pt idx="26">
                  <c:v>0.74469814087879027</c:v>
                </c:pt>
                <c:pt idx="27">
                  <c:v>0.74469814087879027</c:v>
                </c:pt>
                <c:pt idx="28">
                  <c:v>0.74469814087879027</c:v>
                </c:pt>
                <c:pt idx="29">
                  <c:v>0.74469814087879027</c:v>
                </c:pt>
                <c:pt idx="30">
                  <c:v>0.74469814087879027</c:v>
                </c:pt>
                <c:pt idx="31">
                  <c:v>0.74469814087879027</c:v>
                </c:pt>
                <c:pt idx="32">
                  <c:v>0.74469814087879027</c:v>
                </c:pt>
                <c:pt idx="33">
                  <c:v>0.74469814087879027</c:v>
                </c:pt>
                <c:pt idx="34">
                  <c:v>0.74469814087879027</c:v>
                </c:pt>
                <c:pt idx="35">
                  <c:v>0.74469814087879027</c:v>
                </c:pt>
                <c:pt idx="36">
                  <c:v>0.74469814087879027</c:v>
                </c:pt>
                <c:pt idx="37">
                  <c:v>0.74469814087879027</c:v>
                </c:pt>
                <c:pt idx="38">
                  <c:v>0.74469814087879027</c:v>
                </c:pt>
                <c:pt idx="39">
                  <c:v>0.74469814087879027</c:v>
                </c:pt>
                <c:pt idx="40">
                  <c:v>0.74469814087879027</c:v>
                </c:pt>
                <c:pt idx="41">
                  <c:v>0.74469814087879027</c:v>
                </c:pt>
                <c:pt idx="42">
                  <c:v>0.74469814087879027</c:v>
                </c:pt>
                <c:pt idx="43">
                  <c:v>0.74469814087879027</c:v>
                </c:pt>
                <c:pt idx="44">
                  <c:v>0.74469814087879027</c:v>
                </c:pt>
                <c:pt idx="45">
                  <c:v>0.74469814087879027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845-BA4B-9E4D-077EC95FCD84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43'!$S$5:$S$50</c:f>
              <c:strCache>
                <c:ptCount val="46"/>
                <c:pt idx="0">
                  <c:v> (230,136,50,74,0.04) </c:v>
                </c:pt>
                <c:pt idx="1">
                  <c:v> (230,121,60,31,0.07) </c:v>
                </c:pt>
                <c:pt idx="2">
                  <c:v> (230,116,70,24,0.09) </c:v>
                </c:pt>
                <c:pt idx="3">
                  <c:v> (230,113,80,21,0.1) </c:v>
                </c:pt>
                <c:pt idx="4">
                  <c:v> (230,111,90,20,0.11) </c:v>
                </c:pt>
                <c:pt idx="5">
                  <c:v> (230,110,100,19,0.11) </c:v>
                </c:pt>
                <c:pt idx="6">
                  <c:v> (240,114,40,41,0.06) </c:v>
                </c:pt>
                <c:pt idx="7">
                  <c:v> (240,99,50,18,0.11) </c:v>
                </c:pt>
                <c:pt idx="8">
                  <c:v> (240,91,60,14,0.15) </c:v>
                </c:pt>
                <c:pt idx="9">
                  <c:v> (240,85,70,12,0.17) </c:v>
                </c:pt>
                <c:pt idx="10">
                  <c:v> (240,81,80,11,0.18) </c:v>
                </c:pt>
                <c:pt idx="11">
                  <c:v> (240,79,90,11,0.18) </c:v>
                </c:pt>
                <c:pt idx="12">
                  <c:v> (240,79,100,11,0.19) </c:v>
                </c:pt>
                <c:pt idx="13">
                  <c:v> (250,111,30,91,0.04) </c:v>
                </c:pt>
                <c:pt idx="14">
                  <c:v> (250,84,40,15,0.13) </c:v>
                </c:pt>
                <c:pt idx="15">
                  <c:v> (250,71,50,11,0.19) </c:v>
                </c:pt>
                <c:pt idx="16">
                  <c:v> (250,69,60,9,0.22) </c:v>
                </c:pt>
                <c:pt idx="17">
                  <c:v> (250,68,70,8,0.24) </c:v>
                </c:pt>
                <c:pt idx="18">
                  <c:v> (250,67,80,8,0.25) </c:v>
                </c:pt>
                <c:pt idx="19">
                  <c:v> (250,67,90,8,0.26) </c:v>
                </c:pt>
                <c:pt idx="20">
                  <c:v> (250,67,100,8,0.26) </c:v>
                </c:pt>
                <c:pt idx="21">
                  <c:v> (260,81,30,19,0.11) </c:v>
                </c:pt>
                <c:pt idx="22">
                  <c:v> (260,63,40,10,0.21) </c:v>
                </c:pt>
                <c:pt idx="23">
                  <c:v> (260,60,50,8,0.26) </c:v>
                </c:pt>
                <c:pt idx="24">
                  <c:v> (260,58,60,7,0.29) </c:v>
                </c:pt>
                <c:pt idx="25">
                  <c:v> (260,57,70,7,0.31) </c:v>
                </c:pt>
                <c:pt idx="26">
                  <c:v> (260,56,80,6,0.32) </c:v>
                </c:pt>
                <c:pt idx="27">
                  <c:v> (260,55,90,6,0.32) </c:v>
                </c:pt>
                <c:pt idx="28">
                  <c:v> (260,55,100,6,0.33) </c:v>
                </c:pt>
                <c:pt idx="29">
                  <c:v> (270,61,30,11,0.19) </c:v>
                </c:pt>
                <c:pt idx="30">
                  <c:v> (270,53,40,7,0.28) </c:v>
                </c:pt>
                <c:pt idx="31">
                  <c:v> (270,50,50,6,0.32) </c:v>
                </c:pt>
                <c:pt idx="32">
                  <c:v> (270,47,60,6,0.35) </c:v>
                </c:pt>
                <c:pt idx="33">
                  <c:v> (270,46,70,6,0.36) </c:v>
                </c:pt>
                <c:pt idx="34">
                  <c:v> (270,45,80,6,0.37) </c:v>
                </c:pt>
                <c:pt idx="35">
                  <c:v> (270,44,90,5,0.38) </c:v>
                </c:pt>
                <c:pt idx="36">
                  <c:v> (270,44,100,5,0.38) </c:v>
                </c:pt>
                <c:pt idx="37">
                  <c:v> (280,74,20,28,0.07) </c:v>
                </c:pt>
                <c:pt idx="38">
                  <c:v> (280,52,30,8,0.25) </c:v>
                </c:pt>
                <c:pt idx="39">
                  <c:v> (280,44,40,6,0.34) </c:v>
                </c:pt>
                <c:pt idx="40">
                  <c:v> (280,42,50,5,0.38) </c:v>
                </c:pt>
                <c:pt idx="41">
                  <c:v> (280,42,60,5,0.4) </c:v>
                </c:pt>
                <c:pt idx="42">
                  <c:v> (280,42,70,5,0.42) </c:v>
                </c:pt>
                <c:pt idx="43">
                  <c:v> (280,42,80,5,0.43) </c:v>
                </c:pt>
                <c:pt idx="44">
                  <c:v> (280,42,90,5,0.43) </c:v>
                </c:pt>
                <c:pt idx="45">
                  <c:v> (280,42,100,5,0.44) </c:v>
                </c:pt>
              </c:strCache>
            </c:strRef>
          </c:cat>
          <c:val>
            <c:numRef>
              <c:f>'Zero 43'!$O$5:$O$50</c:f>
              <c:numCache>
                <c:formatCode>_(* #,##0.00_);_(* \(#,##0.00\);_(* "-"??_);_(@_)</c:formatCode>
                <c:ptCount val="46"/>
                <c:pt idx="0">
                  <c:v>1.9517939929645722</c:v>
                </c:pt>
                <c:pt idx="1">
                  <c:v>1.4508560102142667</c:v>
                </c:pt>
                <c:pt idx="2">
                  <c:v>1.4326112380792591</c:v>
                </c:pt>
                <c:pt idx="3">
                  <c:v>1.3895773733695143</c:v>
                </c:pt>
                <c:pt idx="4">
                  <c:v>1.3947996088719257</c:v>
                </c:pt>
                <c:pt idx="5">
                  <c:v>1.3564591456896644</c:v>
                </c:pt>
                <c:pt idx="6">
                  <c:v>1.5231740562856353</c:v>
                </c:pt>
                <c:pt idx="7">
                  <c:v>1.3612186514640137</c:v>
                </c:pt>
                <c:pt idx="8">
                  <c:v>1.3863382652730818</c:v>
                </c:pt>
                <c:pt idx="9">
                  <c:v>1.3350413697050902</c:v>
                </c:pt>
                <c:pt idx="10">
                  <c:v>1.299411180644334</c:v>
                </c:pt>
                <c:pt idx="11">
                  <c:v>1.3444942770069239</c:v>
                </c:pt>
                <c:pt idx="12">
                  <c:v>1.3619457981795395</c:v>
                </c:pt>
                <c:pt idx="13">
                  <c:v>2.1114357491458846</c:v>
                </c:pt>
                <c:pt idx="14">
                  <c:v>1.3376194353328634</c:v>
                </c:pt>
                <c:pt idx="15">
                  <c:v>1.3830330529297834</c:v>
                </c:pt>
                <c:pt idx="16">
                  <c:v>1.3207628523820412</c:v>
                </c:pt>
                <c:pt idx="17">
                  <c:v>1.2734322116260082</c:v>
                </c:pt>
                <c:pt idx="18">
                  <c:v>1.3242002732190719</c:v>
                </c:pt>
                <c:pt idx="19">
                  <c:v>1.3559303117147365</c:v>
                </c:pt>
                <c:pt idx="20">
                  <c:v>1.3765548367369187</c:v>
                </c:pt>
                <c:pt idx="21">
                  <c:v>1.387858662950999</c:v>
                </c:pt>
                <c:pt idx="22">
                  <c:v>1.3657137402508996</c:v>
                </c:pt>
                <c:pt idx="23">
                  <c:v>1.3649204892885081</c:v>
                </c:pt>
                <c:pt idx="24">
                  <c:v>1.3335870762740389</c:v>
                </c:pt>
                <c:pt idx="25">
                  <c:v>1.4164156975970972</c:v>
                </c:pt>
                <c:pt idx="26">
                  <c:v>1.2616656556838659</c:v>
                </c:pt>
                <c:pt idx="27">
                  <c:v>1.2842733081120272</c:v>
                </c:pt>
                <c:pt idx="28">
                  <c:v>1.2953788215855095</c:v>
                </c:pt>
                <c:pt idx="29">
                  <c:v>1.3510385974466548</c:v>
                </c:pt>
                <c:pt idx="30">
                  <c:v>1.2729694818979465</c:v>
                </c:pt>
                <c:pt idx="31">
                  <c:v>1.2763407984881108</c:v>
                </c:pt>
                <c:pt idx="32">
                  <c:v>1.3822398019673918</c:v>
                </c:pt>
                <c:pt idx="33">
                  <c:v>1.4397504967407837</c:v>
                </c:pt>
                <c:pt idx="34">
                  <c:v>1.4754467900484067</c:v>
                </c:pt>
                <c:pt idx="35">
                  <c:v>1.2487092232981363</c:v>
                </c:pt>
                <c:pt idx="36">
                  <c:v>1.2589553815623613</c:v>
                </c:pt>
                <c:pt idx="37">
                  <c:v>1.3826364274485874</c:v>
                </c:pt>
                <c:pt idx="38">
                  <c:v>1.3464113001660372</c:v>
                </c:pt>
                <c:pt idx="39">
                  <c:v>1.3346447442238947</c:v>
                </c:pt>
                <c:pt idx="40">
                  <c:v>1.2539975630474136</c:v>
                </c:pt>
                <c:pt idx="41">
                  <c:v>1.3366278716298736</c:v>
                </c:pt>
                <c:pt idx="42">
                  <c:v>1.3842229293733705</c:v>
                </c:pt>
                <c:pt idx="43">
                  <c:v>1.4143003616973859</c:v>
                </c:pt>
                <c:pt idx="44">
                  <c:v>1.431156944648208</c:v>
                </c:pt>
                <c:pt idx="45">
                  <c:v>1.4420641453810927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845-BA4B-9E4D-077EC95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2128512"/>
        <c:axId val="351336064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43'!$Q$5:$Q$50</c:f>
              <c:numCache>
                <c:formatCode>_(* #,##0.00_);_(* \(#,##0.00\);_(* "-"??_);_(@_)</c:formatCode>
                <c:ptCount val="46"/>
                <c:pt idx="0">
                  <c:v>74.577618899129249</c:v>
                </c:pt>
                <c:pt idx="1">
                  <c:v>73.735516266309162</c:v>
                </c:pt>
                <c:pt idx="2">
                  <c:v>73.932415819181131</c:v>
                </c:pt>
                <c:pt idx="3">
                  <c:v>74.215788074493716</c:v>
                </c:pt>
                <c:pt idx="4">
                  <c:v>74.603047327526113</c:v>
                </c:pt>
                <c:pt idx="5">
                  <c:v>75.00237477938154</c:v>
                </c:pt>
                <c:pt idx="6">
                  <c:v>74.186434167447189</c:v>
                </c:pt>
                <c:pt idx="7">
                  <c:v>73.683314112555777</c:v>
                </c:pt>
                <c:pt idx="8">
                  <c:v>73.756685358848785</c:v>
                </c:pt>
                <c:pt idx="9">
                  <c:v>73.864901890780104</c:v>
                </c:pt>
                <c:pt idx="10">
                  <c:v>74.100046924233979</c:v>
                </c:pt>
                <c:pt idx="11">
                  <c:v>74.527167038126578</c:v>
                </c:pt>
                <c:pt idx="12">
                  <c:v>75.037917371844543</c:v>
                </c:pt>
                <c:pt idx="13">
                  <c:v>75.869118117950151</c:v>
                </c:pt>
                <c:pt idx="14">
                  <c:v>74.086566383975224</c:v>
                </c:pt>
                <c:pt idx="15">
                  <c:v>73.902077146517712</c:v>
                </c:pt>
                <c:pt idx="16">
                  <c:v>74.221843963499964</c:v>
                </c:pt>
                <c:pt idx="17">
                  <c:v>74.612181237781598</c:v>
                </c:pt>
                <c:pt idx="18">
                  <c:v>75.100617214412367</c:v>
                </c:pt>
                <c:pt idx="19">
                  <c:v>75.625646065453367</c:v>
                </c:pt>
                <c:pt idx="20">
                  <c:v>76.1395694030209</c:v>
                </c:pt>
                <c:pt idx="21">
                  <c:v>75.231227869236065</c:v>
                </c:pt>
                <c:pt idx="22">
                  <c:v>74.701025603943123</c:v>
                </c:pt>
                <c:pt idx="23">
                  <c:v>75.026638473003075</c:v>
                </c:pt>
                <c:pt idx="24">
                  <c:v>75.377342077518605</c:v>
                </c:pt>
                <c:pt idx="25">
                  <c:v>75.897838613879344</c:v>
                </c:pt>
                <c:pt idx="26">
                  <c:v>76.180756487003791</c:v>
                </c:pt>
                <c:pt idx="27">
                  <c:v>76.641032054469633</c:v>
                </c:pt>
                <c:pt idx="28">
                  <c:v>77.145436380488462</c:v>
                </c:pt>
                <c:pt idx="29">
                  <c:v>75.836403616289275</c:v>
                </c:pt>
                <c:pt idx="30">
                  <c:v>75.806586133224499</c:v>
                </c:pt>
                <c:pt idx="31">
                  <c:v>76.136363569836988</c:v>
                </c:pt>
                <c:pt idx="32">
                  <c:v>76.568668693338594</c:v>
                </c:pt>
                <c:pt idx="33">
                  <c:v>77.063847303149672</c:v>
                </c:pt>
                <c:pt idx="34">
                  <c:v>77.537211511494974</c:v>
                </c:pt>
                <c:pt idx="35">
                  <c:v>77.748141859782365</c:v>
                </c:pt>
                <c:pt idx="36">
                  <c:v>78.25168683059195</c:v>
                </c:pt>
                <c:pt idx="37">
                  <c:v>77.852518064056724</c:v>
                </c:pt>
                <c:pt idx="38">
                  <c:v>77.085712004150651</c:v>
                </c:pt>
                <c:pt idx="39">
                  <c:v>77.122197080692445</c:v>
                </c:pt>
                <c:pt idx="40">
                  <c:v>77.423586917045981</c:v>
                </c:pt>
                <c:pt idx="41">
                  <c:v>77.99951603817378</c:v>
                </c:pt>
                <c:pt idx="42">
                  <c:v>78.540409908462621</c:v>
                </c:pt>
                <c:pt idx="43">
                  <c:v>79.063786153332003</c:v>
                </c:pt>
                <c:pt idx="44">
                  <c:v>79.573941548828174</c:v>
                </c:pt>
                <c:pt idx="45">
                  <c:v>80.078147562106423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845-BA4B-9E4D-077EC95F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128512"/>
        <c:axId val="351336064"/>
      </c:lineChart>
      <c:catAx>
        <c:axId val="35212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336064"/>
        <c:crosses val="autoZero"/>
        <c:auto val="1"/>
        <c:lblAlgn val="ctr"/>
        <c:lblOffset val="100"/>
        <c:noMultiLvlLbl val="0"/>
      </c:catAx>
      <c:valAx>
        <c:axId val="351336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2128512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Minimum Electricity</a:t>
            </a:r>
            <a:r>
              <a:rPr lang="en-GB" baseline="0"/>
              <a:t> Price in components for each Renewable Capacity: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43'!$L$6,'Zero 43'!$L$12,'Zero 43'!$L$20,'Zero 43'!$L$27,'Zero 43'!$L$35,'Zero 43'!$L$43)</c:f>
              <c:numCache>
                <c:formatCode>0.0_ 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45-6C47-9904-3093BAE08CDF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43'!$G$6,'Zero 43'!$G$12,'Zero 43'!$G$20,'Zero 43'!$G$27,'Zero 43'!$G$35,'Zero 43'!$G$43)</c:f>
              <c:numCache>
                <c:formatCode>_(* #,##0.0_);_(* \(#,##0.0\);_(* "-"??_);_(@_)</c:formatCode>
                <c:ptCount val="6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45-6C47-9904-3093BAE08CDF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43'!$H$6,'Zero 43'!$H$12,'Zero 43'!$H$20,'Zero 43'!$H$27,'Zero 43'!$H$35,'Zero 43'!$H$43)</c:f>
              <c:numCache>
                <c:formatCode>_(* #,##0.0_);_(* \(#,##0.0\);_(* "-"??_);_(@_)</c:formatCode>
                <c:ptCount val="6"/>
                <c:pt idx="0">
                  <c:v>40.35611654235494</c:v>
                </c:pt>
                <c:pt idx="1">
                  <c:v>42.110730305066035</c:v>
                </c:pt>
                <c:pt idx="2">
                  <c:v>43.86534406777713</c:v>
                </c:pt>
                <c:pt idx="3">
                  <c:v>45.619957830488204</c:v>
                </c:pt>
                <c:pt idx="4">
                  <c:v>47.374571593199285</c:v>
                </c:pt>
                <c:pt idx="5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45-6C47-9904-3093BAE08CDF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43'!$J$6,'Zero 43'!$J$12,'Zero 43'!$J$20,'Zero 43'!$J$27,'Zero 43'!$J$35,'Zero 43'!$J$43)</c:f>
              <c:numCache>
                <c:formatCode>_(* #,##0.0_);_(* \(#,##0.0\);_(* "-"??_);_(@_)</c:formatCode>
                <c:ptCount val="6"/>
                <c:pt idx="0">
                  <c:v>6.731338598428815</c:v>
                </c:pt>
                <c:pt idx="1">
                  <c:v>5.5074588532599389</c:v>
                </c:pt>
                <c:pt idx="2">
                  <c:v>3.9497937230450071</c:v>
                </c:pt>
                <c:pt idx="3">
                  <c:v>3.5047465429835976</c:v>
                </c:pt>
                <c:pt idx="4">
                  <c:v>2.9484375679068364</c:v>
                </c:pt>
                <c:pt idx="5">
                  <c:v>2.89280667039916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45-6C47-9904-3093BAE08CDF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43'!$I$6,'Zero 43'!$I$12,'Zero 43'!$I$20,'Zero 43'!$I$27,'Zero 43'!$I$35,'Zero 43'!$I$43)</c:f>
              <c:numCache>
                <c:formatCode>_(* #,##0.0_);_(* \(#,##0.0\);_(* "-"??_);_(@_)</c:formatCode>
                <c:ptCount val="6"/>
                <c:pt idx="0">
                  <c:v>2.9597928752721221</c:v>
                </c:pt>
                <c:pt idx="1">
                  <c:v>2.4664940627267682</c:v>
                </c:pt>
                <c:pt idx="2">
                  <c:v>2.4664940627267682</c:v>
                </c:pt>
                <c:pt idx="3">
                  <c:v>1.9731952501814143</c:v>
                </c:pt>
                <c:pt idx="4">
                  <c:v>1.9731952501814143</c:v>
                </c:pt>
                <c:pt idx="5">
                  <c:v>1.479896437636061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45-6C47-9904-3093BAE08CDF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43'!$K$6,'Zero 43'!$K$12,'Zero 43'!$K$20,'Zero 43'!$K$27,'Zero 43'!$K$35,'Zero 43'!$K$43)</c:f>
              <c:numCache>
                <c:formatCode>_(* #,##0.0_);_(* \(#,##0.0\);_(* "-"??_);_(@_)</c:formatCode>
                <c:ptCount val="6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45-6C47-9904-3093BAE08CDF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43'!$P$6,'Zero 43'!$P$12,'Zero 43'!$P$20,'Zero 43'!$P$27,'Zero 43'!$P$35,'Zero 43'!$P$43)</c:f>
              <c:numCache>
                <c:formatCode>0.0</c:formatCode>
                <c:ptCount val="6"/>
                <c:pt idx="0">
                  <c:v>0.74469814087879027</c:v>
                </c:pt>
                <c:pt idx="1">
                  <c:v>0.74469814087879027</c:v>
                </c:pt>
                <c:pt idx="2">
                  <c:v>0.74469814087879027</c:v>
                </c:pt>
                <c:pt idx="3">
                  <c:v>0.74469814087879027</c:v>
                </c:pt>
                <c:pt idx="4">
                  <c:v>0.74469814087879027</c:v>
                </c:pt>
                <c:pt idx="5">
                  <c:v>0.74469814087879027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45-6C47-9904-3093BAE08CDF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('Zero 43'!$S$6,'Zero 43'!$S$12,'Zero 43'!$S$20,'Zero 43'!$S$27,'Zero 43'!$S$35,'Zero 43'!$S$43)</c:f>
              <c:strCache>
                <c:ptCount val="6"/>
                <c:pt idx="0">
                  <c:v> (230,121,60,31,0.07) </c:v>
                </c:pt>
                <c:pt idx="1">
                  <c:v> (240,99,50,18,0.11) </c:v>
                </c:pt>
                <c:pt idx="2">
                  <c:v> (250,71,50,11,0.19) </c:v>
                </c:pt>
                <c:pt idx="3">
                  <c:v> (260,63,40,10,0.21) </c:v>
                </c:pt>
                <c:pt idx="4">
                  <c:v> (270,53,40,7,0.28) </c:v>
                </c:pt>
                <c:pt idx="5">
                  <c:v> (280,52,30,8,0.25) </c:v>
                </c:pt>
              </c:strCache>
            </c:strRef>
          </c:cat>
          <c:val>
            <c:numRef>
              <c:f>('Zero 43'!$O$6,'Zero 43'!$O$12,'Zero 43'!$O$20,'Zero 43'!$O$27,'Zero 43'!$O$35,'Zero 43'!$O$43)</c:f>
              <c:numCache>
                <c:formatCode>_(* #,##0.00_);_(* \(#,##0.00\);_(* "-"??_);_(@_)</c:formatCode>
                <c:ptCount val="6"/>
                <c:pt idx="0">
                  <c:v>1.4508560102142667</c:v>
                </c:pt>
                <c:pt idx="1">
                  <c:v>1.3612186514640137</c:v>
                </c:pt>
                <c:pt idx="2">
                  <c:v>1.3830330529297834</c:v>
                </c:pt>
                <c:pt idx="3">
                  <c:v>1.3657137402508996</c:v>
                </c:pt>
                <c:pt idx="4">
                  <c:v>1.2729694818979465</c:v>
                </c:pt>
                <c:pt idx="5">
                  <c:v>1.3464113001660372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1758848"/>
        <c:axId val="352215040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('Zero 43'!$Q$6,'Zero 43'!$Q$12,'Zero 43'!$Q$20,'Zero 43'!$Q$27,'Zero 43'!$Q$35,'Zero 43'!$Q$43)</c:f>
              <c:numCache>
                <c:formatCode>_(* #,##0.00_);_(* \(#,##0.00\);_(* "-"??_);_(@_)</c:formatCode>
                <c:ptCount val="6"/>
                <c:pt idx="0">
                  <c:v>73.735516266309162</c:v>
                </c:pt>
                <c:pt idx="1">
                  <c:v>73.683314112555777</c:v>
                </c:pt>
                <c:pt idx="2">
                  <c:v>73.902077146517712</c:v>
                </c:pt>
                <c:pt idx="3">
                  <c:v>74.701025603943123</c:v>
                </c:pt>
                <c:pt idx="4">
                  <c:v>75.806586133224499</c:v>
                </c:pt>
                <c:pt idx="5">
                  <c:v>77.085712004150651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545-6C47-9904-3093BAE08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58848"/>
        <c:axId val="352215040"/>
      </c:lineChart>
      <c:catAx>
        <c:axId val="35175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Electrolyser Power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2215040"/>
        <c:crosses val="autoZero"/>
        <c:auto val="1"/>
        <c:lblAlgn val="ctr"/>
        <c:lblOffset val="100"/>
        <c:noMultiLvlLbl val="0"/>
      </c:catAx>
      <c:valAx>
        <c:axId val="352215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1758848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Trend Mid: CAPEX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41275">
              <a:solidFill>
                <a:schemeClr val="tx1"/>
              </a:solidFill>
            </a:ln>
          </c:spPr>
          <c:marker>
            <c:symbol val="circle"/>
            <c:size val="12"/>
            <c:spPr>
              <a:solidFill>
                <a:schemeClr val="accent2"/>
              </a:solidFill>
              <a:ln w="53975">
                <a:solidFill>
                  <a:srgbClr val="FF0000"/>
                </a:solidFill>
              </a:ln>
            </c:spPr>
          </c:marker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101'!$Q$5:$Q$46</c:f>
              <c:numCache>
                <c:formatCode>_(* #,##0.00_);_(* \(#,##0.00\);_(* "-"??_);_(@_)</c:formatCode>
                <c:ptCount val="42"/>
                <c:pt idx="0">
                  <c:v>77.599903453266336</c:v>
                </c:pt>
                <c:pt idx="1">
                  <c:v>77.04779617114005</c:v>
                </c:pt>
                <c:pt idx="2">
                  <c:v>77.215897666212598</c:v>
                </c:pt>
                <c:pt idx="3">
                  <c:v>77.615294468109411</c:v>
                </c:pt>
                <c:pt idx="4">
                  <c:v>76.0904233811426</c:v>
                </c:pt>
                <c:pt idx="5">
                  <c:v>75.784029365187834</c:v>
                </c:pt>
                <c:pt idx="6">
                  <c:v>75.831599786750104</c:v>
                </c:pt>
                <c:pt idx="7">
                  <c:v>76.080050193265905</c:v>
                </c:pt>
                <c:pt idx="8">
                  <c:v>76.458834166178931</c:v>
                </c:pt>
                <c:pt idx="9">
                  <c:v>76.99499662544207</c:v>
                </c:pt>
                <c:pt idx="10">
                  <c:v>76.250716565667048</c:v>
                </c:pt>
                <c:pt idx="11">
                  <c:v>75.768543289825729</c:v>
                </c:pt>
                <c:pt idx="12">
                  <c:v>76.1318274619167</c:v>
                </c:pt>
                <c:pt idx="13">
                  <c:v>76.538113064178873</c:v>
                </c:pt>
                <c:pt idx="14">
                  <c:v>76.944653807195323</c:v>
                </c:pt>
                <c:pt idx="15">
                  <c:v>77.350949622533761</c:v>
                </c:pt>
                <c:pt idx="16">
                  <c:v>77.891513259808093</c:v>
                </c:pt>
                <c:pt idx="17">
                  <c:v>77.55282339728754</c:v>
                </c:pt>
                <c:pt idx="18">
                  <c:v>76.471911276164477</c:v>
                </c:pt>
                <c:pt idx="19">
                  <c:v>76.763554468417198</c:v>
                </c:pt>
                <c:pt idx="20">
                  <c:v>77.142721152461633</c:v>
                </c:pt>
                <c:pt idx="21">
                  <c:v>77.579240934105087</c:v>
                </c:pt>
                <c:pt idx="22">
                  <c:v>77.936475726358367</c:v>
                </c:pt>
                <c:pt idx="23">
                  <c:v>78.428679977621783</c:v>
                </c:pt>
                <c:pt idx="24">
                  <c:v>78.94876856936574</c:v>
                </c:pt>
                <c:pt idx="25">
                  <c:v>77.659087411061506</c:v>
                </c:pt>
                <c:pt idx="26">
                  <c:v>77.666006241353315</c:v>
                </c:pt>
                <c:pt idx="27">
                  <c:v>77.912808446042632</c:v>
                </c:pt>
                <c:pt idx="28">
                  <c:v>78.272382864120374</c:v>
                </c:pt>
                <c:pt idx="29">
                  <c:v>78.607994477449083</c:v>
                </c:pt>
                <c:pt idx="30">
                  <c:v>79.120291063111452</c:v>
                </c:pt>
                <c:pt idx="31">
                  <c:v>79.606053010329475</c:v>
                </c:pt>
                <c:pt idx="32">
                  <c:v>80.12505725386778</c:v>
                </c:pt>
                <c:pt idx="33">
                  <c:v>81.065567237575976</c:v>
                </c:pt>
                <c:pt idx="34">
                  <c:v>78.798720038289446</c:v>
                </c:pt>
                <c:pt idx="35">
                  <c:v>78.766347192423297</c:v>
                </c:pt>
                <c:pt idx="36">
                  <c:v>79.289477047065972</c:v>
                </c:pt>
                <c:pt idx="37">
                  <c:v>79.732130419888236</c:v>
                </c:pt>
                <c:pt idx="38">
                  <c:v>80.068517668556026</c:v>
                </c:pt>
                <c:pt idx="39">
                  <c:v>80.625665454858066</c:v>
                </c:pt>
                <c:pt idx="40">
                  <c:v>81.154747758190126</c:v>
                </c:pt>
                <c:pt idx="41">
                  <c:v>81.671200594185706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BF-A043-8D34-124835218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71424"/>
        <c:axId val="352217920"/>
      </c:lineChart>
      <c:catAx>
        <c:axId val="37367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 b="1" i="0" baseline="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en-US"/>
          </a:p>
        </c:txPr>
        <c:crossAx val="352217920"/>
        <c:crosses val="autoZero"/>
        <c:auto val="1"/>
        <c:lblAlgn val="ctr"/>
        <c:lblOffset val="100"/>
        <c:noMultiLvlLbl val="0"/>
      </c:catAx>
      <c:valAx>
        <c:axId val="352217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 sz="1200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73671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ja-JP"/>
            </a:pPr>
            <a:r>
              <a:rPr lang="en-GB"/>
              <a:t>Electricity</a:t>
            </a:r>
            <a:r>
              <a:rPr lang="en-GB" baseline="0"/>
              <a:t> Price in components: Mid CAPEX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Other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101'!$L$5:$L$46</c:f>
              <c:numCache>
                <c:formatCode>0.0_ </c:formatCode>
                <c:ptCount val="4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BC-164E-849E-5C3CB96E95FA}"/>
            </c:ext>
          </c:extLst>
        </c:ser>
        <c:ser>
          <c:idx val="1"/>
          <c:order val="1"/>
          <c:tx>
            <c:v>Nuclear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101'!$G$5:$G$46</c:f>
              <c:numCache>
                <c:formatCode>_(* #,##0.0_);_(* \(#,##0.0\);_(* "-"??_);_(@_)</c:formatCode>
                <c:ptCount val="42"/>
                <c:pt idx="0">
                  <c:v>12.833780869565217</c:v>
                </c:pt>
                <c:pt idx="1">
                  <c:v>12.833780869565217</c:v>
                </c:pt>
                <c:pt idx="2">
                  <c:v>12.833780869565217</c:v>
                </c:pt>
                <c:pt idx="3">
                  <c:v>12.833780869565217</c:v>
                </c:pt>
                <c:pt idx="4">
                  <c:v>12.833780869565217</c:v>
                </c:pt>
                <c:pt idx="5">
                  <c:v>12.833780869565217</c:v>
                </c:pt>
                <c:pt idx="6">
                  <c:v>12.833780869565217</c:v>
                </c:pt>
                <c:pt idx="7">
                  <c:v>12.833780869565217</c:v>
                </c:pt>
                <c:pt idx="8">
                  <c:v>12.833780869565217</c:v>
                </c:pt>
                <c:pt idx="9">
                  <c:v>12.833780869565217</c:v>
                </c:pt>
                <c:pt idx="10">
                  <c:v>12.833780869565217</c:v>
                </c:pt>
                <c:pt idx="11">
                  <c:v>12.833780869565217</c:v>
                </c:pt>
                <c:pt idx="12">
                  <c:v>12.833780869565217</c:v>
                </c:pt>
                <c:pt idx="13">
                  <c:v>12.833780869565217</c:v>
                </c:pt>
                <c:pt idx="14">
                  <c:v>12.833780869565217</c:v>
                </c:pt>
                <c:pt idx="15">
                  <c:v>12.833780869565217</c:v>
                </c:pt>
                <c:pt idx="16">
                  <c:v>12.833780869565217</c:v>
                </c:pt>
                <c:pt idx="17">
                  <c:v>12.833780869565217</c:v>
                </c:pt>
                <c:pt idx="18">
                  <c:v>12.833780869565217</c:v>
                </c:pt>
                <c:pt idx="19">
                  <c:v>12.833780869565217</c:v>
                </c:pt>
                <c:pt idx="20">
                  <c:v>12.833780869565217</c:v>
                </c:pt>
                <c:pt idx="21">
                  <c:v>12.833780869565217</c:v>
                </c:pt>
                <c:pt idx="22">
                  <c:v>12.833780869565217</c:v>
                </c:pt>
                <c:pt idx="23">
                  <c:v>12.833780869565217</c:v>
                </c:pt>
                <c:pt idx="24">
                  <c:v>12.833780869565217</c:v>
                </c:pt>
                <c:pt idx="25">
                  <c:v>12.833780869565217</c:v>
                </c:pt>
                <c:pt idx="26">
                  <c:v>12.833780869565217</c:v>
                </c:pt>
                <c:pt idx="27">
                  <c:v>12.833780869565217</c:v>
                </c:pt>
                <c:pt idx="28">
                  <c:v>12.833780869565217</c:v>
                </c:pt>
                <c:pt idx="29">
                  <c:v>12.833780869565217</c:v>
                </c:pt>
                <c:pt idx="30">
                  <c:v>12.833780869565217</c:v>
                </c:pt>
                <c:pt idx="31">
                  <c:v>12.833780869565217</c:v>
                </c:pt>
                <c:pt idx="32">
                  <c:v>12.833780869565217</c:v>
                </c:pt>
                <c:pt idx="33">
                  <c:v>12.833780869565217</c:v>
                </c:pt>
                <c:pt idx="34">
                  <c:v>12.833780869565217</c:v>
                </c:pt>
                <c:pt idx="35">
                  <c:v>12.833780869565217</c:v>
                </c:pt>
                <c:pt idx="36">
                  <c:v>12.833780869565217</c:v>
                </c:pt>
                <c:pt idx="37">
                  <c:v>12.833780869565217</c:v>
                </c:pt>
                <c:pt idx="38">
                  <c:v>12.833780869565217</c:v>
                </c:pt>
                <c:pt idx="39">
                  <c:v>12.833780869565217</c:v>
                </c:pt>
                <c:pt idx="40">
                  <c:v>12.833780869565217</c:v>
                </c:pt>
                <c:pt idx="41">
                  <c:v>12.833780869565217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9BC-164E-849E-5C3CB96E95FA}"/>
            </c:ext>
          </c:extLst>
        </c:ser>
        <c:ser>
          <c:idx val="2"/>
          <c:order val="2"/>
          <c:tx>
            <c:v>Renewable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101'!$H$5:$H$46</c:f>
              <c:numCache>
                <c:formatCode>_(* #,##0.0_);_(* \(#,##0.0\);_(* "-"??_);_(@_)</c:formatCode>
                <c:ptCount val="42"/>
                <c:pt idx="0">
                  <c:v>40.35611654235494</c:v>
                </c:pt>
                <c:pt idx="1">
                  <c:v>40.35611654235494</c:v>
                </c:pt>
                <c:pt idx="2">
                  <c:v>40.35611654235494</c:v>
                </c:pt>
                <c:pt idx="3">
                  <c:v>40.35611654235494</c:v>
                </c:pt>
                <c:pt idx="4">
                  <c:v>42.110730305066035</c:v>
                </c:pt>
                <c:pt idx="5">
                  <c:v>42.110730305066035</c:v>
                </c:pt>
                <c:pt idx="6">
                  <c:v>42.110730305066035</c:v>
                </c:pt>
                <c:pt idx="7">
                  <c:v>42.110730305066035</c:v>
                </c:pt>
                <c:pt idx="8">
                  <c:v>42.110730305066035</c:v>
                </c:pt>
                <c:pt idx="9">
                  <c:v>42.110730305066035</c:v>
                </c:pt>
                <c:pt idx="10">
                  <c:v>43.86534406777713</c:v>
                </c:pt>
                <c:pt idx="11">
                  <c:v>43.86534406777713</c:v>
                </c:pt>
                <c:pt idx="12">
                  <c:v>43.86534406777713</c:v>
                </c:pt>
                <c:pt idx="13">
                  <c:v>43.86534406777713</c:v>
                </c:pt>
                <c:pt idx="14">
                  <c:v>43.86534406777713</c:v>
                </c:pt>
                <c:pt idx="15">
                  <c:v>43.86534406777713</c:v>
                </c:pt>
                <c:pt idx="16">
                  <c:v>43.86534406777713</c:v>
                </c:pt>
                <c:pt idx="17">
                  <c:v>45.619957830488204</c:v>
                </c:pt>
                <c:pt idx="18">
                  <c:v>45.619957830488204</c:v>
                </c:pt>
                <c:pt idx="19">
                  <c:v>45.619957830488204</c:v>
                </c:pt>
                <c:pt idx="20">
                  <c:v>45.619957830488204</c:v>
                </c:pt>
                <c:pt idx="21">
                  <c:v>45.619957830488204</c:v>
                </c:pt>
                <c:pt idx="22">
                  <c:v>45.619957830488204</c:v>
                </c:pt>
                <c:pt idx="23">
                  <c:v>45.619957830488204</c:v>
                </c:pt>
                <c:pt idx="24">
                  <c:v>45.619957830488204</c:v>
                </c:pt>
                <c:pt idx="25">
                  <c:v>47.374571593199285</c:v>
                </c:pt>
                <c:pt idx="26">
                  <c:v>47.374571593199285</c:v>
                </c:pt>
                <c:pt idx="27">
                  <c:v>47.374571593199285</c:v>
                </c:pt>
                <c:pt idx="28">
                  <c:v>47.374571593199285</c:v>
                </c:pt>
                <c:pt idx="29">
                  <c:v>47.374571593199285</c:v>
                </c:pt>
                <c:pt idx="30">
                  <c:v>47.374571593199285</c:v>
                </c:pt>
                <c:pt idx="31">
                  <c:v>47.374571593199285</c:v>
                </c:pt>
                <c:pt idx="32">
                  <c:v>47.374571593199285</c:v>
                </c:pt>
                <c:pt idx="33">
                  <c:v>49.129185355910373</c:v>
                </c:pt>
                <c:pt idx="34">
                  <c:v>49.129185355910373</c:v>
                </c:pt>
                <c:pt idx="35">
                  <c:v>49.129185355910373</c:v>
                </c:pt>
                <c:pt idx="36">
                  <c:v>49.129185355910373</c:v>
                </c:pt>
                <c:pt idx="37">
                  <c:v>49.129185355910373</c:v>
                </c:pt>
                <c:pt idx="38">
                  <c:v>49.129185355910373</c:v>
                </c:pt>
                <c:pt idx="39">
                  <c:v>49.129185355910373</c:v>
                </c:pt>
                <c:pt idx="40">
                  <c:v>49.129185355910373</c:v>
                </c:pt>
                <c:pt idx="41">
                  <c:v>49.129185355910373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9BC-164E-849E-5C3CB96E95FA}"/>
            </c:ext>
          </c:extLst>
        </c:ser>
        <c:ser>
          <c:idx val="3"/>
          <c:order val="3"/>
          <c:tx>
            <c:v>Hydrogen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101'!$J$5:$J$46</c:f>
              <c:numCache>
                <c:formatCode>_(* #,##0.0_);_(* \(#,##0.0\);_(* "-"??_);_(@_)</c:formatCode>
                <c:ptCount val="42"/>
                <c:pt idx="0">
                  <c:v>6.453184110890434</c:v>
                </c:pt>
                <c:pt idx="1">
                  <c:v>6.2862914183674059</c:v>
                </c:pt>
                <c:pt idx="2">
                  <c:v>6.1750296233520539</c:v>
                </c:pt>
                <c:pt idx="3">
                  <c:v>6.1193987258443778</c:v>
                </c:pt>
                <c:pt idx="4">
                  <c:v>5.5074588532599389</c:v>
                </c:pt>
                <c:pt idx="5">
                  <c:v>5.0624116731985298</c:v>
                </c:pt>
                <c:pt idx="6">
                  <c:v>4.7286262881524737</c:v>
                </c:pt>
                <c:pt idx="7">
                  <c:v>4.5061026981217687</c:v>
                </c:pt>
                <c:pt idx="8">
                  <c:v>4.3948409031064157</c:v>
                </c:pt>
                <c:pt idx="9">
                  <c:v>4.3948409031064157</c:v>
                </c:pt>
                <c:pt idx="10">
                  <c:v>4.6729953906447976</c:v>
                </c:pt>
                <c:pt idx="11">
                  <c:v>3.9497937230450071</c:v>
                </c:pt>
                <c:pt idx="12">
                  <c:v>3.8385319280296546</c:v>
                </c:pt>
                <c:pt idx="13">
                  <c:v>3.782901030521979</c:v>
                </c:pt>
                <c:pt idx="14">
                  <c:v>3.7272701330143021</c:v>
                </c:pt>
                <c:pt idx="15">
                  <c:v>3.7272701330143021</c:v>
                </c:pt>
                <c:pt idx="16">
                  <c:v>3.7272701330143021</c:v>
                </c:pt>
                <c:pt idx="17">
                  <c:v>4.5061026981217687</c:v>
                </c:pt>
                <c:pt idx="18">
                  <c:v>3.5047465429835976</c:v>
                </c:pt>
                <c:pt idx="19">
                  <c:v>3.3378538504605695</c:v>
                </c:pt>
                <c:pt idx="20">
                  <c:v>3.226592055445217</c:v>
                </c:pt>
                <c:pt idx="21">
                  <c:v>3.170961157937541</c:v>
                </c:pt>
                <c:pt idx="22">
                  <c:v>3.1153302604298649</c:v>
                </c:pt>
                <c:pt idx="23">
                  <c:v>3.0596993629221889</c:v>
                </c:pt>
                <c:pt idx="24">
                  <c:v>3.0596993629221889</c:v>
                </c:pt>
                <c:pt idx="25">
                  <c:v>3.393484747968246</c:v>
                </c:pt>
                <c:pt idx="26">
                  <c:v>2.9484375679068364</c:v>
                </c:pt>
                <c:pt idx="27">
                  <c:v>2.7815448753838083</c:v>
                </c:pt>
                <c:pt idx="28">
                  <c:v>2.6146521828607794</c:v>
                </c:pt>
                <c:pt idx="29">
                  <c:v>2.5590212853531038</c:v>
                </c:pt>
                <c:pt idx="30">
                  <c:v>2.5033903878454269</c:v>
                </c:pt>
                <c:pt idx="31">
                  <c:v>2.4477594903377509</c:v>
                </c:pt>
                <c:pt idx="32">
                  <c:v>2.4477594903377509</c:v>
                </c:pt>
                <c:pt idx="33">
                  <c:v>4.1166864155680347</c:v>
                </c:pt>
                <c:pt idx="34">
                  <c:v>2.89280667039916</c:v>
                </c:pt>
                <c:pt idx="35">
                  <c:v>2.4477594903377509</c:v>
                </c:pt>
                <c:pt idx="36">
                  <c:v>2.3364976953223988</c:v>
                </c:pt>
                <c:pt idx="37">
                  <c:v>2.3364976953223988</c:v>
                </c:pt>
                <c:pt idx="38">
                  <c:v>2.3364976953223988</c:v>
                </c:pt>
                <c:pt idx="39">
                  <c:v>2.3364976953223988</c:v>
                </c:pt>
                <c:pt idx="40">
                  <c:v>2.3364976953223988</c:v>
                </c:pt>
                <c:pt idx="41">
                  <c:v>2.3364976953223988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9BC-164E-849E-5C3CB96E95FA}"/>
            </c:ext>
          </c:extLst>
        </c:ser>
        <c:ser>
          <c:idx val="4"/>
          <c:order val="4"/>
          <c:tx>
            <c:v>Electrolyser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101'!$I$5:$I$46</c:f>
              <c:numCache>
                <c:formatCode>_(* #,##0.0_);_(* \(#,##0.0\);_(* "-"??_);_(@_)</c:formatCode>
                <c:ptCount val="42"/>
                <c:pt idx="0">
                  <c:v>3.4530916878174751</c:v>
                </c:pt>
                <c:pt idx="1">
                  <c:v>3.9463905003628286</c:v>
                </c:pt>
                <c:pt idx="2">
                  <c:v>4.4396893129081834</c:v>
                </c:pt>
                <c:pt idx="3">
                  <c:v>4.9329881254535364</c:v>
                </c:pt>
                <c:pt idx="4">
                  <c:v>2.4664940627267682</c:v>
                </c:pt>
                <c:pt idx="5">
                  <c:v>2.9597928752721221</c:v>
                </c:pt>
                <c:pt idx="6">
                  <c:v>3.4530916878174751</c:v>
                </c:pt>
                <c:pt idx="7">
                  <c:v>3.9463905003628286</c:v>
                </c:pt>
                <c:pt idx="8">
                  <c:v>4.4396893129081834</c:v>
                </c:pt>
                <c:pt idx="9">
                  <c:v>4.9329881254535364</c:v>
                </c:pt>
                <c:pt idx="10">
                  <c:v>1.9731952501814143</c:v>
                </c:pt>
                <c:pt idx="11">
                  <c:v>2.4664940627267682</c:v>
                </c:pt>
                <c:pt idx="12">
                  <c:v>2.9597928752721221</c:v>
                </c:pt>
                <c:pt idx="13">
                  <c:v>3.4530916878174751</c:v>
                </c:pt>
                <c:pt idx="14">
                  <c:v>3.9463905003628286</c:v>
                </c:pt>
                <c:pt idx="15">
                  <c:v>4.4396893129081834</c:v>
                </c:pt>
                <c:pt idx="16">
                  <c:v>4.9329881254535364</c:v>
                </c:pt>
                <c:pt idx="17">
                  <c:v>1.479896437636061</c:v>
                </c:pt>
                <c:pt idx="18">
                  <c:v>1.9731952501814143</c:v>
                </c:pt>
                <c:pt idx="19">
                  <c:v>2.4664940627267682</c:v>
                </c:pt>
                <c:pt idx="20">
                  <c:v>2.9597928752721221</c:v>
                </c:pt>
                <c:pt idx="21">
                  <c:v>3.4530916878174751</c:v>
                </c:pt>
                <c:pt idx="22">
                  <c:v>3.9463905003628286</c:v>
                </c:pt>
                <c:pt idx="23">
                  <c:v>4.4396893129081834</c:v>
                </c:pt>
                <c:pt idx="24">
                  <c:v>4.9329881254535364</c:v>
                </c:pt>
                <c:pt idx="25">
                  <c:v>1.479896437636061</c:v>
                </c:pt>
                <c:pt idx="26">
                  <c:v>1.9731952501814143</c:v>
                </c:pt>
                <c:pt idx="27">
                  <c:v>2.4664940627267682</c:v>
                </c:pt>
                <c:pt idx="28">
                  <c:v>2.9597928752721221</c:v>
                </c:pt>
                <c:pt idx="29">
                  <c:v>3.4530916878174751</c:v>
                </c:pt>
                <c:pt idx="30">
                  <c:v>3.9463905003628286</c:v>
                </c:pt>
                <c:pt idx="31">
                  <c:v>4.4396893129081834</c:v>
                </c:pt>
                <c:pt idx="32">
                  <c:v>4.9329881254535364</c:v>
                </c:pt>
                <c:pt idx="33">
                  <c:v>0.98659762509070714</c:v>
                </c:pt>
                <c:pt idx="34">
                  <c:v>1.479896437636061</c:v>
                </c:pt>
                <c:pt idx="35">
                  <c:v>1.9731952501814143</c:v>
                </c:pt>
                <c:pt idx="36">
                  <c:v>2.4664940627267682</c:v>
                </c:pt>
                <c:pt idx="37">
                  <c:v>2.9597928752721221</c:v>
                </c:pt>
                <c:pt idx="38">
                  <c:v>3.4530916878174751</c:v>
                </c:pt>
                <c:pt idx="39">
                  <c:v>3.9463905003628286</c:v>
                </c:pt>
                <c:pt idx="40">
                  <c:v>4.4396893129081834</c:v>
                </c:pt>
                <c:pt idx="41">
                  <c:v>4.9329881254535364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9BC-164E-849E-5C3CB96E95FA}"/>
            </c:ext>
          </c:extLst>
        </c:ser>
        <c:ser>
          <c:idx val="5"/>
          <c:order val="5"/>
          <c:tx>
            <c:v>Hydrogen Electricity Generation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101'!$K$5:$K$46</c:f>
              <c:numCache>
                <c:formatCode>_(* #,##0.0_);_(* \(#,##0.0\);_(* "-"??_);_(@_)</c:formatCode>
                <c:ptCount val="42"/>
                <c:pt idx="0">
                  <c:v>4.6589332295950063</c:v>
                </c:pt>
                <c:pt idx="1">
                  <c:v>4.6589332295950063</c:v>
                </c:pt>
                <c:pt idx="2">
                  <c:v>4.6589332295950063</c:v>
                </c:pt>
                <c:pt idx="3">
                  <c:v>4.6589332295950063</c:v>
                </c:pt>
                <c:pt idx="4">
                  <c:v>4.6589332295950063</c:v>
                </c:pt>
                <c:pt idx="5">
                  <c:v>4.6589332295950063</c:v>
                </c:pt>
                <c:pt idx="6">
                  <c:v>4.6589332295950063</c:v>
                </c:pt>
                <c:pt idx="7">
                  <c:v>4.6589332295950063</c:v>
                </c:pt>
                <c:pt idx="8">
                  <c:v>4.6589332295950063</c:v>
                </c:pt>
                <c:pt idx="9">
                  <c:v>4.6589332295950063</c:v>
                </c:pt>
                <c:pt idx="10">
                  <c:v>4.6589332295950063</c:v>
                </c:pt>
                <c:pt idx="11">
                  <c:v>4.6589332295950063</c:v>
                </c:pt>
                <c:pt idx="12">
                  <c:v>4.6589332295950063</c:v>
                </c:pt>
                <c:pt idx="13">
                  <c:v>4.6589332295950063</c:v>
                </c:pt>
                <c:pt idx="14">
                  <c:v>4.6589332295950063</c:v>
                </c:pt>
                <c:pt idx="15">
                  <c:v>4.6589332295950063</c:v>
                </c:pt>
                <c:pt idx="16">
                  <c:v>4.6589332295950063</c:v>
                </c:pt>
                <c:pt idx="17">
                  <c:v>4.6589332295950063</c:v>
                </c:pt>
                <c:pt idx="18">
                  <c:v>4.6589332295950063</c:v>
                </c:pt>
                <c:pt idx="19">
                  <c:v>4.6589332295950063</c:v>
                </c:pt>
                <c:pt idx="20">
                  <c:v>4.6589332295950063</c:v>
                </c:pt>
                <c:pt idx="21">
                  <c:v>4.6589332295950063</c:v>
                </c:pt>
                <c:pt idx="22">
                  <c:v>4.6589332295950063</c:v>
                </c:pt>
                <c:pt idx="23">
                  <c:v>4.6589332295950063</c:v>
                </c:pt>
                <c:pt idx="24">
                  <c:v>4.6589332295950063</c:v>
                </c:pt>
                <c:pt idx="25">
                  <c:v>4.6589332295950063</c:v>
                </c:pt>
                <c:pt idx="26">
                  <c:v>4.6589332295950063</c:v>
                </c:pt>
                <c:pt idx="27">
                  <c:v>4.6589332295950063</c:v>
                </c:pt>
                <c:pt idx="28">
                  <c:v>4.6589332295950063</c:v>
                </c:pt>
                <c:pt idx="29">
                  <c:v>4.6589332295950063</c:v>
                </c:pt>
                <c:pt idx="30">
                  <c:v>4.6589332295950063</c:v>
                </c:pt>
                <c:pt idx="31">
                  <c:v>4.6589332295950063</c:v>
                </c:pt>
                <c:pt idx="32">
                  <c:v>4.6589332295950063</c:v>
                </c:pt>
                <c:pt idx="33">
                  <c:v>4.6589332295950063</c:v>
                </c:pt>
                <c:pt idx="34">
                  <c:v>4.6589332295950063</c:v>
                </c:pt>
                <c:pt idx="35">
                  <c:v>4.6589332295950063</c:v>
                </c:pt>
                <c:pt idx="36">
                  <c:v>4.6589332295950063</c:v>
                </c:pt>
                <c:pt idx="37">
                  <c:v>4.6589332295950063</c:v>
                </c:pt>
                <c:pt idx="38">
                  <c:v>4.6589332295950063</c:v>
                </c:pt>
                <c:pt idx="39">
                  <c:v>4.6589332295950063</c:v>
                </c:pt>
                <c:pt idx="40">
                  <c:v>4.6589332295950063</c:v>
                </c:pt>
                <c:pt idx="41">
                  <c:v>4.6589332295950063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9BC-164E-849E-5C3CB96E95FA}"/>
            </c:ext>
          </c:extLst>
        </c:ser>
        <c:ser>
          <c:idx val="6"/>
          <c:order val="6"/>
          <c:tx>
            <c:v>Carbon Storage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101'!$P$5:$P$46</c:f>
              <c:numCache>
                <c:formatCode>0.0</c:formatCode>
                <c:ptCount val="42"/>
                <c:pt idx="0">
                  <c:v>0.71857276338974674</c:v>
                </c:pt>
                <c:pt idx="1">
                  <c:v>0.71857276338974674</c:v>
                </c:pt>
                <c:pt idx="2">
                  <c:v>0.71857276338974674</c:v>
                </c:pt>
                <c:pt idx="3">
                  <c:v>0.71857276338974674</c:v>
                </c:pt>
                <c:pt idx="4">
                  <c:v>0.71857276338974674</c:v>
                </c:pt>
                <c:pt idx="5">
                  <c:v>0.71857276338974674</c:v>
                </c:pt>
                <c:pt idx="6">
                  <c:v>0.71857276338974674</c:v>
                </c:pt>
                <c:pt idx="7">
                  <c:v>0.71857276338974674</c:v>
                </c:pt>
                <c:pt idx="8">
                  <c:v>0.71857276338974674</c:v>
                </c:pt>
                <c:pt idx="9">
                  <c:v>0.71857276338974674</c:v>
                </c:pt>
                <c:pt idx="10">
                  <c:v>0.71857276338974674</c:v>
                </c:pt>
                <c:pt idx="11">
                  <c:v>0.71857276338974674</c:v>
                </c:pt>
                <c:pt idx="12">
                  <c:v>0.71857276338974674</c:v>
                </c:pt>
                <c:pt idx="13">
                  <c:v>0.71857276338974674</c:v>
                </c:pt>
                <c:pt idx="14">
                  <c:v>0.71857276338974674</c:v>
                </c:pt>
                <c:pt idx="15">
                  <c:v>0.71857276338974674</c:v>
                </c:pt>
                <c:pt idx="16">
                  <c:v>0.71857276338974674</c:v>
                </c:pt>
                <c:pt idx="17">
                  <c:v>0.71857276338974674</c:v>
                </c:pt>
                <c:pt idx="18">
                  <c:v>0.71857276338974674</c:v>
                </c:pt>
                <c:pt idx="19">
                  <c:v>0.71857276338974674</c:v>
                </c:pt>
                <c:pt idx="20">
                  <c:v>0.71857276338974674</c:v>
                </c:pt>
                <c:pt idx="21">
                  <c:v>0.71857276338974674</c:v>
                </c:pt>
                <c:pt idx="22">
                  <c:v>0.71857276338974674</c:v>
                </c:pt>
                <c:pt idx="23">
                  <c:v>0.71857276338974674</c:v>
                </c:pt>
                <c:pt idx="24">
                  <c:v>0.71857276338974674</c:v>
                </c:pt>
                <c:pt idx="25">
                  <c:v>0.71857276338974674</c:v>
                </c:pt>
                <c:pt idx="26">
                  <c:v>0.71857276338974674</c:v>
                </c:pt>
                <c:pt idx="27">
                  <c:v>0.71857276338974674</c:v>
                </c:pt>
                <c:pt idx="28">
                  <c:v>0.71857276338974674</c:v>
                </c:pt>
                <c:pt idx="29">
                  <c:v>0.71857276338974674</c:v>
                </c:pt>
                <c:pt idx="30">
                  <c:v>0.71857276338974674</c:v>
                </c:pt>
                <c:pt idx="31">
                  <c:v>0.71857276338974674</c:v>
                </c:pt>
                <c:pt idx="32">
                  <c:v>0.71857276338974674</c:v>
                </c:pt>
                <c:pt idx="33">
                  <c:v>0.71857276338974674</c:v>
                </c:pt>
                <c:pt idx="34">
                  <c:v>0.71857276338974674</c:v>
                </c:pt>
                <c:pt idx="35">
                  <c:v>0.71857276338974674</c:v>
                </c:pt>
                <c:pt idx="36">
                  <c:v>0.71857276338974674</c:v>
                </c:pt>
                <c:pt idx="37">
                  <c:v>0.71857276338974674</c:v>
                </c:pt>
                <c:pt idx="38">
                  <c:v>0.71857276338974674</c:v>
                </c:pt>
                <c:pt idx="39">
                  <c:v>0.71857276338974674</c:v>
                </c:pt>
                <c:pt idx="40">
                  <c:v>0.71857276338974674</c:v>
                </c:pt>
                <c:pt idx="41">
                  <c:v>0.71857276338974674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9BC-164E-849E-5C3CB96E95FA}"/>
            </c:ext>
          </c:extLst>
        </c:ser>
        <c:ser>
          <c:idx val="7"/>
          <c:order val="7"/>
          <c:tx>
            <c:v>DAC</c:v>
          </c:tx>
          <c:spPr>
            <a:solidFill>
              <a:schemeClr val="accent2"/>
            </a:solidFill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'Zero 101'!$S$5:$S$46</c:f>
              <c:strCache>
                <c:ptCount val="42"/>
                <c:pt idx="0">
                  <c:v> (230,116,70,100,89,0.09) </c:v>
                </c:pt>
                <c:pt idx="1">
                  <c:v> (230,113,80,100,66,0.1) </c:v>
                </c:pt>
                <c:pt idx="2">
                  <c:v> (230,111,90,100,60,0.11) </c:v>
                </c:pt>
                <c:pt idx="3">
                  <c:v> (230,110,100,100,58,0.11) </c:v>
                </c:pt>
                <c:pt idx="4">
                  <c:v> (240,99,50,100,52,0.11) </c:v>
                </c:pt>
                <c:pt idx="5">
                  <c:v> (240,91,60,100,36,0.15) </c:v>
                </c:pt>
                <c:pt idx="6">
                  <c:v> (240,85,70,100,31,0.17) </c:v>
                </c:pt>
                <c:pt idx="7">
                  <c:v> (240,81,80,100,29,0.18) </c:v>
                </c:pt>
                <c:pt idx="8">
                  <c:v> (240,79,90,100,28,0.18) </c:v>
                </c:pt>
                <c:pt idx="9">
                  <c:v> (240,79,100,100,28,0.19) </c:v>
                </c:pt>
                <c:pt idx="10">
                  <c:v> (250,84,40,100,41,0.13) </c:v>
                </c:pt>
                <c:pt idx="11">
                  <c:v> (250,71,50,100,27,0.19) </c:v>
                </c:pt>
                <c:pt idx="12">
                  <c:v> (250,69,60,100,23,0.22) </c:v>
                </c:pt>
                <c:pt idx="13">
                  <c:v> (250,68,70,100,21,0.24) </c:v>
                </c:pt>
                <c:pt idx="14">
                  <c:v> (250,67,80,100,20,0.25) </c:v>
                </c:pt>
                <c:pt idx="15">
                  <c:v> (250,67,90,100,19,0.26) </c:v>
                </c:pt>
                <c:pt idx="16">
                  <c:v> (250,67,100,100,19,0.26) </c:v>
                </c:pt>
                <c:pt idx="17">
                  <c:v> (260,81,30,100,53,0.11) </c:v>
                </c:pt>
                <c:pt idx="18">
                  <c:v> (260,63,40,100,24,0.21) </c:v>
                </c:pt>
                <c:pt idx="19">
                  <c:v> (260,60,50,100,19,0.26) </c:v>
                </c:pt>
                <c:pt idx="20">
                  <c:v> (260,58,60,100,17,0.29) </c:v>
                </c:pt>
                <c:pt idx="21">
                  <c:v> (260,57,70,100,16,0.31) </c:v>
                </c:pt>
                <c:pt idx="22">
                  <c:v> (260,56,80,100,15,0.32) </c:v>
                </c:pt>
                <c:pt idx="23">
                  <c:v> (260,55,90,100,15,0.32) </c:v>
                </c:pt>
                <c:pt idx="24">
                  <c:v> (260,55,100,100,15,0.33) </c:v>
                </c:pt>
                <c:pt idx="25">
                  <c:v> (270,61,30,100,27,0.19) </c:v>
                </c:pt>
                <c:pt idx="26">
                  <c:v> (270,53,40,100,18,0.28) </c:v>
                </c:pt>
                <c:pt idx="27">
                  <c:v> (270,50,50,100,15,0.32) </c:v>
                </c:pt>
                <c:pt idx="28">
                  <c:v> (270,47,60,100,14,0.35) </c:v>
                </c:pt>
                <c:pt idx="29">
                  <c:v> (270,46,70,100,13,0.36) </c:v>
                </c:pt>
                <c:pt idx="30">
                  <c:v> (270,45,80,100,13,0.37) </c:v>
                </c:pt>
                <c:pt idx="31">
                  <c:v> (270,44,90,100,13,0.38) </c:v>
                </c:pt>
                <c:pt idx="32">
                  <c:v> (270,44,100,100,13,0.38) </c:v>
                </c:pt>
                <c:pt idx="33">
                  <c:v> (280,74,20,100,97,0.07) </c:v>
                </c:pt>
                <c:pt idx="34">
                  <c:v> (280,52,30,100,19,0.25) </c:v>
                </c:pt>
                <c:pt idx="35">
                  <c:v> (280,44,40,100,14,0.34) </c:v>
                </c:pt>
                <c:pt idx="36">
                  <c:v> (280,42,50,100,13,0.38) </c:v>
                </c:pt>
                <c:pt idx="37">
                  <c:v> (280,42,60,100,12,0.4) </c:v>
                </c:pt>
                <c:pt idx="38">
                  <c:v> (280,42,70,100,11,0.42) </c:v>
                </c:pt>
                <c:pt idx="39">
                  <c:v> (280,42,80,100,11,0.43) </c:v>
                </c:pt>
                <c:pt idx="40">
                  <c:v> (280,42,90,100,11,0.43) </c:v>
                </c:pt>
                <c:pt idx="41">
                  <c:v> (280,42,100,100,11,0.44) </c:v>
                </c:pt>
              </c:strCache>
            </c:strRef>
          </c:cat>
          <c:val>
            <c:numRef>
              <c:f>'Zero 101'!$O$5:$O$46</c:f>
              <c:numCache>
                <c:formatCode>_(* #,##0.00_);_(* \(#,##0.00\);_(* "-"??_);_(@_)</c:formatCode>
                <c:ptCount val="42"/>
                <c:pt idx="0">
                  <c:v>5.1262242496535206</c:v>
                </c:pt>
                <c:pt idx="1">
                  <c:v>4.2477108475049024</c:v>
                </c:pt>
                <c:pt idx="2">
                  <c:v>4.0337753250474524</c:v>
                </c:pt>
                <c:pt idx="3">
                  <c:v>3.995504211906586</c:v>
                </c:pt>
                <c:pt idx="4">
                  <c:v>3.7944532975398939</c:v>
                </c:pt>
                <c:pt idx="5">
                  <c:v>3.4398076491011862</c:v>
                </c:pt>
                <c:pt idx="6">
                  <c:v>3.327864643164149</c:v>
                </c:pt>
                <c:pt idx="7">
                  <c:v>3.30553982716531</c:v>
                </c:pt>
                <c:pt idx="8">
                  <c:v>3.3022867825483355</c:v>
                </c:pt>
                <c:pt idx="9">
                  <c:v>3.3451504292661074</c:v>
                </c:pt>
                <c:pt idx="10">
                  <c:v>3.5278949945137503</c:v>
                </c:pt>
                <c:pt idx="11">
                  <c:v>3.2756245737268643</c:v>
                </c:pt>
                <c:pt idx="12">
                  <c:v>3.2568717282878392</c:v>
                </c:pt>
                <c:pt idx="13">
                  <c:v>3.2254894155123277</c:v>
                </c:pt>
                <c:pt idx="14">
                  <c:v>3.1943622434910885</c:v>
                </c:pt>
                <c:pt idx="15">
                  <c:v>3.1073592462841826</c:v>
                </c:pt>
                <c:pt idx="16">
                  <c:v>3.1546240710131546</c:v>
                </c:pt>
                <c:pt idx="17">
                  <c:v>3.7355795684915263</c:v>
                </c:pt>
                <c:pt idx="18">
                  <c:v>3.1627247899613042</c:v>
                </c:pt>
                <c:pt idx="19">
                  <c:v>3.1279618621916829</c:v>
                </c:pt>
                <c:pt idx="20">
                  <c:v>3.1250915287061178</c:v>
                </c:pt>
                <c:pt idx="21">
                  <c:v>3.1239433953118918</c:v>
                </c:pt>
                <c:pt idx="22">
                  <c:v>3.0435102725275014</c:v>
                </c:pt>
                <c:pt idx="23">
                  <c:v>3.0980466087532386</c:v>
                </c:pt>
                <c:pt idx="24">
                  <c:v>3.1248363879518455</c:v>
                </c:pt>
                <c:pt idx="25">
                  <c:v>3.1998477697079459</c:v>
                </c:pt>
                <c:pt idx="26">
                  <c:v>3.1585149675158091</c:v>
                </c:pt>
                <c:pt idx="27">
                  <c:v>3.0789110521828049</c:v>
                </c:pt>
                <c:pt idx="28">
                  <c:v>3.1120793502382238</c:v>
                </c:pt>
                <c:pt idx="29">
                  <c:v>3.0100230485292423</c:v>
                </c:pt>
                <c:pt idx="30">
                  <c:v>3.0846517191539351</c:v>
                </c:pt>
                <c:pt idx="31">
                  <c:v>3.132745751334292</c:v>
                </c:pt>
                <c:pt idx="32">
                  <c:v>3.1584511823272412</c:v>
                </c:pt>
                <c:pt idx="33">
                  <c:v>4.6218109784568853</c:v>
                </c:pt>
                <c:pt idx="34">
                  <c:v>3.0855447117938883</c:v>
                </c:pt>
                <c:pt idx="35">
                  <c:v>3.0049202334437934</c:v>
                </c:pt>
                <c:pt idx="36">
                  <c:v>3.1460130705564593</c:v>
                </c:pt>
                <c:pt idx="37">
                  <c:v>3.0953676308333771</c:v>
                </c:pt>
                <c:pt idx="38">
                  <c:v>2.93845606695582</c:v>
                </c:pt>
                <c:pt idx="39">
                  <c:v>3.0023050407125003</c:v>
                </c:pt>
                <c:pt idx="40">
                  <c:v>3.0380885314992114</c:v>
                </c:pt>
                <c:pt idx="41">
                  <c:v>3.0612425549494371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9BC-164E-849E-5C3CB96E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3670400"/>
        <c:axId val="352219648"/>
      </c:barChart>
      <c:lineChart>
        <c:grouping val="standard"/>
        <c:varyColors val="0"/>
        <c:ser>
          <c:idx val="8"/>
          <c:order val="8"/>
          <c:tx>
            <c:v>Total</c:v>
          </c:tx>
          <c:spPr>
            <a:ln w="19050">
              <a:solidFill>
                <a:schemeClr val="tx1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</c:spPr>
          </c:marker>
          <c:dLbls>
            <c:spPr>
              <a:ln w="9525">
                <a:solidFill>
                  <a:schemeClr val="tx1"/>
                </a:solidFill>
              </a:ln>
            </c:spPr>
            <c:txPr>
              <a:bodyPr rot="-3840000" anchor="t" anchorCtr="0"/>
              <a:lstStyle/>
              <a:p>
                <a:pPr>
                  <a:defRPr lang="ja-JP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'Zero 101'!$Q$5:$Q$46</c:f>
              <c:numCache>
                <c:formatCode>_(* #,##0.00_);_(* \(#,##0.00\);_(* "-"??_);_(@_)</c:formatCode>
                <c:ptCount val="42"/>
                <c:pt idx="0">
                  <c:v>77.599903453266336</c:v>
                </c:pt>
                <c:pt idx="1">
                  <c:v>77.04779617114005</c:v>
                </c:pt>
                <c:pt idx="2">
                  <c:v>77.215897666212598</c:v>
                </c:pt>
                <c:pt idx="3">
                  <c:v>77.615294468109411</c:v>
                </c:pt>
                <c:pt idx="4">
                  <c:v>76.0904233811426</c:v>
                </c:pt>
                <c:pt idx="5">
                  <c:v>75.784029365187834</c:v>
                </c:pt>
                <c:pt idx="6">
                  <c:v>75.831599786750104</c:v>
                </c:pt>
                <c:pt idx="7">
                  <c:v>76.080050193265905</c:v>
                </c:pt>
                <c:pt idx="8">
                  <c:v>76.458834166178931</c:v>
                </c:pt>
                <c:pt idx="9">
                  <c:v>76.99499662544207</c:v>
                </c:pt>
                <c:pt idx="10">
                  <c:v>76.250716565667048</c:v>
                </c:pt>
                <c:pt idx="11">
                  <c:v>75.768543289825729</c:v>
                </c:pt>
                <c:pt idx="12">
                  <c:v>76.1318274619167</c:v>
                </c:pt>
                <c:pt idx="13">
                  <c:v>76.538113064178873</c:v>
                </c:pt>
                <c:pt idx="14">
                  <c:v>76.944653807195323</c:v>
                </c:pt>
                <c:pt idx="15">
                  <c:v>77.350949622533761</c:v>
                </c:pt>
                <c:pt idx="16">
                  <c:v>77.891513259808093</c:v>
                </c:pt>
                <c:pt idx="17">
                  <c:v>77.55282339728754</c:v>
                </c:pt>
                <c:pt idx="18">
                  <c:v>76.471911276164477</c:v>
                </c:pt>
                <c:pt idx="19">
                  <c:v>76.763554468417198</c:v>
                </c:pt>
                <c:pt idx="20">
                  <c:v>77.142721152461633</c:v>
                </c:pt>
                <c:pt idx="21">
                  <c:v>77.579240934105087</c:v>
                </c:pt>
                <c:pt idx="22">
                  <c:v>77.936475726358367</c:v>
                </c:pt>
                <c:pt idx="23">
                  <c:v>78.428679977621783</c:v>
                </c:pt>
                <c:pt idx="24">
                  <c:v>78.94876856936574</c:v>
                </c:pt>
                <c:pt idx="25">
                  <c:v>77.659087411061506</c:v>
                </c:pt>
                <c:pt idx="26">
                  <c:v>77.666006241353315</c:v>
                </c:pt>
                <c:pt idx="27">
                  <c:v>77.912808446042632</c:v>
                </c:pt>
                <c:pt idx="28">
                  <c:v>78.272382864120374</c:v>
                </c:pt>
                <c:pt idx="29">
                  <c:v>78.607994477449083</c:v>
                </c:pt>
                <c:pt idx="30">
                  <c:v>79.120291063111452</c:v>
                </c:pt>
                <c:pt idx="31">
                  <c:v>79.606053010329475</c:v>
                </c:pt>
                <c:pt idx="32">
                  <c:v>80.12505725386778</c:v>
                </c:pt>
                <c:pt idx="33">
                  <c:v>81.065567237575976</c:v>
                </c:pt>
                <c:pt idx="34">
                  <c:v>78.798720038289446</c:v>
                </c:pt>
                <c:pt idx="35">
                  <c:v>78.766347192423297</c:v>
                </c:pt>
                <c:pt idx="36">
                  <c:v>79.289477047065972</c:v>
                </c:pt>
                <c:pt idx="37">
                  <c:v>79.732130419888236</c:v>
                </c:pt>
                <c:pt idx="38">
                  <c:v>80.068517668556026</c:v>
                </c:pt>
                <c:pt idx="39">
                  <c:v>80.625665454858066</c:v>
                </c:pt>
                <c:pt idx="40">
                  <c:v>81.154747758190126</c:v>
                </c:pt>
                <c:pt idx="41">
                  <c:v>81.671200594185706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C9BC-164E-849E-5C3CB96E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670400"/>
        <c:axId val="352219648"/>
      </c:lineChart>
      <c:catAx>
        <c:axId val="3736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Renewable Capacity [GW], Storage Capacity [TWh], Catalyser Capacity [GW],  DAC Capacity [GW], DAC Capacity Factor)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52219648"/>
        <c:crosses val="autoZero"/>
        <c:auto val="1"/>
        <c:lblAlgn val="ctr"/>
        <c:lblOffset val="100"/>
        <c:noMultiLvlLbl val="0"/>
      </c:catAx>
      <c:valAx>
        <c:axId val="35221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en-GB" sz="1200" b="0" i="0" baseline="0">
                    <a:effectLst/>
                  </a:rPr>
                  <a:t>Electricity Price (£/MWh)</a:t>
                </a:r>
                <a:endParaRPr lang="en-GB" sz="1200">
                  <a:effectLst/>
                </a:endParaRPr>
              </a:p>
            </c:rich>
          </c:tx>
          <c:overlay val="0"/>
        </c:title>
        <c:numFmt formatCode="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en-US"/>
          </a:p>
        </c:txPr>
        <c:crossAx val="37367040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873946</xdr:colOff>
      <xdr:row>148</xdr:row>
      <xdr:rowOff>154343</xdr:rowOff>
    </xdr:from>
    <xdr:to>
      <xdr:col>18</xdr:col>
      <xdr:colOff>467424</xdr:colOff>
      <xdr:row>200</xdr:row>
      <xdr:rowOff>170789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B902EFC-22C4-0DCE-B620-B0A3E71DC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880169</xdr:colOff>
      <xdr:row>148</xdr:row>
      <xdr:rowOff>147511</xdr:rowOff>
    </xdr:from>
    <xdr:to>
      <xdr:col>18</xdr:col>
      <xdr:colOff>498764</xdr:colOff>
      <xdr:row>200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502021</xdr:colOff>
      <xdr:row>68</xdr:row>
      <xdr:rowOff>89646</xdr:rowOff>
    </xdr:from>
    <xdr:to>
      <xdr:col>10</xdr:col>
      <xdr:colOff>896470</xdr:colOff>
      <xdr:row>102</xdr:row>
      <xdr:rowOff>145879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1021977</xdr:colOff>
      <xdr:row>68</xdr:row>
      <xdr:rowOff>107575</xdr:rowOff>
    </xdr:from>
    <xdr:to>
      <xdr:col>24</xdr:col>
      <xdr:colOff>448235</xdr:colOff>
      <xdr:row>103</xdr:row>
      <xdr:rowOff>44823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0.79764</cdr:x>
      <cdr:y>0.10726</cdr:y>
    </cdr:from>
    <cdr:to>
      <cdr:x>0.7996</cdr:x>
      <cdr:y>0.74663</cdr:y>
    </cdr:to>
    <cdr:cxnSp macro="">
      <cdr:nvCxnSpPr>
        <cdr:cNvPr id="3" name="Straight Connector 2"/>
        <cdr:cNvCxnSpPr/>
      </cdr:nvCxnSpPr>
      <cdr:spPr>
        <a:xfrm xmlns:a="http://schemas.openxmlformats.org/drawingml/2006/main" flipH="1" flipV="1">
          <a:off x="13085165" y="778758"/>
          <a:ext cx="32121" cy="4642326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0.58128</cdr:x>
      <cdr:y>0.10673</cdr:y>
    </cdr:from>
    <cdr:to>
      <cdr:x>0.58394</cdr:x>
      <cdr:y>0.74813</cdr:y>
    </cdr:to>
    <cdr:cxnSp macro="">
      <cdr:nvCxnSpPr>
        <cdr:cNvPr id="5" name="Straight Connector 4"/>
        <cdr:cNvCxnSpPr/>
      </cdr:nvCxnSpPr>
      <cdr:spPr>
        <a:xfrm xmlns:a="http://schemas.openxmlformats.org/drawingml/2006/main" flipH="1" flipV="1">
          <a:off x="9535847" y="774940"/>
          <a:ext cx="43582" cy="465703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0.34748</cdr:x>
      <cdr:y>0.11536</cdr:y>
    </cdr:from>
    <cdr:to>
      <cdr:x>0.34748</cdr:x>
      <cdr:y>0.74312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5700383" y="837569"/>
          <a:ext cx="0" cy="4558027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>
              <a:lumMod val="85000"/>
              <a:lumOff val="1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0.16008</cdr:x>
      <cdr:y>0.06151</cdr:y>
    </cdr:from>
    <cdr:to>
      <cdr:x>0.27512</cdr:x>
      <cdr:y>0.13407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14600" y="424541"/>
          <a:ext cx="1807029" cy="5007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No DAC</a:t>
          </a:r>
        </a:p>
      </cdr:txBody>
    </cdr:sp>
  </cdr:relSizeAnchor>
  <cdr:relSizeAnchor xmlns:cdr="http://schemas.openxmlformats.org/drawingml/2006/chartDrawing">
    <cdr:from>
      <cdr:x>0.44075</cdr:x>
      <cdr:y>0.06467</cdr:y>
    </cdr:from>
    <cdr:to>
      <cdr:x>0.53708</cdr:x>
      <cdr:y>0.19558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923314" y="446313"/>
          <a:ext cx="1513115" cy="9035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Low</a:t>
          </a:r>
        </a:p>
      </cdr:txBody>
    </cdr:sp>
  </cdr:relSizeAnchor>
  <cdr:relSizeAnchor xmlns:cdr="http://schemas.openxmlformats.org/drawingml/2006/chartDrawing">
    <cdr:from>
      <cdr:x>0.66182</cdr:x>
      <cdr:y>0.06309</cdr:y>
    </cdr:from>
    <cdr:to>
      <cdr:x>0.75537</cdr:x>
      <cdr:y>0.16562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10395857" y="435427"/>
          <a:ext cx="1469572" cy="7075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Mid</a:t>
          </a:r>
        </a:p>
      </cdr:txBody>
    </cdr:sp>
  </cdr:relSizeAnchor>
  <cdr:relSizeAnchor xmlns:cdr="http://schemas.openxmlformats.org/drawingml/2006/chartDrawing">
    <cdr:from>
      <cdr:x>0.86279</cdr:x>
      <cdr:y>0.05836</cdr:y>
    </cdr:from>
    <cdr:to>
      <cdr:x>0.94456</cdr:x>
      <cdr:y>0.13722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13552714" y="402771"/>
          <a:ext cx="1284515" cy="5442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600"/>
            <a:t>DAC High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649492</xdr:colOff>
      <xdr:row>19</xdr:row>
      <xdr:rowOff>188259</xdr:rowOff>
    </xdr:from>
    <xdr:to>
      <xdr:col>13</xdr:col>
      <xdr:colOff>502024</xdr:colOff>
      <xdr:row>44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457200</xdr:colOff>
      <xdr:row>54</xdr:row>
      <xdr:rowOff>99060</xdr:rowOff>
    </xdr:from>
    <xdr:to>
      <xdr:col>19</xdr:col>
      <xdr:colOff>592709</xdr:colOff>
      <xdr:row>88</xdr:row>
      <xdr:rowOff>159042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645459</xdr:colOff>
      <xdr:row>93</xdr:row>
      <xdr:rowOff>62754</xdr:rowOff>
    </xdr:from>
    <xdr:to>
      <xdr:col>21</xdr:col>
      <xdr:colOff>528918</xdr:colOff>
      <xdr:row>126</xdr:row>
      <xdr:rowOff>77911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0.27985</cdr:x>
      <cdr:y>0.21044</cdr:y>
    </cdr:from>
    <cdr:to>
      <cdr:x>0.31527</cdr:x>
      <cdr:y>0.25815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542419" y="1372836"/>
          <a:ext cx="448274" cy="3111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37.6</a:t>
          </a:r>
        </a:p>
      </cdr:txBody>
    </cdr:sp>
  </cdr:relSizeAnchor>
  <cdr:relSizeAnchor xmlns:cdr="http://schemas.openxmlformats.org/drawingml/2006/chartDrawing">
    <cdr:from>
      <cdr:x>0.28198</cdr:x>
      <cdr:y>0.32887</cdr:y>
    </cdr:from>
    <cdr:to>
      <cdr:x>0.39377</cdr:x>
      <cdr:y>0.4309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69313" y="2145389"/>
          <a:ext cx="1415138" cy="6655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/>
            <a:t>4.4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312644</xdr:colOff>
      <xdr:row>51</xdr:row>
      <xdr:rowOff>60090</xdr:rowOff>
    </xdr:from>
    <xdr:to>
      <xdr:col>9</xdr:col>
      <xdr:colOff>152399</xdr:colOff>
      <xdr:row>90</xdr:row>
      <xdr:rowOff>166255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476653</xdr:colOff>
      <xdr:row>51</xdr:row>
      <xdr:rowOff>119696</xdr:rowOff>
    </xdr:from>
    <xdr:to>
      <xdr:col>20</xdr:col>
      <xdr:colOff>190500</xdr:colOff>
      <xdr:row>91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947057</xdr:colOff>
      <xdr:row>91</xdr:row>
      <xdr:rowOff>174172</xdr:rowOff>
    </xdr:from>
    <xdr:to>
      <xdr:col>13</xdr:col>
      <xdr:colOff>497619</xdr:colOff>
      <xdr:row>131</xdr:row>
      <xdr:rowOff>87133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18362</xdr:colOff>
      <xdr:row>46</xdr:row>
      <xdr:rowOff>165253</xdr:rowOff>
    </xdr:from>
    <xdr:to>
      <xdr:col>8</xdr:col>
      <xdr:colOff>336378</xdr:colOff>
      <xdr:row>85</xdr:row>
      <xdr:rowOff>86076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670193</xdr:colOff>
      <xdr:row>46</xdr:row>
      <xdr:rowOff>156072</xdr:rowOff>
    </xdr:from>
    <xdr:to>
      <xdr:col>18</xdr:col>
      <xdr:colOff>462887</xdr:colOff>
      <xdr:row>85</xdr:row>
      <xdr:rowOff>79634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1631574</xdr:colOff>
      <xdr:row>87</xdr:row>
      <xdr:rowOff>152399</xdr:rowOff>
    </xdr:from>
    <xdr:to>
      <xdr:col>10</xdr:col>
      <xdr:colOff>1981199</xdr:colOff>
      <xdr:row>116</xdr:row>
      <xdr:rowOff>188257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885876</xdr:colOff>
      <xdr:row>18</xdr:row>
      <xdr:rowOff>60306</xdr:rowOff>
    </xdr:from>
    <xdr:to>
      <xdr:col>12</xdr:col>
      <xdr:colOff>383852</xdr:colOff>
      <xdr:row>54</xdr:row>
      <xdr:rowOff>73509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1634168</xdr:colOff>
      <xdr:row>40</xdr:row>
      <xdr:rowOff>100987</xdr:rowOff>
    </xdr:from>
    <xdr:to>
      <xdr:col>23</xdr:col>
      <xdr:colOff>380260</xdr:colOff>
      <xdr:row>79</xdr:row>
      <xdr:rowOff>24549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1276121</xdr:colOff>
      <xdr:row>40</xdr:row>
      <xdr:rowOff>91807</xdr:rowOff>
    </xdr:from>
    <xdr:to>
      <xdr:col>10</xdr:col>
      <xdr:colOff>1327896</xdr:colOff>
      <xdr:row>79</xdr:row>
      <xdr:rowOff>12630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881349</xdr:colOff>
      <xdr:row>43</xdr:row>
      <xdr:rowOff>110170</xdr:rowOff>
    </xdr:from>
    <xdr:to>
      <xdr:col>8</xdr:col>
      <xdr:colOff>1199365</xdr:colOff>
      <xdr:row>82</xdr:row>
      <xdr:rowOff>30992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1698433</xdr:colOff>
      <xdr:row>43</xdr:row>
      <xdr:rowOff>91808</xdr:rowOff>
    </xdr:from>
    <xdr:to>
      <xdr:col>19</xdr:col>
      <xdr:colOff>472067</xdr:colOff>
      <xdr:row>82</xdr:row>
      <xdr:rowOff>15369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514120</xdr:colOff>
      <xdr:row>77</xdr:row>
      <xdr:rowOff>93320</xdr:rowOff>
    </xdr:from>
    <xdr:to>
      <xdr:col>10</xdr:col>
      <xdr:colOff>1973854</xdr:colOff>
      <xdr:row>116</xdr:row>
      <xdr:rowOff>193005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2115670</xdr:colOff>
      <xdr:row>75</xdr:row>
      <xdr:rowOff>80682</xdr:rowOff>
    </xdr:from>
    <xdr:to>
      <xdr:col>23</xdr:col>
      <xdr:colOff>834435</xdr:colOff>
      <xdr:row>114</xdr:row>
      <xdr:rowOff>189587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209821</xdr:colOff>
      <xdr:row>118</xdr:row>
      <xdr:rowOff>24221</xdr:rowOff>
    </xdr:from>
    <xdr:to>
      <xdr:col>11</xdr:col>
      <xdr:colOff>362221</xdr:colOff>
      <xdr:row>152</xdr:row>
      <xdr:rowOff>60078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121</xdr:row>
      <xdr:rowOff>152400</xdr:rowOff>
    </xdr:from>
    <xdr:to>
      <xdr:col>10</xdr:col>
      <xdr:colOff>1456601</xdr:colOff>
      <xdr:row>160</xdr:row>
      <xdr:rowOff>74754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1759360</xdr:colOff>
      <xdr:row>120</xdr:row>
      <xdr:rowOff>193129</xdr:rowOff>
    </xdr:from>
    <xdr:to>
      <xdr:col>23</xdr:col>
      <xdr:colOff>505452</xdr:colOff>
      <xdr:row>159</xdr:row>
      <xdr:rowOff>116691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152400</xdr:rowOff>
    </xdr:from>
    <xdr:to>
      <xdr:col>10</xdr:col>
      <xdr:colOff>1456601</xdr:colOff>
      <xdr:row>125</xdr:row>
      <xdr:rowOff>74754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7A22866-E329-0B4F-9145-C9E9EB1B0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1809888</xdr:colOff>
      <xdr:row>83</xdr:row>
      <xdr:rowOff>183348</xdr:rowOff>
    </xdr:from>
    <xdr:to>
      <xdr:col>23</xdr:col>
      <xdr:colOff>555980</xdr:colOff>
      <xdr:row>122</xdr:row>
      <xdr:rowOff>106911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160DC6AE-F881-0C47-B76A-3F3F0ADB2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1709056</xdr:colOff>
      <xdr:row>188</xdr:row>
      <xdr:rowOff>130631</xdr:rowOff>
    </xdr:from>
    <xdr:to>
      <xdr:col>15</xdr:col>
      <xdr:colOff>0</xdr:colOff>
      <xdr:row>225</xdr:row>
      <xdr:rowOff>141515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i/Downloads/Energy_Costs_Model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_Costs_Mod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"/>
      <sheetName val="No DAC 5%"/>
      <sheetName val="Net Zero DAC 5%"/>
      <sheetName val="Net Negative DAC 5%"/>
      <sheetName val="Copy"/>
      <sheetName val="Copy (2)"/>
      <sheetName val="Assumptions2"/>
      <sheetName val="Assumptions"/>
      <sheetName val="Power Generation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">
          <cell r="C10">
            <v>575</v>
          </cell>
        </row>
        <row r="19">
          <cell r="C19">
            <v>0.9</v>
          </cell>
        </row>
        <row r="20">
          <cell r="C20">
            <v>0.30630735498605666</v>
          </cell>
        </row>
        <row r="26">
          <cell r="D26">
            <v>78</v>
          </cell>
        </row>
        <row r="30">
          <cell r="D30">
            <v>37.599999999999994</v>
          </cell>
        </row>
        <row r="46">
          <cell r="C46">
            <v>28364681.721357837</v>
          </cell>
        </row>
        <row r="56">
          <cell r="C56">
            <v>31987766.066913795</v>
          </cell>
        </row>
        <row r="65">
          <cell r="C65">
            <v>26788866.070171289</v>
          </cell>
        </row>
        <row r="69">
          <cell r="C69">
            <v>4</v>
          </cell>
        </row>
      </sheetData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Summary"/>
      <sheetName val="No DAC 10%"/>
      <sheetName val="No DAC 5%"/>
      <sheetName val="Net Zero DAC 5%"/>
      <sheetName val="Net Negative DAC 5%"/>
      <sheetName val="Copy"/>
      <sheetName val="Copy (2)"/>
      <sheetName val="Assumptions2"/>
      <sheetName val="Assumptions"/>
      <sheetName val="Power Generation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0">
          <cell r="C10">
            <v>575</v>
          </cell>
        </row>
        <row r="19">
          <cell r="C19">
            <v>0.9</v>
          </cell>
        </row>
        <row r="20">
          <cell r="C20">
            <v>0.30630735498605666</v>
          </cell>
        </row>
        <row r="26">
          <cell r="D26">
            <v>78</v>
          </cell>
        </row>
        <row r="30">
          <cell r="D30">
            <v>37.599999999999994</v>
          </cell>
        </row>
        <row r="47">
          <cell r="C47">
            <v>42902095.837547451</v>
          </cell>
        </row>
        <row r="57">
          <cell r="C57">
            <v>48382076.65832708</v>
          </cell>
        </row>
        <row r="66">
          <cell r="C66">
            <v>40518646.068794809</v>
          </cell>
        </row>
        <row r="69">
          <cell r="C69">
            <v>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H116"/>
  <sheetViews>
    <sheetView showGridLines="0" topLeftCell="C106" zoomScale="85" zoomScaleNormal="85" workbookViewId="0">
      <selection activeCell="E26" sqref="E26"/>
    </sheetView>
  </sheetViews>
  <sheetFormatPr defaultColWidth="11" defaultRowHeight="15.6"/>
  <cols>
    <col min="2" max="2" width="44" customWidth="1"/>
    <col min="3" max="3" width="32.3984375" customWidth="1"/>
    <col min="4" max="4" width="23.3984375" customWidth="1"/>
    <col min="5" max="5" width="38.3984375" customWidth="1"/>
    <col min="6" max="6" width="38" customWidth="1"/>
    <col min="7" max="8" width="36.3984375" customWidth="1"/>
  </cols>
  <sheetData>
    <row r="2" spans="2:8">
      <c r="B2" s="30" t="s">
        <v>0</v>
      </c>
    </row>
    <row r="3" spans="2:8">
      <c r="B3" s="30" t="s">
        <v>1</v>
      </c>
    </row>
    <row r="5" spans="2:8">
      <c r="B5" s="3" t="s">
        <v>2</v>
      </c>
    </row>
    <row r="6" spans="2:8">
      <c r="B6" s="2" t="s">
        <v>3</v>
      </c>
    </row>
    <row r="7" spans="2:8">
      <c r="B7" s="31" t="s">
        <v>4</v>
      </c>
    </row>
    <row r="8" spans="2:8">
      <c r="B8" s="34" t="s">
        <v>5</v>
      </c>
    </row>
    <row r="10" spans="2:8">
      <c r="B10" s="21" t="s">
        <v>6</v>
      </c>
      <c r="C10" s="7">
        <v>575</v>
      </c>
      <c r="D10" s="21" t="s">
        <v>68</v>
      </c>
      <c r="E10" s="7">
        <f>(59.28*10^6*1000000/44*43/(3.6*10^12)+5.928)</f>
        <v>22.020424242424244</v>
      </c>
      <c r="F10" s="21" t="s">
        <v>69</v>
      </c>
      <c r="G10" s="53">
        <f>C10+E10</f>
        <v>597.02042424242427</v>
      </c>
      <c r="H10" t="s">
        <v>74</v>
      </c>
    </row>
    <row r="11" spans="2:8">
      <c r="D11" s="21" t="s">
        <v>70</v>
      </c>
      <c r="E11" s="7">
        <f>(29636*10^6*1000000/44*43/(3.6*10^12)+2964)/50</f>
        <v>220.18252525252524</v>
      </c>
      <c r="F11" s="21" t="s">
        <v>71</v>
      </c>
      <c r="G11" s="53">
        <f>C10+E11</f>
        <v>795.18252525252524</v>
      </c>
      <c r="H11" t="s">
        <v>74</v>
      </c>
    </row>
    <row r="12" spans="2:8">
      <c r="B12" s="19" t="s">
        <v>7</v>
      </c>
      <c r="C12" s="12"/>
      <c r="D12" s="21" t="s">
        <v>68</v>
      </c>
      <c r="E12" s="7">
        <f>(59.28*10^6*1000000/44*101/(3.6*10^12)+5.928)</f>
        <v>43.726484848484844</v>
      </c>
      <c r="F12" s="21" t="s">
        <v>69</v>
      </c>
      <c r="G12" s="53">
        <f>C10+E12</f>
        <v>618.7264848484848</v>
      </c>
      <c r="H12" t="s">
        <v>75</v>
      </c>
    </row>
    <row r="13" spans="2:8">
      <c r="B13" t="s">
        <v>8</v>
      </c>
      <c r="C13" s="5">
        <v>0.2</v>
      </c>
      <c r="D13" s="21" t="s">
        <v>70</v>
      </c>
      <c r="E13" s="7">
        <f>(29636*10^6*1000000/44*101/(3.6*10^12)+2964)/50</f>
        <v>437.21383838383838</v>
      </c>
      <c r="F13" s="21" t="s">
        <v>71</v>
      </c>
      <c r="G13" s="53">
        <f>C10+E13</f>
        <v>1012.2138383838384</v>
      </c>
      <c r="H13" t="s">
        <v>75</v>
      </c>
    </row>
    <row r="14" spans="2:8">
      <c r="B14" t="s">
        <v>9</v>
      </c>
      <c r="C14" s="5">
        <v>0.8</v>
      </c>
      <c r="D14" s="21" t="s">
        <v>68</v>
      </c>
      <c r="E14" s="7">
        <f>(59.28*10^6*1000000/44*162/(3.6*10^12)+5.928)</f>
        <v>66.555272727272722</v>
      </c>
      <c r="F14" s="21" t="s">
        <v>69</v>
      </c>
      <c r="G14" s="53">
        <f>C10+E14</f>
        <v>641.55527272727272</v>
      </c>
      <c r="H14" t="s">
        <v>76</v>
      </c>
    </row>
    <row r="15" spans="2:8">
      <c r="B15" s="6" t="s">
        <v>10</v>
      </c>
      <c r="C15" s="5">
        <v>0.7</v>
      </c>
      <c r="D15" s="21" t="s">
        <v>70</v>
      </c>
      <c r="E15" s="7">
        <f>(29636*10^6*1000000/44*162/(3.6*10^12)+2964)/50</f>
        <v>665.47090909090912</v>
      </c>
      <c r="F15" s="21" t="s">
        <v>71</v>
      </c>
      <c r="G15" s="53">
        <f>C10+E15</f>
        <v>1240.4709090909091</v>
      </c>
      <c r="H15" t="s">
        <v>76</v>
      </c>
    </row>
    <row r="16" spans="2:8">
      <c r="B16" s="6" t="s">
        <v>11</v>
      </c>
      <c r="C16" s="5">
        <v>0.3</v>
      </c>
      <c r="D16" s="21" t="s">
        <v>70</v>
      </c>
      <c r="E16" s="7">
        <f>(32646*10^6*1000000/44*162/(3.6*10^12)+2964)/100</f>
        <v>363.51954545454544</v>
      </c>
      <c r="F16" s="21" t="s">
        <v>71</v>
      </c>
      <c r="G16" s="53">
        <f>C10+E16</f>
        <v>938.51954545454544</v>
      </c>
      <c r="H16" t="s">
        <v>85</v>
      </c>
    </row>
    <row r="17" spans="2:6">
      <c r="B17" s="6"/>
    </row>
    <row r="18" spans="2:6">
      <c r="B18" s="19" t="s">
        <v>12</v>
      </c>
      <c r="C18" s="12"/>
    </row>
    <row r="19" spans="2:6">
      <c r="B19" t="s">
        <v>13</v>
      </c>
      <c r="C19" s="10">
        <v>0.9</v>
      </c>
      <c r="D19" s="14" t="s">
        <v>14</v>
      </c>
    </row>
    <row r="20" spans="2:6">
      <c r="B20" t="s">
        <v>15</v>
      </c>
      <c r="C20" s="17">
        <f>C13*C21+C14*C15*C22+C16*C23*C14</f>
        <v>0.30630735498605666</v>
      </c>
    </row>
    <row r="21" spans="2:6">
      <c r="B21" s="6" t="s">
        <v>8</v>
      </c>
      <c r="C21" s="10">
        <v>0.108197227900226</v>
      </c>
    </row>
    <row r="22" spans="2:6">
      <c r="B22" s="6" t="s">
        <v>10</v>
      </c>
      <c r="C22" s="10">
        <v>0.382755820099967</v>
      </c>
      <c r="D22" s="14" t="s">
        <v>16</v>
      </c>
    </row>
    <row r="23" spans="2:6">
      <c r="B23" s="6" t="s">
        <v>11</v>
      </c>
      <c r="C23" s="10">
        <v>0.29301937562512498</v>
      </c>
      <c r="D23" s="14" t="s">
        <v>17</v>
      </c>
    </row>
    <row r="25" spans="2:6">
      <c r="B25" s="19" t="s">
        <v>18</v>
      </c>
      <c r="C25" s="15" t="s">
        <v>19</v>
      </c>
      <c r="D25" s="15" t="s">
        <v>20</v>
      </c>
    </row>
    <row r="26" spans="2:6">
      <c r="B26" t="s">
        <v>21</v>
      </c>
      <c r="C26" s="9">
        <f>SUM(C27:C29)</f>
        <v>1</v>
      </c>
      <c r="D26" s="18">
        <v>78</v>
      </c>
      <c r="E26" s="11" t="s">
        <v>22</v>
      </c>
    </row>
    <row r="27" spans="2:6">
      <c r="B27" s="6" t="s">
        <v>23</v>
      </c>
      <c r="C27" s="5">
        <v>0.2</v>
      </c>
      <c r="D27" s="1">
        <v>130</v>
      </c>
      <c r="E27" s="11" t="s">
        <v>24</v>
      </c>
    </row>
    <row r="28" spans="2:6">
      <c r="B28" s="6" t="s">
        <v>25</v>
      </c>
      <c r="C28" s="5">
        <v>0.2</v>
      </c>
      <c r="D28" s="1">
        <v>80</v>
      </c>
    </row>
    <row r="29" spans="2:6">
      <c r="B29" s="6" t="s">
        <v>26</v>
      </c>
      <c r="C29" s="5">
        <v>0.6</v>
      </c>
      <c r="D29" s="1">
        <v>60</v>
      </c>
    </row>
    <row r="30" spans="2:6">
      <c r="B30" t="s">
        <v>15</v>
      </c>
      <c r="C30" s="9">
        <f>SUM(C31:C33)</f>
        <v>1</v>
      </c>
      <c r="D30" s="18">
        <f>D31*C31+D32*C32+D33*C33</f>
        <v>37.599999999999994</v>
      </c>
      <c r="E30" s="11" t="s">
        <v>27</v>
      </c>
      <c r="F30" s="35" t="s">
        <v>28</v>
      </c>
    </row>
    <row r="31" spans="2:6">
      <c r="B31" s="6" t="s">
        <v>8</v>
      </c>
      <c r="C31" s="5">
        <f>C13</f>
        <v>0.2</v>
      </c>
      <c r="D31" s="1">
        <v>30</v>
      </c>
      <c r="E31" s="35">
        <v>41</v>
      </c>
      <c r="F31" s="35">
        <v>30</v>
      </c>
    </row>
    <row r="32" spans="2:6">
      <c r="B32" s="6" t="s">
        <v>10</v>
      </c>
      <c r="C32" s="16">
        <f>C14*C15</f>
        <v>0.55999999999999994</v>
      </c>
      <c r="D32" s="1">
        <v>41</v>
      </c>
      <c r="E32" s="35">
        <v>44</v>
      </c>
      <c r="F32" s="35">
        <v>41</v>
      </c>
    </row>
    <row r="33" spans="2:6">
      <c r="B33" s="6" t="s">
        <v>11</v>
      </c>
      <c r="C33" s="16">
        <f>C14*C16</f>
        <v>0.24</v>
      </c>
      <c r="D33" s="1">
        <v>36</v>
      </c>
      <c r="E33" s="35">
        <v>38</v>
      </c>
      <c r="F33" s="35">
        <v>36</v>
      </c>
    </row>
    <row r="34" spans="2:6">
      <c r="D34" s="14"/>
    </row>
    <row r="35" spans="2:6">
      <c r="B35" s="19" t="s">
        <v>29</v>
      </c>
      <c r="D35" s="14"/>
    </row>
    <row r="36" spans="2:6">
      <c r="B36" t="s">
        <v>30</v>
      </c>
      <c r="C36" s="5">
        <v>0.05</v>
      </c>
      <c r="D36" s="11" t="s">
        <v>31</v>
      </c>
    </row>
    <row r="37" spans="2:6">
      <c r="B37" t="s">
        <v>32</v>
      </c>
      <c r="C37" s="5">
        <v>0.1</v>
      </c>
      <c r="D37" s="14" t="s">
        <v>33</v>
      </c>
    </row>
    <row r="38" spans="2:6">
      <c r="D38" s="14"/>
    </row>
    <row r="39" spans="2:6">
      <c r="C39" s="23" t="s">
        <v>34</v>
      </c>
      <c r="D39" s="23" t="s">
        <v>35</v>
      </c>
      <c r="E39" s="4"/>
    </row>
    <row r="40" spans="2:6">
      <c r="B40" t="s">
        <v>36</v>
      </c>
      <c r="C40" s="22">
        <f>0.74</f>
        <v>0.74</v>
      </c>
      <c r="D40" s="23"/>
      <c r="E40" s="4"/>
    </row>
    <row r="41" spans="2:6">
      <c r="B41" t="s">
        <v>37</v>
      </c>
      <c r="C41" s="22">
        <v>450</v>
      </c>
      <c r="D41" s="22">
        <v>225</v>
      </c>
      <c r="E41" s="4"/>
    </row>
    <row r="42" spans="2:6">
      <c r="B42" t="s">
        <v>38</v>
      </c>
      <c r="C42" s="16">
        <v>1.4999999999999999E-2</v>
      </c>
      <c r="D42" s="11"/>
    </row>
    <row r="43" spans="2:6">
      <c r="B43" t="s">
        <v>39</v>
      </c>
      <c r="C43" s="1">
        <v>30</v>
      </c>
      <c r="D43" s="11"/>
    </row>
    <row r="44" spans="2:6">
      <c r="B44" t="s">
        <v>30</v>
      </c>
      <c r="C44" s="33">
        <f>C36</f>
        <v>0.05</v>
      </c>
      <c r="D44" s="11"/>
    </row>
    <row r="45" spans="2:6">
      <c r="B45" t="s">
        <v>32</v>
      </c>
      <c r="C45" s="33">
        <f>C37</f>
        <v>0.1</v>
      </c>
      <c r="D45" s="8"/>
      <c r="E45" s="41"/>
    </row>
    <row r="46" spans="2:6">
      <c r="B46" t="s">
        <v>40</v>
      </c>
      <c r="C46" s="8">
        <f>C41*$C$70*10^6*(C44/(1-(1/(1+C44))^C43)+C42)</f>
        <v>28364681.721357837</v>
      </c>
      <c r="D46" s="11" t="s">
        <v>41</v>
      </c>
    </row>
    <row r="47" spans="2:6">
      <c r="B47" t="s">
        <v>42</v>
      </c>
      <c r="C47" s="8">
        <f>C41*$C$70*10^6*(C45/(1-(1/(1+C45))^C43)+C42)</f>
        <v>42902095.837547451</v>
      </c>
    </row>
    <row r="49" spans="2:5">
      <c r="C49" s="23" t="s">
        <v>43</v>
      </c>
      <c r="D49" s="23" t="s">
        <v>35</v>
      </c>
    </row>
    <row r="50" spans="2:5">
      <c r="B50" t="s">
        <v>44</v>
      </c>
      <c r="C50" s="22">
        <f>0.55</f>
        <v>0.55000000000000004</v>
      </c>
      <c r="D50" s="23"/>
    </row>
    <row r="51" spans="2:5">
      <c r="B51" t="s">
        <v>45</v>
      </c>
      <c r="C51" s="20">
        <f>((325+325*2)/2)*10^6/(1.22*C50)</f>
        <v>726527570.78986585</v>
      </c>
      <c r="D51" s="20">
        <f>C51*20%</f>
        <v>145305514.15797317</v>
      </c>
      <c r="E51" s="11" t="s">
        <v>46</v>
      </c>
    </row>
    <row r="52" spans="2:5">
      <c r="B52" t="s">
        <v>38</v>
      </c>
      <c r="C52" s="16">
        <v>1.4999999999999999E-2</v>
      </c>
      <c r="D52" s="24"/>
    </row>
    <row r="53" spans="2:5">
      <c r="B53" t="s">
        <v>39</v>
      </c>
      <c r="C53" s="22">
        <v>30</v>
      </c>
      <c r="D53" s="11"/>
    </row>
    <row r="54" spans="2:5">
      <c r="B54" t="s">
        <v>30</v>
      </c>
      <c r="C54" s="33">
        <f>C36</f>
        <v>0.05</v>
      </c>
      <c r="D54" s="11"/>
    </row>
    <row r="55" spans="2:5">
      <c r="B55" t="s">
        <v>32</v>
      </c>
      <c r="C55" s="33">
        <f>C37</f>
        <v>0.1</v>
      </c>
      <c r="D55" s="11"/>
    </row>
    <row r="56" spans="2:5">
      <c r="B56" t="s">
        <v>47</v>
      </c>
      <c r="C56" s="36">
        <f>C51*(C54/(1-(1/(1+C54))^C53)+C52)*C50</f>
        <v>31987766.066913795</v>
      </c>
      <c r="D56" s="11" t="s">
        <v>41</v>
      </c>
    </row>
    <row r="57" spans="2:5">
      <c r="B57" t="s">
        <v>48</v>
      </c>
      <c r="C57" s="8">
        <f>C51*(C55/(1-(1/(1+C55))^C53)+C52)*C50</f>
        <v>48382076.65832708</v>
      </c>
      <c r="D57" s="11"/>
    </row>
    <row r="59" spans="2:5">
      <c r="C59" s="23" t="s">
        <v>49</v>
      </c>
      <c r="D59" s="23" t="s">
        <v>35</v>
      </c>
    </row>
    <row r="60" spans="2:5">
      <c r="B60" t="s">
        <v>37</v>
      </c>
      <c r="C60" s="1">
        <v>425</v>
      </c>
      <c r="D60" s="1">
        <v>150</v>
      </c>
    </row>
    <row r="61" spans="2:5">
      <c r="B61" t="s">
        <v>38</v>
      </c>
      <c r="C61" s="16">
        <v>1.4999999999999999E-2</v>
      </c>
      <c r="D61" s="11"/>
    </row>
    <row r="62" spans="2:5">
      <c r="B62" t="s">
        <v>39</v>
      </c>
      <c r="C62" s="1">
        <v>30</v>
      </c>
      <c r="D62" s="11"/>
    </row>
    <row r="63" spans="2:5">
      <c r="B63" t="s">
        <v>30</v>
      </c>
      <c r="C63" s="33">
        <f>C36</f>
        <v>0.05</v>
      </c>
      <c r="D63" s="11"/>
    </row>
    <row r="64" spans="2:5">
      <c r="B64" t="s">
        <v>32</v>
      </c>
      <c r="C64" s="33">
        <f>C37</f>
        <v>0.1</v>
      </c>
      <c r="D64" s="11"/>
    </row>
    <row r="65" spans="2:4">
      <c r="B65" t="s">
        <v>40</v>
      </c>
      <c r="C65" s="8">
        <f>C60*$C$70*10^6*(C63/(1-(1/(1+C63))^C62)+C61)</f>
        <v>26788866.070171289</v>
      </c>
      <c r="D65" s="11" t="s">
        <v>41</v>
      </c>
    </row>
    <row r="66" spans="2:4">
      <c r="B66" t="s">
        <v>42</v>
      </c>
      <c r="C66" s="8">
        <f>C60*$C$70*10^6*(C64/(1-(1/(1+C64))^C62)+C61)</f>
        <v>40518646.068794809</v>
      </c>
    </row>
    <row r="68" spans="2:4">
      <c r="B68" s="19" t="s">
        <v>50</v>
      </c>
    </row>
    <row r="69" spans="2:4">
      <c r="B69" t="s">
        <v>51</v>
      </c>
      <c r="C69" s="22">
        <v>4</v>
      </c>
    </row>
    <row r="70" spans="2:4">
      <c r="B70" t="s">
        <v>52</v>
      </c>
      <c r="C70" s="28">
        <f>1/1.27</f>
        <v>0.78740157480314954</v>
      </c>
      <c r="D70" s="11" t="s">
        <v>53</v>
      </c>
    </row>
    <row r="72" spans="2:4">
      <c r="B72" s="19" t="s">
        <v>66</v>
      </c>
      <c r="C72" s="32"/>
    </row>
    <row r="73" spans="2:4">
      <c r="B73" t="s">
        <v>79</v>
      </c>
      <c r="C73" s="1">
        <v>222</v>
      </c>
    </row>
    <row r="74" spans="2:4">
      <c r="B74" t="s">
        <v>72</v>
      </c>
      <c r="C74" s="28">
        <v>1.1572</v>
      </c>
      <c r="D74" s="11"/>
    </row>
    <row r="75" spans="2:4">
      <c r="D75" s="11"/>
    </row>
    <row r="76" spans="2:4">
      <c r="D76" s="11"/>
    </row>
    <row r="77" spans="2:4">
      <c r="D77" s="11"/>
    </row>
    <row r="78" spans="2:4">
      <c r="D78" s="11"/>
    </row>
    <row r="80" spans="2:4">
      <c r="B80" t="s">
        <v>80</v>
      </c>
      <c r="C80" s="1">
        <v>1500</v>
      </c>
      <c r="D80" s="11"/>
    </row>
    <row r="81" spans="2:4">
      <c r="B81" t="s">
        <v>38</v>
      </c>
      <c r="C81" s="16">
        <v>0.02</v>
      </c>
    </row>
    <row r="82" spans="2:4">
      <c r="B82" t="s">
        <v>39</v>
      </c>
      <c r="C82" s="1">
        <v>20</v>
      </c>
      <c r="D82" t="s">
        <v>73</v>
      </c>
    </row>
    <row r="83" spans="2:4">
      <c r="B83" t="s">
        <v>30</v>
      </c>
      <c r="C83" s="33">
        <f>C36</f>
        <v>0.05</v>
      </c>
    </row>
    <row r="84" spans="2:4">
      <c r="B84" t="s">
        <v>32</v>
      </c>
      <c r="C84" s="33">
        <f>C37</f>
        <v>0.1</v>
      </c>
    </row>
    <row r="85" spans="2:4">
      <c r="B85" t="s">
        <v>40</v>
      </c>
      <c r="C85" s="8">
        <f>C80*$C$70*10^6*(C83/(1-(1/(1+C83))^C82)+C81)</f>
        <v>118396756.52443855</v>
      </c>
      <c r="D85" s="11" t="s">
        <v>41</v>
      </c>
    </row>
    <row r="86" spans="2:4">
      <c r="B86" t="s">
        <v>42</v>
      </c>
      <c r="C86" s="8">
        <f>C80*$C$70*10^6*(C84/(1-(1/(1+C84))^C82)+C81)</f>
        <v>162353887.52662885</v>
      </c>
    </row>
    <row r="88" spans="2:4">
      <c r="D88" s="11"/>
    </row>
    <row r="89" spans="2:4">
      <c r="D89" s="11"/>
    </row>
    <row r="90" spans="2:4">
      <c r="D90" s="11"/>
    </row>
    <row r="92" spans="2:4">
      <c r="B92" t="s">
        <v>81</v>
      </c>
      <c r="C92" s="1">
        <v>5000</v>
      </c>
      <c r="D92" s="11"/>
    </row>
    <row r="93" spans="2:4">
      <c r="B93" t="s">
        <v>38</v>
      </c>
      <c r="C93" s="16">
        <v>0.02</v>
      </c>
    </row>
    <row r="94" spans="2:4">
      <c r="B94" t="s">
        <v>39</v>
      </c>
      <c r="C94" s="1">
        <v>20</v>
      </c>
      <c r="D94" t="s">
        <v>73</v>
      </c>
    </row>
    <row r="95" spans="2:4">
      <c r="B95" t="s">
        <v>30</v>
      </c>
      <c r="C95" s="33">
        <f>C36</f>
        <v>0.05</v>
      </c>
    </row>
    <row r="96" spans="2:4">
      <c r="B96" t="s">
        <v>32</v>
      </c>
      <c r="C96" s="33">
        <f>C37</f>
        <v>0.1</v>
      </c>
    </row>
    <row r="97" spans="2:4">
      <c r="B97" t="s">
        <v>40</v>
      </c>
      <c r="C97" s="8">
        <f>C92*$C$70*10^6*(C95/(1-(1/(1+C95))^C94)+C93)</f>
        <v>394655855.08146185</v>
      </c>
      <c r="D97" s="11" t="s">
        <v>41</v>
      </c>
    </row>
    <row r="98" spans="2:4">
      <c r="B98" t="s">
        <v>42</v>
      </c>
      <c r="C98" s="8">
        <f>C92*$C$70*10^6*(C96/(1-(1/(1+C96))^C94)+C93)</f>
        <v>541179625.08876288</v>
      </c>
    </row>
    <row r="100" spans="2:4">
      <c r="D100" s="11"/>
    </row>
    <row r="101" spans="2:4">
      <c r="D101" s="11"/>
    </row>
    <row r="102" spans="2:4">
      <c r="D102" s="11"/>
    </row>
    <row r="104" spans="2:4">
      <c r="B104" t="s">
        <v>82</v>
      </c>
      <c r="C104" s="1">
        <v>8700</v>
      </c>
      <c r="D104" s="11"/>
    </row>
    <row r="105" spans="2:4">
      <c r="B105" t="s">
        <v>38</v>
      </c>
      <c r="C105" s="16">
        <v>0.02</v>
      </c>
    </row>
    <row r="106" spans="2:4">
      <c r="B106" t="s">
        <v>39</v>
      </c>
      <c r="C106" s="1">
        <v>20</v>
      </c>
      <c r="D106" t="s">
        <v>73</v>
      </c>
    </row>
    <row r="107" spans="2:4">
      <c r="B107" t="s">
        <v>30</v>
      </c>
      <c r="C107" s="33">
        <f>C36</f>
        <v>0.05</v>
      </c>
    </row>
    <row r="108" spans="2:4">
      <c r="B108" t="s">
        <v>32</v>
      </c>
      <c r="C108" s="33">
        <f>C37</f>
        <v>0.1</v>
      </c>
    </row>
    <row r="109" spans="2:4">
      <c r="B109" t="s">
        <v>40</v>
      </c>
      <c r="C109" s="8">
        <f>C104*$C$70*10^6*(C107/(1-(1/(1+C107))^C106)+C105)</f>
        <v>686701187.84174359</v>
      </c>
      <c r="D109" s="11" t="s">
        <v>41</v>
      </c>
    </row>
    <row r="110" spans="2:4">
      <c r="B110" t="s">
        <v>42</v>
      </c>
      <c r="C110" s="8">
        <f>C104*$C$70*10^6*(C108/(1-(1/(1+C108))^C106)+C105)</f>
        <v>941652547.65444744</v>
      </c>
    </row>
    <row r="112" spans="2:4">
      <c r="B112" s="19" t="s">
        <v>91</v>
      </c>
      <c r="D112" t="s">
        <v>35</v>
      </c>
    </row>
    <row r="113" spans="2:4">
      <c r="B113" t="s">
        <v>92</v>
      </c>
      <c r="C113" s="1">
        <v>7.5</v>
      </c>
      <c r="D113" t="s">
        <v>93</v>
      </c>
    </row>
    <row r="114" spans="2:4">
      <c r="B114" t="s">
        <v>94</v>
      </c>
      <c r="C114">
        <f>59.28*10^6</f>
        <v>59280000</v>
      </c>
    </row>
    <row r="115" spans="2:4">
      <c r="B115" t="s">
        <v>95</v>
      </c>
      <c r="C115">
        <f>592.72*10^6</f>
        <v>592720000</v>
      </c>
    </row>
    <row r="116" spans="2:4">
      <c r="B116" t="s">
        <v>96</v>
      </c>
      <c r="C116">
        <f>326.46*10^6</f>
        <v>326460000</v>
      </c>
    </row>
  </sheetData>
  <phoneticPr fontId="15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188"/>
  <sheetViews>
    <sheetView showGridLines="0" zoomScale="70" zoomScaleNormal="70" workbookViewId="0">
      <pane ySplit="4" topLeftCell="A5" activePane="bottomLeft" state="frozen"/>
      <selection pane="bottomLeft" activeCell="B191" sqref="B191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  <col min="21" max="21" width="11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21">
      <c r="B5" s="38">
        <v>12</v>
      </c>
      <c r="C5" s="39">
        <v>230</v>
      </c>
      <c r="D5" s="39">
        <v>136</v>
      </c>
      <c r="E5" s="37">
        <v>50</v>
      </c>
      <c r="F5" s="39">
        <v>100</v>
      </c>
      <c r="G5" s="40">
        <f>B5*[1]Assumptions!$C$19*365*24*[1]Assumptions!$D$26*1000/([1]Assumptions!$C$10*0.001) /10^9</f>
        <v>12.833780869565217</v>
      </c>
      <c r="H5" s="40">
        <f>C5*[1]Assumptions!$C$20*365*24*[1]Assumptions!$D$30*1000/([1]Assumptions!$C$10*0.001) /10^9</f>
        <v>40.35611654235494</v>
      </c>
      <c r="I5" s="40">
        <f>E5*[1]Assumptions!$C$46/([1]Assumptions!$C$10*0.001) /10^9</f>
        <v>2.4664940627267682</v>
      </c>
      <c r="J5" s="40">
        <f>D5*[1]Assumptions!$C$56/([1]Assumptions!$C$10*0.001) /10^9</f>
        <v>7.565802061043958</v>
      </c>
      <c r="K5" s="40">
        <f>F5*[1]Assumptions!$C$65/([1]Assumptions!$C$10*0.001) /10^9</f>
        <v>4.6589332295950063</v>
      </c>
      <c r="L5" s="50">
        <f>[1]Assumptions!$C$69</f>
        <v>4</v>
      </c>
      <c r="M5" s="39"/>
      <c r="N5" s="39"/>
      <c r="O5" s="44">
        <f>N5*Assumptions!$C$97/(Assumptions!$G$12*0.001) /10^9*M5/100</f>
        <v>0</v>
      </c>
      <c r="P5" s="48"/>
      <c r="Q5" s="42">
        <f t="shared" ref="Q5:Q25" si="0">SUM(G5:L5)+O5+P5</f>
        <v>71.881126765285885</v>
      </c>
      <c r="S5" s="29" t="str">
        <f t="shared" ref="S5:S25" si="1">CONCATENATE("(",C5,",",D5,",",E5,",",F5,",",ROUND(N5,0),",",ROUND(M5/100,2),")")</f>
        <v>(230,136,50,100,0,0)</v>
      </c>
      <c r="U5" s="29"/>
    </row>
    <row r="6" spans="2:21">
      <c r="B6" s="38">
        <v>12</v>
      </c>
      <c r="C6" s="39">
        <v>230</v>
      </c>
      <c r="D6" s="39">
        <v>121</v>
      </c>
      <c r="E6" s="37">
        <v>60</v>
      </c>
      <c r="F6" s="39">
        <v>100</v>
      </c>
      <c r="G6" s="40">
        <f>B6*[1]Assumptions!$C$19*365*24*[1]Assumptions!$D$26*1000/([1]Assumptions!$C$10*0.001) /10^9</f>
        <v>12.833780869565217</v>
      </c>
      <c r="H6" s="40">
        <f>C6*[1]Assumptions!$C$20*365*24*[1]Assumptions!$D$30*1000/([1]Assumptions!$C$10*0.001) /10^9</f>
        <v>40.35611654235494</v>
      </c>
      <c r="I6" s="40">
        <f>E6*[1]Assumptions!$C$46/([1]Assumptions!$C$10*0.001) /10^9</f>
        <v>2.9597928752721221</v>
      </c>
      <c r="J6" s="40">
        <f>D6*[1]Assumptions!$C$56/([1]Assumptions!$C$10*0.001) /10^9</f>
        <v>6.731338598428815</v>
      </c>
      <c r="K6" s="40">
        <f>F6*[1]Assumptions!$C$65/([1]Assumptions!$C$10*0.001) /10^9</f>
        <v>4.6589332295950063</v>
      </c>
      <c r="L6" s="50">
        <f>[1]Assumptions!$C$69</f>
        <v>4</v>
      </c>
      <c r="M6" s="39"/>
      <c r="N6" s="39"/>
      <c r="O6" s="44">
        <f>N6*Assumptions!$C$97/(Assumptions!$G$12*0.001) /10^9*M6/100</f>
        <v>0</v>
      </c>
      <c r="P6" s="48"/>
      <c r="Q6" s="42">
        <f t="shared" si="0"/>
        <v>71.539962115216099</v>
      </c>
      <c r="S6" s="29" t="str">
        <f t="shared" si="1"/>
        <v>(230,121,60,100,0,0)</v>
      </c>
      <c r="U6" s="29"/>
    </row>
    <row r="7" spans="2:21">
      <c r="B7" s="38">
        <v>12</v>
      </c>
      <c r="C7" s="39">
        <v>230</v>
      </c>
      <c r="D7" s="39">
        <v>116</v>
      </c>
      <c r="E7" s="37">
        <v>70</v>
      </c>
      <c r="F7" s="39">
        <v>100</v>
      </c>
      <c r="G7" s="40">
        <f>B7*[1]Assumptions!$C$19*365*24*[1]Assumptions!$D$26*1000/([1]Assumptions!$C$10*0.001) /10^9</f>
        <v>12.833780869565217</v>
      </c>
      <c r="H7" s="40">
        <f>C7*[1]Assumptions!$C$20*365*24*[1]Assumptions!$D$30*1000/([1]Assumptions!$C$10*0.001) /10^9</f>
        <v>40.35611654235494</v>
      </c>
      <c r="I7" s="40">
        <f>E7*[1]Assumptions!$C$46/([1]Assumptions!$C$10*0.001) /10^9</f>
        <v>3.4530916878174751</v>
      </c>
      <c r="J7" s="40">
        <f>D7*[1]Assumptions!$C$56/([1]Assumptions!$C$10*0.001) /10^9</f>
        <v>6.453184110890434</v>
      </c>
      <c r="K7" s="40">
        <f>F7*[1]Assumptions!$C$65/([1]Assumptions!$C$10*0.001) /10^9</f>
        <v>4.6589332295950063</v>
      </c>
      <c r="L7" s="50">
        <f>[1]Assumptions!$C$69</f>
        <v>4</v>
      </c>
      <c r="M7" s="39"/>
      <c r="N7" s="39"/>
      <c r="O7" s="44">
        <f>N7*Assumptions!$C$97/(Assumptions!$G$12*0.001) /10^9*M7/100</f>
        <v>0</v>
      </c>
      <c r="P7" s="48"/>
      <c r="Q7" s="42">
        <f t="shared" si="0"/>
        <v>71.755106440223074</v>
      </c>
      <c r="S7" s="29" t="str">
        <f t="shared" si="1"/>
        <v>(230,116,70,100,0,0)</v>
      </c>
      <c r="U7" s="29"/>
    </row>
    <row r="8" spans="2:21">
      <c r="B8" s="38">
        <v>12</v>
      </c>
      <c r="C8" s="39">
        <v>230</v>
      </c>
      <c r="D8" s="39">
        <v>114</v>
      </c>
      <c r="E8" s="37">
        <v>80</v>
      </c>
      <c r="F8" s="39">
        <v>100</v>
      </c>
      <c r="G8" s="40">
        <f>B8*[1]Assumptions!$C$19*365*24*[1]Assumptions!$D$26*1000/([1]Assumptions!$C$10*0.001) /10^9</f>
        <v>12.833780869565217</v>
      </c>
      <c r="H8" s="40">
        <f>C8*[1]Assumptions!$C$20*365*24*[1]Assumptions!$D$30*1000/([1]Assumptions!$C$10*0.001) /10^9</f>
        <v>40.35611654235494</v>
      </c>
      <c r="I8" s="40">
        <f>E8*[1]Assumptions!$C$46/([1]Assumptions!$C$10*0.001) /10^9</f>
        <v>3.9463905003628286</v>
      </c>
      <c r="J8" s="40">
        <f>D8*[1]Assumptions!$C$56/([1]Assumptions!$C$10*0.001) /10^9</f>
        <v>6.3419223158750819</v>
      </c>
      <c r="K8" s="40">
        <f>F8*[1]Assumptions!$C$65/([1]Assumptions!$C$10*0.001) /10^9</f>
        <v>4.6589332295950063</v>
      </c>
      <c r="L8" s="50">
        <f>[1]Assumptions!$C$69</f>
        <v>4</v>
      </c>
      <c r="M8" s="39"/>
      <c r="N8" s="39"/>
      <c r="O8" s="44">
        <f>N8*Assumptions!$C$97/(Assumptions!$G$12*0.001) /10^9*M8/100</f>
        <v>0</v>
      </c>
      <c r="P8" s="48"/>
      <c r="Q8" s="42">
        <f t="shared" si="0"/>
        <v>72.137143457753069</v>
      </c>
      <c r="S8" s="29" t="str">
        <f t="shared" si="1"/>
        <v>(230,114,80,100,0,0)</v>
      </c>
      <c r="U8" s="29"/>
    </row>
    <row r="9" spans="2:21">
      <c r="B9" s="38">
        <v>12</v>
      </c>
      <c r="C9" s="39">
        <v>230</v>
      </c>
      <c r="D9" s="39">
        <v>111</v>
      </c>
      <c r="E9" s="37">
        <v>90</v>
      </c>
      <c r="F9" s="39">
        <v>100</v>
      </c>
      <c r="G9" s="40">
        <f>B9*[1]Assumptions!$C$19*365*24*[1]Assumptions!$D$26*1000/([1]Assumptions!$C$10*0.001) /10^9</f>
        <v>12.833780869565217</v>
      </c>
      <c r="H9" s="40">
        <f>C9*[1]Assumptions!$C$20*365*24*[1]Assumptions!$D$30*1000/([1]Assumptions!$C$10*0.001) /10^9</f>
        <v>40.35611654235494</v>
      </c>
      <c r="I9" s="40">
        <f>E9*[1]Assumptions!$C$46/([1]Assumptions!$C$10*0.001) /10^9</f>
        <v>4.4396893129081834</v>
      </c>
      <c r="J9" s="40">
        <f>D9*[1]Assumptions!$C$56/([1]Assumptions!$C$10*0.001) /10^9</f>
        <v>6.1750296233520539</v>
      </c>
      <c r="K9" s="40">
        <f>F9*[1]Assumptions!$C$65/([1]Assumptions!$C$10*0.001) /10^9</f>
        <v>4.6589332295950063</v>
      </c>
      <c r="L9" s="50">
        <f>[1]Assumptions!$C$69</f>
        <v>4</v>
      </c>
      <c r="M9" s="39"/>
      <c r="N9" s="39"/>
      <c r="O9" s="44">
        <f>N9*Assumptions!$C$97/(Assumptions!$G$12*0.001) /10^9*M9/100</f>
        <v>0</v>
      </c>
      <c r="P9" s="48"/>
      <c r="Q9" s="42">
        <f t="shared" si="0"/>
        <v>72.463549577775396</v>
      </c>
      <c r="S9" s="29" t="str">
        <f t="shared" si="1"/>
        <v>(230,111,90,100,0,0)</v>
      </c>
      <c r="U9" s="29"/>
    </row>
    <row r="10" spans="2:21">
      <c r="B10" s="38">
        <v>12</v>
      </c>
      <c r="C10" s="39">
        <v>230</v>
      </c>
      <c r="D10" s="39">
        <v>110</v>
      </c>
      <c r="E10" s="37">
        <v>100</v>
      </c>
      <c r="F10" s="39">
        <v>100</v>
      </c>
      <c r="G10" s="40">
        <f>B10*[1]Assumptions!$C$19*365*24*[1]Assumptions!$D$26*1000/([1]Assumptions!$C$10*0.001) /10^9</f>
        <v>12.833780869565217</v>
      </c>
      <c r="H10" s="40">
        <f>C10*[1]Assumptions!$C$20*365*24*[1]Assumptions!$D$30*1000/([1]Assumptions!$C$10*0.001) /10^9</f>
        <v>40.35611654235494</v>
      </c>
      <c r="I10" s="40">
        <f>E10*[1]Assumptions!$C$46/([1]Assumptions!$C$10*0.001) /10^9</f>
        <v>4.9329881254535364</v>
      </c>
      <c r="J10" s="40">
        <f>D10*[1]Assumptions!$C$56/([1]Assumptions!$C$10*0.001) /10^9</f>
        <v>6.1193987258443778</v>
      </c>
      <c r="K10" s="40">
        <f>F10*[1]Assumptions!$C$65/([1]Assumptions!$C$10*0.001) /10^9</f>
        <v>4.6589332295950063</v>
      </c>
      <c r="L10" s="50">
        <f>[1]Assumptions!$C$69</f>
        <v>4</v>
      </c>
      <c r="M10" s="39"/>
      <c r="N10" s="39"/>
      <c r="O10" s="44">
        <f>N10*Assumptions!$C$97/(Assumptions!$G$12*0.001) /10^9*M10/100</f>
        <v>0</v>
      </c>
      <c r="P10" s="48"/>
      <c r="Q10" s="42">
        <f t="shared" si="0"/>
        <v>72.901217492813075</v>
      </c>
      <c r="S10" s="29" t="str">
        <f t="shared" si="1"/>
        <v>(230,110,100,100,0,0)</v>
      </c>
      <c r="U10" s="29"/>
    </row>
    <row r="11" spans="2:21">
      <c r="B11" s="38">
        <v>12</v>
      </c>
      <c r="C11" s="39">
        <v>240</v>
      </c>
      <c r="D11" s="39">
        <v>114</v>
      </c>
      <c r="E11" s="37">
        <v>40</v>
      </c>
      <c r="F11" s="39">
        <v>100</v>
      </c>
      <c r="G11" s="40">
        <f>B11*[1]Assumptions!$C$19*365*24*[1]Assumptions!$D$26*1000/([1]Assumptions!$C$10*0.001) /10^9</f>
        <v>12.833780869565217</v>
      </c>
      <c r="H11" s="40">
        <f>C11*[1]Assumptions!$C$20*365*24*[1]Assumptions!$D$30*1000/([1]Assumptions!$C$10*0.001) /10^9</f>
        <v>42.110730305066035</v>
      </c>
      <c r="I11" s="40">
        <f>E11*[1]Assumptions!$C$46/([1]Assumptions!$C$10*0.001) /10^9</f>
        <v>1.9731952501814143</v>
      </c>
      <c r="J11" s="40">
        <f>D11*[1]Assumptions!$C$56/([1]Assumptions!$C$10*0.001) /10^9</f>
        <v>6.3419223158750819</v>
      </c>
      <c r="K11" s="40">
        <f>F11*[1]Assumptions!$C$65/([1]Assumptions!$C$10*0.001) /10^9</f>
        <v>4.6589332295950063</v>
      </c>
      <c r="L11" s="50">
        <f>[1]Assumptions!$C$69</f>
        <v>4</v>
      </c>
      <c r="M11" s="39"/>
      <c r="N11" s="39"/>
      <c r="O11" s="44">
        <f>N11*Assumptions!$C$97/(Assumptions!$G$12*0.001) /10^9*M11/100</f>
        <v>0</v>
      </c>
      <c r="P11" s="48"/>
      <c r="Q11" s="42">
        <f t="shared" si="0"/>
        <v>71.918561970282752</v>
      </c>
      <c r="S11" s="29" t="str">
        <f t="shared" si="1"/>
        <v>(240,114,40,100,0,0)</v>
      </c>
      <c r="U11" s="29"/>
    </row>
    <row r="12" spans="2:21" ht="16.95" customHeight="1">
      <c r="B12" s="38">
        <v>12</v>
      </c>
      <c r="C12" s="39">
        <v>240</v>
      </c>
      <c r="D12" s="39">
        <v>99</v>
      </c>
      <c r="E12" s="37">
        <v>50</v>
      </c>
      <c r="F12" s="39">
        <v>100</v>
      </c>
      <c r="G12" s="40">
        <f>B12*[1]Assumptions!$C$19*365*24*[1]Assumptions!$D$26*1000/([1]Assumptions!$C$10*0.001) /10^9</f>
        <v>12.833780869565217</v>
      </c>
      <c r="H12" s="40">
        <f>C12*[1]Assumptions!$C$20*365*24*[1]Assumptions!$D$30*1000/([1]Assumptions!$C$10*0.001) /10^9</f>
        <v>42.110730305066035</v>
      </c>
      <c r="I12" s="40">
        <f>E12*[1]Assumptions!$C$46/([1]Assumptions!$C$10*0.001) /10^9</f>
        <v>2.4664940627267682</v>
      </c>
      <c r="J12" s="40">
        <f>D12*[1]Assumptions!$C$56/([1]Assumptions!$C$10*0.001) /10^9</f>
        <v>5.5074588532599389</v>
      </c>
      <c r="K12" s="40">
        <f>F12*[1]Assumptions!$C$65/([1]Assumptions!$C$10*0.001) /10^9</f>
        <v>4.6589332295950063</v>
      </c>
      <c r="L12" s="50">
        <f>[1]Assumptions!$C$69</f>
        <v>4</v>
      </c>
      <c r="M12" s="39"/>
      <c r="N12" s="39"/>
      <c r="O12" s="44">
        <f>N12*Assumptions!$C$97/(Assumptions!$G$12*0.001) /10^9*M12/100</f>
        <v>0</v>
      </c>
      <c r="P12" s="48"/>
      <c r="Q12" s="42">
        <f t="shared" si="0"/>
        <v>71.577397320212967</v>
      </c>
      <c r="S12" s="29" t="str">
        <f t="shared" si="1"/>
        <v>(240,99,50,100,0,0)</v>
      </c>
      <c r="U12" s="29"/>
    </row>
    <row r="13" spans="2:21">
      <c r="B13" s="38">
        <v>12</v>
      </c>
      <c r="C13" s="39">
        <v>240</v>
      </c>
      <c r="D13" s="39">
        <v>91</v>
      </c>
      <c r="E13" s="37">
        <v>60</v>
      </c>
      <c r="F13" s="39">
        <v>100</v>
      </c>
      <c r="G13" s="40">
        <f>B13*[1]Assumptions!$C$19*365*24*[1]Assumptions!$D$26*1000/([1]Assumptions!$C$10*0.001) /10^9</f>
        <v>12.833780869565217</v>
      </c>
      <c r="H13" s="40">
        <f>C13*[1]Assumptions!$C$20*365*24*[1]Assumptions!$D$30*1000/([1]Assumptions!$C$10*0.001) /10^9</f>
        <v>42.110730305066035</v>
      </c>
      <c r="I13" s="40">
        <f>E13*[1]Assumptions!$C$46/([1]Assumptions!$C$10*0.001) /10^9</f>
        <v>2.9597928752721221</v>
      </c>
      <c r="J13" s="40">
        <f>D13*[1]Assumptions!$C$56/([1]Assumptions!$C$10*0.001) /10^9</f>
        <v>5.0624116731985298</v>
      </c>
      <c r="K13" s="40">
        <f>F13*[1]Assumptions!$C$65/([1]Assumptions!$C$10*0.001) /10^9</f>
        <v>4.6589332295950063</v>
      </c>
      <c r="L13" s="50">
        <f>[1]Assumptions!$C$69</f>
        <v>4</v>
      </c>
      <c r="M13" s="39"/>
      <c r="N13" s="39"/>
      <c r="O13" s="44">
        <f>N13*Assumptions!$C$97/(Assumptions!$G$12*0.001) /10^9*M13/100</f>
        <v>0</v>
      </c>
      <c r="P13" s="48"/>
      <c r="Q13" s="42">
        <f t="shared" si="0"/>
        <v>71.625648952696906</v>
      </c>
      <c r="S13" s="29" t="str">
        <f t="shared" si="1"/>
        <v>(240,91,60,100,0,0)</v>
      </c>
      <c r="U13" s="29"/>
    </row>
    <row r="14" spans="2:21">
      <c r="B14" s="38">
        <v>12</v>
      </c>
      <c r="C14" s="39">
        <v>240</v>
      </c>
      <c r="D14" s="39">
        <v>85</v>
      </c>
      <c r="E14" s="37">
        <v>70</v>
      </c>
      <c r="F14" s="39">
        <v>100</v>
      </c>
      <c r="G14" s="40">
        <f>B14*[1]Assumptions!$C$19*365*24*[1]Assumptions!$D$26*1000/([1]Assumptions!$C$10*0.001) /10^9</f>
        <v>12.833780869565217</v>
      </c>
      <c r="H14" s="40">
        <f>C14*[1]Assumptions!$C$20*365*24*[1]Assumptions!$D$30*1000/([1]Assumptions!$C$10*0.001) /10^9</f>
        <v>42.110730305066035</v>
      </c>
      <c r="I14" s="40">
        <f>E14*[1]Assumptions!$C$46/([1]Assumptions!$C$10*0.001) /10^9</f>
        <v>3.4530916878174751</v>
      </c>
      <c r="J14" s="40">
        <f>D14*[1]Assumptions!$C$56/([1]Assumptions!$C$10*0.001) /10^9</f>
        <v>4.7286262881524737</v>
      </c>
      <c r="K14" s="40">
        <f>F14*[1]Assumptions!$C$65/([1]Assumptions!$C$10*0.001) /10^9</f>
        <v>4.6589332295950063</v>
      </c>
      <c r="L14" s="50">
        <f>[1]Assumptions!$C$69</f>
        <v>4</v>
      </c>
      <c r="M14" s="39"/>
      <c r="N14" s="39"/>
      <c r="O14" s="44">
        <f>N14*Assumptions!$C$97/(Assumptions!$G$12*0.001) /10^9*M14/100</f>
        <v>0</v>
      </c>
      <c r="P14" s="48"/>
      <c r="Q14" s="42">
        <f t="shared" si="0"/>
        <v>71.785162380196212</v>
      </c>
      <c r="S14" s="29" t="str">
        <f t="shared" si="1"/>
        <v>(240,85,70,100,0,0)</v>
      </c>
      <c r="U14" s="29"/>
    </row>
    <row r="15" spans="2:21" ht="16.95" customHeight="1">
      <c r="B15" s="38">
        <v>12</v>
      </c>
      <c r="C15" s="39">
        <v>240</v>
      </c>
      <c r="D15" s="39">
        <v>81</v>
      </c>
      <c r="E15" s="37">
        <v>80</v>
      </c>
      <c r="F15" s="39">
        <v>100</v>
      </c>
      <c r="G15" s="40">
        <f>B15*[1]Assumptions!$C$19*365*24*[1]Assumptions!$D$26*1000/([1]Assumptions!$C$10*0.001) /10^9</f>
        <v>12.833780869565217</v>
      </c>
      <c r="H15" s="40">
        <f>C15*[1]Assumptions!$C$20*365*24*[1]Assumptions!$D$30*1000/([1]Assumptions!$C$10*0.001) /10^9</f>
        <v>42.110730305066035</v>
      </c>
      <c r="I15" s="40">
        <f>E15*[1]Assumptions!$C$46/([1]Assumptions!$C$10*0.001) /10^9</f>
        <v>3.9463905003628286</v>
      </c>
      <c r="J15" s="40">
        <f>D15*[1]Assumptions!$C$56/([1]Assumptions!$C$10*0.001) /10^9</f>
        <v>4.5061026981217687</v>
      </c>
      <c r="K15" s="40">
        <f>F15*[1]Assumptions!$C$65/([1]Assumptions!$C$10*0.001) /10^9</f>
        <v>4.6589332295950063</v>
      </c>
      <c r="L15" s="50">
        <f>[1]Assumptions!$C$69</f>
        <v>4</v>
      </c>
      <c r="M15" s="39"/>
      <c r="N15" s="39"/>
      <c r="O15" s="44">
        <f>N15*Assumptions!$C$97/(Assumptions!$G$12*0.001) /10^9*M15/100</f>
        <v>0</v>
      </c>
      <c r="P15" s="48"/>
      <c r="Q15" s="42">
        <f t="shared" si="0"/>
        <v>72.055937602710856</v>
      </c>
      <c r="S15" s="29" t="str">
        <f t="shared" si="1"/>
        <v>(240,81,80,100,0,0)</v>
      </c>
      <c r="U15" s="29"/>
    </row>
    <row r="16" spans="2:21" ht="16.95" customHeight="1">
      <c r="B16" s="38">
        <v>12</v>
      </c>
      <c r="C16" s="39">
        <v>240</v>
      </c>
      <c r="D16" s="39">
        <v>79</v>
      </c>
      <c r="E16" s="37">
        <v>90</v>
      </c>
      <c r="F16" s="39">
        <v>100</v>
      </c>
      <c r="G16" s="40">
        <f>B16*[1]Assumptions!$C$19*365*24*[1]Assumptions!$D$26*1000/([1]Assumptions!$C$10*0.001) /10^9</f>
        <v>12.833780869565217</v>
      </c>
      <c r="H16" s="40">
        <f>C16*[1]Assumptions!$C$20*365*24*[1]Assumptions!$D$30*1000/([1]Assumptions!$C$10*0.001) /10^9</f>
        <v>42.110730305066035</v>
      </c>
      <c r="I16" s="40">
        <f>E16*[1]Assumptions!$C$46/([1]Assumptions!$C$10*0.001) /10^9</f>
        <v>4.4396893129081834</v>
      </c>
      <c r="J16" s="40">
        <f>D16*[1]Assumptions!$C$56/([1]Assumptions!$C$10*0.001) /10^9</f>
        <v>4.3948409031064157</v>
      </c>
      <c r="K16" s="40">
        <f>F16*[1]Assumptions!$C$65/([1]Assumptions!$C$10*0.001) /10^9</f>
        <v>4.6589332295950063</v>
      </c>
      <c r="L16" s="50">
        <f>[1]Assumptions!$C$69</f>
        <v>4</v>
      </c>
      <c r="M16" s="39"/>
      <c r="N16" s="39"/>
      <c r="O16" s="44">
        <f>N16*Assumptions!$C$97/(Assumptions!$G$12*0.001) /10^9*M16/100</f>
        <v>0</v>
      </c>
      <c r="P16" s="48"/>
      <c r="Q16" s="42">
        <f t="shared" si="0"/>
        <v>72.437974620240851</v>
      </c>
      <c r="S16" s="29" t="str">
        <f t="shared" si="1"/>
        <v>(240,79,90,100,0,0)</v>
      </c>
      <c r="U16" s="29"/>
    </row>
    <row r="17" spans="2:21" ht="16.95" customHeight="1">
      <c r="B17" s="38">
        <v>12</v>
      </c>
      <c r="C17" s="39">
        <v>240</v>
      </c>
      <c r="D17" s="39">
        <v>79</v>
      </c>
      <c r="E17" s="37">
        <v>100</v>
      </c>
      <c r="F17" s="39">
        <v>100</v>
      </c>
      <c r="G17" s="40">
        <f>B17*[1]Assumptions!$C$19*365*24*[1]Assumptions!$D$26*1000/([1]Assumptions!$C$10*0.001) /10^9</f>
        <v>12.833780869565217</v>
      </c>
      <c r="H17" s="40">
        <f>C17*[1]Assumptions!$C$20*365*24*[1]Assumptions!$D$30*1000/([1]Assumptions!$C$10*0.001) /10^9</f>
        <v>42.110730305066035</v>
      </c>
      <c r="I17" s="40">
        <f>E17*[1]Assumptions!$C$46/([1]Assumptions!$C$10*0.001) /10^9</f>
        <v>4.9329881254535364</v>
      </c>
      <c r="J17" s="40">
        <f>D17*[1]Assumptions!$C$56/([1]Assumptions!$C$10*0.001) /10^9</f>
        <v>4.3948409031064157</v>
      </c>
      <c r="K17" s="40">
        <f>F17*[1]Assumptions!$C$65/([1]Assumptions!$C$10*0.001) /10^9</f>
        <v>4.6589332295950063</v>
      </c>
      <c r="L17" s="50">
        <f>[1]Assumptions!$C$69</f>
        <v>4</v>
      </c>
      <c r="M17" s="39"/>
      <c r="N17" s="39"/>
      <c r="O17" s="44">
        <f>N17*Assumptions!$C$97/(Assumptions!$G$12*0.001) /10^9*M17/100</f>
        <v>0</v>
      </c>
      <c r="P17" s="48"/>
      <c r="Q17" s="42">
        <f t="shared" si="0"/>
        <v>72.931273432786213</v>
      </c>
      <c r="S17" s="29" t="str">
        <f t="shared" si="1"/>
        <v>(240,79,100,100,0,0)</v>
      </c>
      <c r="U17" s="29"/>
    </row>
    <row r="18" spans="2:21" ht="16.95" customHeight="1">
      <c r="B18" s="38">
        <v>12</v>
      </c>
      <c r="C18" s="39">
        <v>250</v>
      </c>
      <c r="D18" s="39">
        <v>111</v>
      </c>
      <c r="E18" s="37">
        <v>30</v>
      </c>
      <c r="F18" s="39">
        <v>100</v>
      </c>
      <c r="G18" s="40">
        <f>B18*[1]Assumptions!$C$19*365*24*[1]Assumptions!$D$26*1000/([1]Assumptions!$C$10*0.001) /10^9</f>
        <v>12.833780869565217</v>
      </c>
      <c r="H18" s="40">
        <f>C18*[1]Assumptions!$C$20*365*24*[1]Assumptions!$D$30*1000/([1]Assumptions!$C$10*0.001) /10^9</f>
        <v>43.86534406777713</v>
      </c>
      <c r="I18" s="40">
        <f>E18*[1]Assumptions!$C$46/([1]Assumptions!$C$10*0.001) /10^9</f>
        <v>1.479896437636061</v>
      </c>
      <c r="J18" s="40">
        <f>D18*[1]Assumptions!$C$56/([1]Assumptions!$C$10*0.001) /10^9</f>
        <v>6.1750296233520539</v>
      </c>
      <c r="K18" s="40">
        <f>F18*[1]Assumptions!$C$65/([1]Assumptions!$C$10*0.001) /10^9</f>
        <v>4.6589332295950063</v>
      </c>
      <c r="L18" s="50">
        <f>[1]Assumptions!$C$69</f>
        <v>4</v>
      </c>
      <c r="M18" s="39"/>
      <c r="N18" s="39"/>
      <c r="O18" s="44">
        <f>N18*Assumptions!$C$97/(Assumptions!$G$12*0.001) /10^9*M18/100</f>
        <v>0</v>
      </c>
      <c r="P18" s="48"/>
      <c r="Q18" s="42">
        <f t="shared" si="0"/>
        <v>73.012984227925472</v>
      </c>
      <c r="S18" s="29" t="str">
        <f t="shared" si="1"/>
        <v>(250,111,30,100,0,0)</v>
      </c>
      <c r="U18" s="29"/>
    </row>
    <row r="19" spans="2:21">
      <c r="B19" s="38">
        <v>12</v>
      </c>
      <c r="C19" s="39">
        <v>250</v>
      </c>
      <c r="D19" s="39">
        <v>84</v>
      </c>
      <c r="E19" s="37">
        <v>40</v>
      </c>
      <c r="F19" s="39">
        <v>100</v>
      </c>
      <c r="G19" s="40">
        <f>B19*[1]Assumptions!$C$19*365*24*[1]Assumptions!$D$26*1000/([1]Assumptions!$C$10*0.001) /10^9</f>
        <v>12.833780869565217</v>
      </c>
      <c r="H19" s="40">
        <f>C19*[1]Assumptions!$C$20*365*24*[1]Assumptions!$D$30*1000/([1]Assumptions!$C$10*0.001) /10^9</f>
        <v>43.86534406777713</v>
      </c>
      <c r="I19" s="40">
        <f>E19*[1]Assumptions!$C$46/([1]Assumptions!$C$10*0.001) /10^9</f>
        <v>1.9731952501814143</v>
      </c>
      <c r="J19" s="40">
        <f>D19*[1]Assumptions!$C$56/([1]Assumptions!$C$10*0.001) /10^9</f>
        <v>4.6729953906447976</v>
      </c>
      <c r="K19" s="40">
        <f>F19*[1]Assumptions!$C$65/([1]Assumptions!$C$10*0.001) /10^9</f>
        <v>4.6589332295950063</v>
      </c>
      <c r="L19" s="50">
        <f>[1]Assumptions!$C$69</f>
        <v>4</v>
      </c>
      <c r="M19" s="39"/>
      <c r="N19" s="39"/>
      <c r="O19" s="44">
        <f>N19*Assumptions!$C$97/(Assumptions!$G$12*0.001) /10^9*M19/100</f>
        <v>0</v>
      </c>
      <c r="P19" s="48"/>
      <c r="Q19" s="42">
        <f t="shared" si="0"/>
        <v>72.00424880776356</v>
      </c>
      <c r="S19" s="29" t="str">
        <f t="shared" si="1"/>
        <v>(250,84,40,100,0,0)</v>
      </c>
      <c r="U19" s="29"/>
    </row>
    <row r="20" spans="2:21">
      <c r="B20" s="38">
        <v>12</v>
      </c>
      <c r="C20" s="39">
        <v>250</v>
      </c>
      <c r="D20" s="39">
        <v>71</v>
      </c>
      <c r="E20" s="37">
        <v>50</v>
      </c>
      <c r="F20" s="39">
        <v>100</v>
      </c>
      <c r="G20" s="40">
        <f>B20*[1]Assumptions!$C$19*365*24*[1]Assumptions!$D$26*1000/([1]Assumptions!$C$10*0.001) /10^9</f>
        <v>12.833780869565217</v>
      </c>
      <c r="H20" s="40">
        <f>C20*[1]Assumptions!$C$20*365*24*[1]Assumptions!$D$30*1000/([1]Assumptions!$C$10*0.001) /10^9</f>
        <v>43.86534406777713</v>
      </c>
      <c r="I20" s="40">
        <f>E20*[1]Assumptions!$C$46/([1]Assumptions!$C$10*0.001) /10^9</f>
        <v>2.4664940627267682</v>
      </c>
      <c r="J20" s="40">
        <f>D20*[1]Assumptions!$C$56/([1]Assumptions!$C$10*0.001) /10^9</f>
        <v>3.9497937230450071</v>
      </c>
      <c r="K20" s="40">
        <f>F20*[1]Assumptions!$C$65/([1]Assumptions!$C$10*0.001) /10^9</f>
        <v>4.6589332295950063</v>
      </c>
      <c r="L20" s="50">
        <f>[1]Assumptions!$C$69</f>
        <v>4</v>
      </c>
      <c r="M20" s="39"/>
      <c r="N20" s="39"/>
      <c r="O20" s="44">
        <f>N20*Assumptions!$C$97/(Assumptions!$G$12*0.001) /10^9*M20/100</f>
        <v>0</v>
      </c>
      <c r="P20" s="48"/>
      <c r="Q20" s="42">
        <f t="shared" si="0"/>
        <v>71.774345952709126</v>
      </c>
      <c r="S20" s="29" t="str">
        <f t="shared" si="1"/>
        <v>(250,71,50,100,0,0)</v>
      </c>
      <c r="U20" s="29"/>
    </row>
    <row r="21" spans="2:21">
      <c r="B21" s="38">
        <v>12</v>
      </c>
      <c r="C21" s="39">
        <v>250</v>
      </c>
      <c r="D21" s="39">
        <v>69</v>
      </c>
      <c r="E21" s="37">
        <v>60</v>
      </c>
      <c r="F21" s="39">
        <v>100</v>
      </c>
      <c r="G21" s="40">
        <f>B21*[1]Assumptions!$C$19*365*24*[1]Assumptions!$D$26*1000/([1]Assumptions!$C$10*0.001) /10^9</f>
        <v>12.833780869565217</v>
      </c>
      <c r="H21" s="40">
        <f>C21*[1]Assumptions!$C$20*365*24*[1]Assumptions!$D$30*1000/([1]Assumptions!$C$10*0.001) /10^9</f>
        <v>43.86534406777713</v>
      </c>
      <c r="I21" s="40">
        <f>E21*[1]Assumptions!$C$46/([1]Assumptions!$C$10*0.001) /10^9</f>
        <v>2.9597928752721221</v>
      </c>
      <c r="J21" s="40">
        <f>D21*[1]Assumptions!$C$56/([1]Assumptions!$C$10*0.001) /10^9</f>
        <v>3.8385319280296546</v>
      </c>
      <c r="K21" s="40">
        <f>F21*[1]Assumptions!$C$65/([1]Assumptions!$C$10*0.001) /10^9</f>
        <v>4.6589332295950063</v>
      </c>
      <c r="L21" s="50">
        <f>[1]Assumptions!$C$69</f>
        <v>4</v>
      </c>
      <c r="M21" s="39"/>
      <c r="N21" s="39"/>
      <c r="O21" s="44">
        <f>N21*Assumptions!$C$97/(Assumptions!$G$12*0.001) /10^9*M21/100</f>
        <v>0</v>
      </c>
      <c r="P21" s="48"/>
      <c r="Q21" s="42">
        <f t="shared" si="0"/>
        <v>72.156382970239122</v>
      </c>
      <c r="S21" s="29" t="str">
        <f t="shared" si="1"/>
        <v>(250,69,60,100,0,0)</v>
      </c>
      <c r="U21" s="29"/>
    </row>
    <row r="22" spans="2:21">
      <c r="B22" s="38">
        <v>12</v>
      </c>
      <c r="C22" s="39">
        <v>250</v>
      </c>
      <c r="D22" s="39">
        <v>68</v>
      </c>
      <c r="E22" s="37">
        <v>70</v>
      </c>
      <c r="F22" s="39">
        <v>100</v>
      </c>
      <c r="G22" s="40">
        <f>B22*[1]Assumptions!$C$19*365*24*[1]Assumptions!$D$26*1000/([1]Assumptions!$C$10*0.001) /10^9</f>
        <v>12.833780869565217</v>
      </c>
      <c r="H22" s="40">
        <f>C22*[1]Assumptions!$C$20*365*24*[1]Assumptions!$D$30*1000/([1]Assumptions!$C$10*0.001) /10^9</f>
        <v>43.86534406777713</v>
      </c>
      <c r="I22" s="40">
        <f>E22*[1]Assumptions!$C$46/([1]Assumptions!$C$10*0.001) /10^9</f>
        <v>3.4530916878174751</v>
      </c>
      <c r="J22" s="40">
        <f>D22*[1]Assumptions!$C$56/([1]Assumptions!$C$10*0.001) /10^9</f>
        <v>3.782901030521979</v>
      </c>
      <c r="K22" s="40">
        <f>F22*[1]Assumptions!$C$65/([1]Assumptions!$C$10*0.001) /10^9</f>
        <v>4.6589332295950063</v>
      </c>
      <c r="L22" s="50">
        <f>[1]Assumptions!$C$69</f>
        <v>4</v>
      </c>
      <c r="M22" s="39"/>
      <c r="N22" s="39"/>
      <c r="O22" s="44">
        <f>N22*Assumptions!$C$97/(Assumptions!$G$12*0.001) /10^9*M22/100</f>
        <v>0</v>
      </c>
      <c r="P22" s="48"/>
      <c r="Q22" s="42">
        <f t="shared" si="0"/>
        <v>72.5940508852768</v>
      </c>
      <c r="S22" s="29" t="str">
        <f t="shared" si="1"/>
        <v>(250,68,70,100,0,0)</v>
      </c>
      <c r="U22" s="29"/>
    </row>
    <row r="23" spans="2:21">
      <c r="B23" s="38">
        <v>12</v>
      </c>
      <c r="C23" s="39">
        <v>250</v>
      </c>
      <c r="D23" s="39">
        <v>67</v>
      </c>
      <c r="E23" s="37">
        <v>80</v>
      </c>
      <c r="F23" s="39">
        <v>100</v>
      </c>
      <c r="G23" s="40">
        <f>B23*[1]Assumptions!$C$19*365*24*[1]Assumptions!$D$26*1000/([1]Assumptions!$C$10*0.001) /10^9</f>
        <v>12.833780869565217</v>
      </c>
      <c r="H23" s="40">
        <f>C23*[1]Assumptions!$C$20*365*24*[1]Assumptions!$D$30*1000/([1]Assumptions!$C$10*0.001) /10^9</f>
        <v>43.86534406777713</v>
      </c>
      <c r="I23" s="40">
        <f>E23*[1]Assumptions!$C$46/([1]Assumptions!$C$10*0.001) /10^9</f>
        <v>3.9463905003628286</v>
      </c>
      <c r="J23" s="40">
        <f>D23*[1]Assumptions!$C$56/([1]Assumptions!$C$10*0.001) /10^9</f>
        <v>3.7272701330143021</v>
      </c>
      <c r="K23" s="40">
        <f>F23*[1]Assumptions!$C$65/([1]Assumptions!$C$10*0.001) /10^9</f>
        <v>4.6589332295950063</v>
      </c>
      <c r="L23" s="50">
        <f>[1]Assumptions!$C$69</f>
        <v>4</v>
      </c>
      <c r="M23" s="39"/>
      <c r="N23" s="39"/>
      <c r="O23" s="44">
        <f>N23*Assumptions!$C$97/(Assumptions!$G$12*0.001) /10^9*M23/100</f>
        <v>0</v>
      </c>
      <c r="P23" s="48"/>
      <c r="Q23" s="42">
        <f t="shared" si="0"/>
        <v>73.031718800314493</v>
      </c>
      <c r="S23" s="29" t="str">
        <f t="shared" si="1"/>
        <v>(250,67,80,100,0,0)</v>
      </c>
      <c r="U23" s="29"/>
    </row>
    <row r="24" spans="2:21">
      <c r="B24" s="38">
        <v>12</v>
      </c>
      <c r="C24" s="39">
        <v>250</v>
      </c>
      <c r="D24" s="39">
        <v>67</v>
      </c>
      <c r="E24" s="37">
        <v>90</v>
      </c>
      <c r="F24" s="39">
        <v>100</v>
      </c>
      <c r="G24" s="40">
        <f>B24*[1]Assumptions!$C$19*365*24*[1]Assumptions!$D$26*1000/([1]Assumptions!$C$10*0.001) /10^9</f>
        <v>12.833780869565217</v>
      </c>
      <c r="H24" s="40">
        <f>C24*[1]Assumptions!$C$20*365*24*[1]Assumptions!$D$30*1000/([1]Assumptions!$C$10*0.001) /10^9</f>
        <v>43.86534406777713</v>
      </c>
      <c r="I24" s="40">
        <f>E24*[1]Assumptions!$C$46/([1]Assumptions!$C$10*0.001) /10^9</f>
        <v>4.4396893129081834</v>
      </c>
      <c r="J24" s="40">
        <f>D24*[1]Assumptions!$C$56/([1]Assumptions!$C$10*0.001) /10^9</f>
        <v>3.7272701330143021</v>
      </c>
      <c r="K24" s="40">
        <f>F24*[1]Assumptions!$C$65/([1]Assumptions!$C$10*0.001) /10^9</f>
        <v>4.6589332295950063</v>
      </c>
      <c r="L24" s="50">
        <f>[1]Assumptions!$C$69</f>
        <v>4</v>
      </c>
      <c r="M24" s="39"/>
      <c r="N24" s="39"/>
      <c r="O24" s="44">
        <f>N24*Assumptions!$C$97/(Assumptions!$G$12*0.001) /10^9*M24/100</f>
        <v>0</v>
      </c>
      <c r="P24" s="48"/>
      <c r="Q24" s="42">
        <f t="shared" si="0"/>
        <v>73.525017612859841</v>
      </c>
      <c r="S24" s="29" t="str">
        <f t="shared" si="1"/>
        <v>(250,67,90,100,0,0)</v>
      </c>
      <c r="U24" s="29"/>
    </row>
    <row r="25" spans="2:21">
      <c r="B25" s="38">
        <v>12</v>
      </c>
      <c r="C25" s="39">
        <v>250</v>
      </c>
      <c r="D25" s="39">
        <v>67</v>
      </c>
      <c r="E25" s="37">
        <v>100</v>
      </c>
      <c r="F25" s="39">
        <v>100</v>
      </c>
      <c r="G25" s="40">
        <f>B25*[1]Assumptions!$C$19*365*24*[1]Assumptions!$D$26*1000/([1]Assumptions!$C$10*0.001) /10^9</f>
        <v>12.833780869565217</v>
      </c>
      <c r="H25" s="40">
        <f>C25*[1]Assumptions!$C$20*365*24*[1]Assumptions!$D$30*1000/([1]Assumptions!$C$10*0.001) /10^9</f>
        <v>43.86534406777713</v>
      </c>
      <c r="I25" s="40">
        <f>E25*[1]Assumptions!$C$46/([1]Assumptions!$C$10*0.001) /10^9</f>
        <v>4.9329881254535364</v>
      </c>
      <c r="J25" s="40">
        <f>D25*[1]Assumptions!$C$56/([1]Assumptions!$C$10*0.001) /10^9</f>
        <v>3.7272701330143021</v>
      </c>
      <c r="K25" s="40">
        <f>F25*[1]Assumptions!$C$65/([1]Assumptions!$C$10*0.001) /10^9</f>
        <v>4.6589332295950063</v>
      </c>
      <c r="L25" s="50">
        <f>[1]Assumptions!$C$69</f>
        <v>4</v>
      </c>
      <c r="M25" s="39"/>
      <c r="N25" s="39"/>
      <c r="O25" s="44">
        <f>N25*Assumptions!$C$97/(Assumptions!$G$12*0.001) /10^9*M25/100</f>
        <v>0</v>
      </c>
      <c r="P25" s="48"/>
      <c r="Q25" s="42">
        <f t="shared" si="0"/>
        <v>74.018316425405189</v>
      </c>
      <c r="S25" s="29" t="str">
        <f t="shared" si="1"/>
        <v>(250,67,100,100,0,0)</v>
      </c>
      <c r="U25" s="29"/>
    </row>
    <row r="26" spans="2:21">
      <c r="B26" s="38">
        <v>12</v>
      </c>
      <c r="C26" s="39">
        <v>260</v>
      </c>
      <c r="D26" s="39">
        <v>81</v>
      </c>
      <c r="E26" s="37">
        <v>30</v>
      </c>
      <c r="F26" s="39">
        <v>100</v>
      </c>
      <c r="G26" s="40">
        <f>B26*[1]Assumptions!$C$19*365*24*[1]Assumptions!$D$26*1000/([1]Assumptions!$C$10*0.001) /10^9</f>
        <v>12.833780869565217</v>
      </c>
      <c r="H26" s="40">
        <f>C26*[1]Assumptions!$C$20*365*24*[1]Assumptions!$D$30*1000/([1]Assumptions!$C$10*0.001) /10^9</f>
        <v>45.619957830488204</v>
      </c>
      <c r="I26" s="40">
        <f>E26*[1]Assumptions!$C$46/([1]Assumptions!$C$10*0.001) /10^9</f>
        <v>1.479896437636061</v>
      </c>
      <c r="J26" s="40">
        <f>D26*[1]Assumptions!$C$56/([1]Assumptions!$C$10*0.001) /10^9</f>
        <v>4.5061026981217687</v>
      </c>
      <c r="K26" s="40">
        <f>F26*[1]Assumptions!$C$65/([1]Assumptions!$C$10*0.001) /10^9</f>
        <v>4.6589332295950063</v>
      </c>
      <c r="L26" s="50">
        <f>[1]Assumptions!$C$69</f>
        <v>4</v>
      </c>
      <c r="M26" s="39"/>
      <c r="N26" s="39"/>
      <c r="O26" s="44">
        <f>N26*Assumptions!$C$97/(Assumptions!$G$12*0.001) /10^9*M26/100</f>
        <v>0</v>
      </c>
      <c r="P26" s="48"/>
      <c r="Q26" s="42">
        <f t="shared" ref="Q26:Q33" si="2">SUM(G26:L26)+O26+P26</f>
        <v>73.098671065406265</v>
      </c>
      <c r="S26" s="29" t="str">
        <f t="shared" ref="S26:S33" si="3">CONCATENATE("(",C26,",",D26,",",E26,",",F26,",",ROUND(N26,0),",",ROUND(M26/100,2),")")</f>
        <v>(260,81,30,100,0,0)</v>
      </c>
      <c r="U26" s="29"/>
    </row>
    <row r="27" spans="2:21">
      <c r="B27" s="38">
        <v>12</v>
      </c>
      <c r="C27" s="39">
        <v>260</v>
      </c>
      <c r="D27" s="39">
        <v>63</v>
      </c>
      <c r="E27" s="37">
        <v>40</v>
      </c>
      <c r="F27" s="39">
        <v>100</v>
      </c>
      <c r="G27" s="40">
        <f>B27*[1]Assumptions!$C$19*365*24*[1]Assumptions!$D$26*1000/([1]Assumptions!$C$10*0.001) /10^9</f>
        <v>12.833780869565217</v>
      </c>
      <c r="H27" s="40">
        <f>C27*[1]Assumptions!$C$20*365*24*[1]Assumptions!$D$30*1000/([1]Assumptions!$C$10*0.001) /10^9</f>
        <v>45.619957830488204</v>
      </c>
      <c r="I27" s="40">
        <f>E27*[1]Assumptions!$C$46/([1]Assumptions!$C$10*0.001) /10^9</f>
        <v>1.9731952501814143</v>
      </c>
      <c r="J27" s="40">
        <f>D27*[1]Assumptions!$C$56/([1]Assumptions!$C$10*0.001) /10^9</f>
        <v>3.5047465429835976</v>
      </c>
      <c r="K27" s="40">
        <f>F27*[1]Assumptions!$C$65/([1]Assumptions!$C$10*0.001) /10^9</f>
        <v>4.6589332295950063</v>
      </c>
      <c r="L27" s="50">
        <f>[1]Assumptions!$C$69</f>
        <v>4</v>
      </c>
      <c r="M27" s="39"/>
      <c r="N27" s="39"/>
      <c r="O27" s="44">
        <f>N27*Assumptions!$C$97/(Assumptions!$G$12*0.001) /10^9*M27/100</f>
        <v>0</v>
      </c>
      <c r="P27" s="48"/>
      <c r="Q27" s="42">
        <f t="shared" si="2"/>
        <v>72.59061372281343</v>
      </c>
      <c r="S27" s="29" t="str">
        <f t="shared" si="3"/>
        <v>(260,63,40,100,0,0)</v>
      </c>
      <c r="U27" s="29"/>
    </row>
    <row r="28" spans="2:21">
      <c r="B28" s="38">
        <v>12</v>
      </c>
      <c r="C28" s="39">
        <v>260</v>
      </c>
      <c r="D28" s="39">
        <v>60</v>
      </c>
      <c r="E28" s="37">
        <v>50</v>
      </c>
      <c r="F28" s="39">
        <v>100</v>
      </c>
      <c r="G28" s="40">
        <f>B28*[1]Assumptions!$C$19*365*24*[1]Assumptions!$D$26*1000/([1]Assumptions!$C$10*0.001) /10^9</f>
        <v>12.833780869565217</v>
      </c>
      <c r="H28" s="40">
        <f>C28*[1]Assumptions!$C$20*365*24*[1]Assumptions!$D$30*1000/([1]Assumptions!$C$10*0.001) /10^9</f>
        <v>45.619957830488204</v>
      </c>
      <c r="I28" s="40">
        <f>E28*[1]Assumptions!$C$46/([1]Assumptions!$C$10*0.001) /10^9</f>
        <v>2.4664940627267682</v>
      </c>
      <c r="J28" s="40">
        <f>D28*[1]Assumptions!$C$56/([1]Assumptions!$C$10*0.001) /10^9</f>
        <v>3.3378538504605695</v>
      </c>
      <c r="K28" s="40">
        <f>F28*[1]Assumptions!$C$65/([1]Assumptions!$C$10*0.001) /10^9</f>
        <v>4.6589332295950063</v>
      </c>
      <c r="L28" s="50">
        <f>[1]Assumptions!$C$69</f>
        <v>4</v>
      </c>
      <c r="M28" s="39"/>
      <c r="N28" s="39"/>
      <c r="O28" s="44">
        <f>N28*Assumptions!$C$97/(Assumptions!$G$12*0.001) /10^9*M28/100</f>
        <v>0</v>
      </c>
      <c r="P28" s="48"/>
      <c r="Q28" s="42">
        <f t="shared" si="2"/>
        <v>72.917019842835771</v>
      </c>
      <c r="S28" s="29" t="str">
        <f t="shared" si="3"/>
        <v>(260,60,50,100,0,0)</v>
      </c>
      <c r="U28" s="29"/>
    </row>
    <row r="29" spans="2:21">
      <c r="B29" s="38">
        <v>12</v>
      </c>
      <c r="C29" s="39">
        <v>260</v>
      </c>
      <c r="D29" s="39">
        <v>58</v>
      </c>
      <c r="E29" s="37">
        <v>60</v>
      </c>
      <c r="F29" s="39">
        <v>100</v>
      </c>
      <c r="G29" s="40">
        <f>B29*[1]Assumptions!$C$19*365*24*[1]Assumptions!$D$26*1000/([1]Assumptions!$C$10*0.001) /10^9</f>
        <v>12.833780869565217</v>
      </c>
      <c r="H29" s="40">
        <f>C29*[1]Assumptions!$C$20*365*24*[1]Assumptions!$D$30*1000/([1]Assumptions!$C$10*0.001) /10^9</f>
        <v>45.619957830488204</v>
      </c>
      <c r="I29" s="40">
        <f>E29*[1]Assumptions!$C$46/([1]Assumptions!$C$10*0.001) /10^9</f>
        <v>2.9597928752721221</v>
      </c>
      <c r="J29" s="40">
        <f>D29*[1]Assumptions!$C$56/([1]Assumptions!$C$10*0.001) /10^9</f>
        <v>3.226592055445217</v>
      </c>
      <c r="K29" s="40">
        <f>F29*[1]Assumptions!$C$65/([1]Assumptions!$C$10*0.001) /10^9</f>
        <v>4.6589332295950063</v>
      </c>
      <c r="L29" s="50">
        <f>[1]Assumptions!$C$69</f>
        <v>4</v>
      </c>
      <c r="M29" s="39"/>
      <c r="N29" s="39"/>
      <c r="O29" s="44">
        <f>N29*Assumptions!$C$97/(Assumptions!$G$12*0.001) /10^9*M29/100</f>
        <v>0</v>
      </c>
      <c r="P29" s="48"/>
      <c r="Q29" s="42">
        <f t="shared" si="2"/>
        <v>73.299056860365766</v>
      </c>
      <c r="S29" s="29" t="str">
        <f t="shared" si="3"/>
        <v>(260,58,60,100,0,0)</v>
      </c>
      <c r="U29" s="29"/>
    </row>
    <row r="30" spans="2:21">
      <c r="B30" s="38">
        <v>12</v>
      </c>
      <c r="C30" s="39">
        <v>260</v>
      </c>
      <c r="D30" s="39">
        <v>57</v>
      </c>
      <c r="E30" s="37">
        <v>70</v>
      </c>
      <c r="F30" s="39">
        <v>100</v>
      </c>
      <c r="G30" s="40">
        <f>B30*[1]Assumptions!$C$19*365*24*[1]Assumptions!$D$26*1000/([1]Assumptions!$C$10*0.001) /10^9</f>
        <v>12.833780869565217</v>
      </c>
      <c r="H30" s="40">
        <f>C30*[1]Assumptions!$C$20*365*24*[1]Assumptions!$D$30*1000/([1]Assumptions!$C$10*0.001) /10^9</f>
        <v>45.619957830488204</v>
      </c>
      <c r="I30" s="40">
        <f>E30*[1]Assumptions!$C$46/([1]Assumptions!$C$10*0.001) /10^9</f>
        <v>3.4530916878174751</v>
      </c>
      <c r="J30" s="40">
        <f>D30*[1]Assumptions!$C$56/([1]Assumptions!$C$10*0.001) /10^9</f>
        <v>3.170961157937541</v>
      </c>
      <c r="K30" s="40">
        <f>F30*[1]Assumptions!$C$65/([1]Assumptions!$C$10*0.001) /10^9</f>
        <v>4.6589332295950063</v>
      </c>
      <c r="L30" s="50">
        <f>[1]Assumptions!$C$69</f>
        <v>4</v>
      </c>
      <c r="M30" s="39"/>
      <c r="N30" s="39"/>
      <c r="O30" s="44">
        <f>N30*Assumptions!$C$97/(Assumptions!$G$12*0.001) /10^9*M30/100</f>
        <v>0</v>
      </c>
      <c r="P30" s="48"/>
      <c r="Q30" s="42">
        <f t="shared" si="2"/>
        <v>73.736724775403445</v>
      </c>
      <c r="S30" s="29" t="str">
        <f t="shared" si="3"/>
        <v>(260,57,70,100,0,0)</v>
      </c>
      <c r="U30" s="29"/>
    </row>
    <row r="31" spans="2:21">
      <c r="B31" s="38">
        <v>12</v>
      </c>
      <c r="C31" s="39">
        <v>260</v>
      </c>
      <c r="D31" s="39">
        <v>56</v>
      </c>
      <c r="E31" s="37">
        <v>80</v>
      </c>
      <c r="F31" s="39">
        <v>100</v>
      </c>
      <c r="G31" s="40">
        <f>B31*[1]Assumptions!$C$19*365*24*[1]Assumptions!$D$26*1000/([1]Assumptions!$C$10*0.001) /10^9</f>
        <v>12.833780869565217</v>
      </c>
      <c r="H31" s="40">
        <f>C31*[1]Assumptions!$C$20*365*24*[1]Assumptions!$D$30*1000/([1]Assumptions!$C$10*0.001) /10^9</f>
        <v>45.619957830488204</v>
      </c>
      <c r="I31" s="40">
        <f>E31*[1]Assumptions!$C$46/([1]Assumptions!$C$10*0.001) /10^9</f>
        <v>3.9463905003628286</v>
      </c>
      <c r="J31" s="40">
        <f>D31*[1]Assumptions!$C$56/([1]Assumptions!$C$10*0.001) /10^9</f>
        <v>3.1153302604298649</v>
      </c>
      <c r="K31" s="40">
        <f>F31*[1]Assumptions!$C$65/([1]Assumptions!$C$10*0.001) /10^9</f>
        <v>4.6589332295950063</v>
      </c>
      <c r="L31" s="50">
        <f>[1]Assumptions!$C$69</f>
        <v>4</v>
      </c>
      <c r="M31" s="39"/>
      <c r="N31" s="39"/>
      <c r="O31" s="44">
        <f>N31*Assumptions!$C$97/(Assumptions!$G$12*0.001) /10^9*M31/100</f>
        <v>0</v>
      </c>
      <c r="P31" s="48"/>
      <c r="Q31" s="42">
        <f t="shared" si="2"/>
        <v>74.174392690441124</v>
      </c>
      <c r="S31" s="29" t="str">
        <f t="shared" si="3"/>
        <v>(260,56,80,100,0,0)</v>
      </c>
      <c r="U31" s="29"/>
    </row>
    <row r="32" spans="2:21">
      <c r="B32" s="38">
        <v>12</v>
      </c>
      <c r="C32" s="39">
        <v>260</v>
      </c>
      <c r="D32" s="39">
        <v>55</v>
      </c>
      <c r="E32" s="37">
        <v>90</v>
      </c>
      <c r="F32" s="39">
        <v>100</v>
      </c>
      <c r="G32" s="40">
        <f>B32*[1]Assumptions!$C$19*365*24*[1]Assumptions!$D$26*1000/([1]Assumptions!$C$10*0.001) /10^9</f>
        <v>12.833780869565217</v>
      </c>
      <c r="H32" s="40">
        <f>C32*[1]Assumptions!$C$20*365*24*[1]Assumptions!$D$30*1000/([1]Assumptions!$C$10*0.001) /10^9</f>
        <v>45.619957830488204</v>
      </c>
      <c r="I32" s="40">
        <f>E32*[1]Assumptions!$C$46/([1]Assumptions!$C$10*0.001) /10^9</f>
        <v>4.4396893129081834</v>
      </c>
      <c r="J32" s="40">
        <f>D32*[1]Assumptions!$C$56/([1]Assumptions!$C$10*0.001) /10^9</f>
        <v>3.0596993629221889</v>
      </c>
      <c r="K32" s="40">
        <f>F32*[1]Assumptions!$C$65/([1]Assumptions!$C$10*0.001) /10^9</f>
        <v>4.6589332295950063</v>
      </c>
      <c r="L32" s="50">
        <f>[1]Assumptions!$C$69</f>
        <v>4</v>
      </c>
      <c r="M32" s="39"/>
      <c r="N32" s="39"/>
      <c r="O32" s="44">
        <f>N32*Assumptions!$C$97/(Assumptions!$G$12*0.001) /10^9*M32/100</f>
        <v>0</v>
      </c>
      <c r="P32" s="48"/>
      <c r="Q32" s="42">
        <f t="shared" si="2"/>
        <v>74.612060605478803</v>
      </c>
      <c r="S32" s="29" t="str">
        <f t="shared" si="3"/>
        <v>(260,55,90,100,0,0)</v>
      </c>
      <c r="U32" s="29"/>
    </row>
    <row r="33" spans="2:21">
      <c r="B33" s="38">
        <v>12</v>
      </c>
      <c r="C33" s="39">
        <v>260</v>
      </c>
      <c r="D33" s="39">
        <v>55</v>
      </c>
      <c r="E33" s="37">
        <v>100</v>
      </c>
      <c r="F33" s="39">
        <v>100</v>
      </c>
      <c r="G33" s="40">
        <f>B33*[1]Assumptions!$C$19*365*24*[1]Assumptions!$D$26*1000/([1]Assumptions!$C$10*0.001) /10^9</f>
        <v>12.833780869565217</v>
      </c>
      <c r="H33" s="40">
        <f>C33*[1]Assumptions!$C$20*365*24*[1]Assumptions!$D$30*1000/([1]Assumptions!$C$10*0.001) /10^9</f>
        <v>45.619957830488204</v>
      </c>
      <c r="I33" s="40">
        <f>E33*[1]Assumptions!$C$46/([1]Assumptions!$C$10*0.001) /10^9</f>
        <v>4.9329881254535364</v>
      </c>
      <c r="J33" s="40">
        <f>D33*[1]Assumptions!$C$56/([1]Assumptions!$C$10*0.001) /10^9</f>
        <v>3.0596993629221889</v>
      </c>
      <c r="K33" s="40">
        <f>F33*[1]Assumptions!$C$65/([1]Assumptions!$C$10*0.001) /10^9</f>
        <v>4.6589332295950063</v>
      </c>
      <c r="L33" s="50">
        <f>[1]Assumptions!$C$69</f>
        <v>4</v>
      </c>
      <c r="M33" s="39"/>
      <c r="N33" s="39"/>
      <c r="O33" s="44">
        <f>N33*Assumptions!$C$97/(Assumptions!$G$12*0.001) /10^9*M33/100</f>
        <v>0</v>
      </c>
      <c r="P33" s="48"/>
      <c r="Q33" s="42">
        <f t="shared" si="2"/>
        <v>75.10535941802415</v>
      </c>
      <c r="S33" s="29" t="str">
        <f t="shared" si="3"/>
        <v>(260,55,100,100,0,0)</v>
      </c>
      <c r="U33" s="29"/>
    </row>
    <row r="34" spans="2:21">
      <c r="B34" s="4">
        <v>12</v>
      </c>
      <c r="C34" s="39">
        <v>240</v>
      </c>
      <c r="D34" s="39">
        <v>114</v>
      </c>
      <c r="E34" s="37">
        <v>40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42.110730305066035</v>
      </c>
      <c r="I34" s="40">
        <f>E34*Assumptions!$C$46/(Assumptions!$C$10*0.001) /10^9</f>
        <v>1.9731952501814143</v>
      </c>
      <c r="J34" s="40">
        <f>D34*Assumptions!$C$56/(Assumptions!$C$10*0.001) /10^9</f>
        <v>6.3419223158750819</v>
      </c>
      <c r="K34" s="40">
        <f>F34*Assumptions!$C$65/(Assumptions!$C$10*0.001) /10^9</f>
        <v>4.6589332295950063</v>
      </c>
      <c r="L34" s="47">
        <f>4</f>
        <v>4</v>
      </c>
      <c r="M34" s="39">
        <v>5.62</v>
      </c>
      <c r="N34" s="39">
        <v>41</v>
      </c>
      <c r="O34" s="44">
        <f>N34*Assumptions!$C$97/(Assumptions!$G$10*0.001) /10^9*M34/100</f>
        <v>1.5231740562856353</v>
      </c>
      <c r="P34" s="48">
        <f>Assumptions!$C$114*Assumptions!$C$113/(Assumptions!$G$10*0.001) /10^9</f>
        <v>0.74469814087879027</v>
      </c>
      <c r="Q34" s="42">
        <f t="shared" ref="Q34:Q56" si="4">SUM(G34:L34)+O34+P34</f>
        <v>74.186434167447189</v>
      </c>
      <c r="S34" s="29" t="str">
        <f t="shared" ref="S34:S65" si="5">CONCATENATE("(",C34,",",D34,",",E34,",",F34,",",ROUND(N34,0),",",ROUND(M34/100,2),")")</f>
        <v>(240,114,40,100,41,0.06)</v>
      </c>
      <c r="U34" s="29"/>
    </row>
    <row r="35" spans="2:21">
      <c r="B35" s="4">
        <v>12</v>
      </c>
      <c r="C35" s="39">
        <v>240</v>
      </c>
      <c r="D35" s="39">
        <v>99</v>
      </c>
      <c r="E35" s="37">
        <v>50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42.110730305066035</v>
      </c>
      <c r="I35" s="40">
        <f>E35*Assumptions!$C$46/(Assumptions!$C$10*0.001) /10^9</f>
        <v>2.4664940627267682</v>
      </c>
      <c r="J35" s="40">
        <f>D35*Assumptions!$C$56/(Assumptions!$C$10*0.001) /10^9</f>
        <v>5.5074588532599389</v>
      </c>
      <c r="K35" s="40">
        <f>F35*Assumptions!$C$65/(Assumptions!$C$10*0.001) /10^9</f>
        <v>4.6589332295950063</v>
      </c>
      <c r="L35" s="47">
        <f>4</f>
        <v>4</v>
      </c>
      <c r="M35" s="39">
        <v>11.44</v>
      </c>
      <c r="N35" s="39">
        <v>18</v>
      </c>
      <c r="O35" s="44">
        <f>N35*Assumptions!$C$97/(Assumptions!$G$10*0.001) /10^9*M35/100</f>
        <v>1.3612186514640137</v>
      </c>
      <c r="P35" s="48">
        <f>Assumptions!$C$114*Assumptions!$C$113/(Assumptions!$G$10*0.001) /10^9</f>
        <v>0.74469814087879027</v>
      </c>
      <c r="Q35" s="42">
        <f t="shared" si="4"/>
        <v>73.683314112555777</v>
      </c>
      <c r="S35" s="29" t="str">
        <f t="shared" si="5"/>
        <v>(240,99,50,100,18,0.11)</v>
      </c>
      <c r="U35" s="29"/>
    </row>
    <row r="36" spans="2:21">
      <c r="B36" s="4">
        <v>12</v>
      </c>
      <c r="C36" s="39">
        <v>240</v>
      </c>
      <c r="D36" s="39">
        <v>91</v>
      </c>
      <c r="E36" s="37">
        <v>60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42.110730305066035</v>
      </c>
      <c r="I36" s="40">
        <f>E36*Assumptions!$C$46/(Assumptions!$C$10*0.001) /10^9</f>
        <v>2.9597928752721221</v>
      </c>
      <c r="J36" s="40">
        <f>D36*Assumptions!$C$56/(Assumptions!$C$10*0.001) /10^9</f>
        <v>5.0624116731985298</v>
      </c>
      <c r="K36" s="40">
        <f>F36*Assumptions!$C$65/(Assumptions!$C$10*0.001) /10^9</f>
        <v>4.6589332295950063</v>
      </c>
      <c r="L36" s="47">
        <f>4</f>
        <v>4</v>
      </c>
      <c r="M36" s="39">
        <v>14.98</v>
      </c>
      <c r="N36" s="39">
        <v>14</v>
      </c>
      <c r="O36" s="44">
        <f>N36*Assumptions!$C$97/(Assumptions!$G$10*0.001) /10^9*M36/100</f>
        <v>1.3863382652730818</v>
      </c>
      <c r="P36" s="48">
        <f>Assumptions!$C$114*Assumptions!$C$113/(Assumptions!$G$10*0.001) /10^9</f>
        <v>0.74469814087879027</v>
      </c>
      <c r="Q36" s="42">
        <f t="shared" si="4"/>
        <v>73.756685358848785</v>
      </c>
      <c r="S36" s="29" t="str">
        <f t="shared" si="5"/>
        <v>(240,91,60,100,14,0.15)</v>
      </c>
      <c r="U36" s="29"/>
    </row>
    <row r="37" spans="2:21">
      <c r="B37" s="4">
        <v>12</v>
      </c>
      <c r="C37" s="39">
        <v>240</v>
      </c>
      <c r="D37" s="39">
        <v>85</v>
      </c>
      <c r="E37" s="37">
        <v>70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42.110730305066035</v>
      </c>
      <c r="I37" s="40">
        <f>E37*Assumptions!$C$46/(Assumptions!$C$10*0.001) /10^9</f>
        <v>3.4530916878174751</v>
      </c>
      <c r="J37" s="40">
        <f>D37*Assumptions!$C$56/(Assumptions!$C$10*0.001) /10^9</f>
        <v>4.7286262881524737</v>
      </c>
      <c r="K37" s="40">
        <f>F37*Assumptions!$C$65/(Assumptions!$C$10*0.001) /10^9</f>
        <v>4.6589332295950063</v>
      </c>
      <c r="L37" s="47">
        <f>4</f>
        <v>4</v>
      </c>
      <c r="M37" s="39">
        <v>16.829999999999998</v>
      </c>
      <c r="N37" s="39">
        <v>12</v>
      </c>
      <c r="O37" s="44">
        <f>N37*Assumptions!$C$97/(Assumptions!$G$10*0.001) /10^9*M37/100</f>
        <v>1.3350413697050902</v>
      </c>
      <c r="P37" s="48">
        <f>Assumptions!$C$114*Assumptions!$C$113/(Assumptions!$G$10*0.001) /10^9</f>
        <v>0.74469814087879027</v>
      </c>
      <c r="Q37" s="42">
        <f t="shared" si="4"/>
        <v>73.864901890780104</v>
      </c>
      <c r="S37" s="29" t="str">
        <f t="shared" si="5"/>
        <v>(240,85,70,100,12,0.17)</v>
      </c>
      <c r="U37" s="29"/>
    </row>
    <row r="38" spans="2:21">
      <c r="B38" s="4">
        <v>12</v>
      </c>
      <c r="C38" s="39">
        <v>240</v>
      </c>
      <c r="D38" s="39">
        <v>81</v>
      </c>
      <c r="E38" s="37">
        <v>80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42.110730305066035</v>
      </c>
      <c r="I38" s="40">
        <f>E38*Assumptions!$C$46/(Assumptions!$C$10*0.001) /10^9</f>
        <v>3.9463905003628286</v>
      </c>
      <c r="J38" s="40">
        <f>D38*Assumptions!$C$56/(Assumptions!$C$10*0.001) /10^9</f>
        <v>4.5061026981217687</v>
      </c>
      <c r="K38" s="40">
        <f>F38*Assumptions!$C$65/(Assumptions!$C$10*0.001) /10^9</f>
        <v>4.6589332295950063</v>
      </c>
      <c r="L38" s="47">
        <f>4</f>
        <v>4</v>
      </c>
      <c r="M38" s="39">
        <v>17.87</v>
      </c>
      <c r="N38" s="39">
        <v>11</v>
      </c>
      <c r="O38" s="44">
        <f>N38*Assumptions!$C$97/(Assumptions!$G$10*0.001) /10^9*M38/100</f>
        <v>1.299411180644334</v>
      </c>
      <c r="P38" s="48">
        <f>Assumptions!$C$114*Assumptions!$C$113/(Assumptions!$G$10*0.001) /10^9</f>
        <v>0.74469814087879027</v>
      </c>
      <c r="Q38" s="42">
        <f t="shared" si="4"/>
        <v>74.100046924233979</v>
      </c>
      <c r="S38" s="29" t="str">
        <f t="shared" si="5"/>
        <v>(240,81,80,100,11,0.18)</v>
      </c>
      <c r="U38" s="29"/>
    </row>
    <row r="39" spans="2:21">
      <c r="B39" s="4">
        <v>12</v>
      </c>
      <c r="C39" s="39">
        <v>240</v>
      </c>
      <c r="D39" s="39">
        <v>79</v>
      </c>
      <c r="E39" s="37">
        <v>90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42.110730305066035</v>
      </c>
      <c r="I39" s="40">
        <f>E39*Assumptions!$C$46/(Assumptions!$C$10*0.001) /10^9</f>
        <v>4.4396893129081834</v>
      </c>
      <c r="J39" s="40">
        <f>D39*Assumptions!$C$56/(Assumptions!$C$10*0.001) /10^9</f>
        <v>4.3948409031064157</v>
      </c>
      <c r="K39" s="40">
        <f>F39*Assumptions!$C$65/(Assumptions!$C$10*0.001) /10^9</f>
        <v>4.6589332295950063</v>
      </c>
      <c r="L39" s="47">
        <f>4</f>
        <v>4</v>
      </c>
      <c r="M39" s="39">
        <v>18.489999999999998</v>
      </c>
      <c r="N39" s="39">
        <v>11</v>
      </c>
      <c r="O39" s="44">
        <f>N39*Assumptions!$C$97/(Assumptions!$G$10*0.001) /10^9*M39/100</f>
        <v>1.3444942770069239</v>
      </c>
      <c r="P39" s="48">
        <f>Assumptions!$C$114*Assumptions!$C$113/(Assumptions!$G$10*0.001) /10^9</f>
        <v>0.74469814087879027</v>
      </c>
      <c r="Q39" s="42">
        <f t="shared" si="4"/>
        <v>74.527167038126578</v>
      </c>
      <c r="S39" s="29" t="str">
        <f t="shared" si="5"/>
        <v>(240,79,90,100,11,0.18)</v>
      </c>
      <c r="U39" s="29"/>
    </row>
    <row r="40" spans="2:21">
      <c r="B40" s="4">
        <v>12</v>
      </c>
      <c r="C40" s="39">
        <v>240</v>
      </c>
      <c r="D40" s="39">
        <v>79</v>
      </c>
      <c r="E40" s="37">
        <v>100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42.110730305066035</v>
      </c>
      <c r="I40" s="40">
        <f>E40*Assumptions!$C$46/(Assumptions!$C$10*0.001) /10^9</f>
        <v>4.9329881254535364</v>
      </c>
      <c r="J40" s="40">
        <f>D40*Assumptions!$C$56/(Assumptions!$C$10*0.001) /10^9</f>
        <v>4.3948409031064157</v>
      </c>
      <c r="K40" s="40">
        <f>F40*Assumptions!$C$65/(Assumptions!$C$10*0.001) /10^9</f>
        <v>4.6589332295950063</v>
      </c>
      <c r="L40" s="47">
        <f>4</f>
        <v>4</v>
      </c>
      <c r="M40" s="39">
        <v>18.73</v>
      </c>
      <c r="N40" s="39">
        <v>11</v>
      </c>
      <c r="O40" s="44">
        <f>N40*Assumptions!$C$97/(Assumptions!$G$10*0.001) /10^9*M40/100</f>
        <v>1.3619457981795395</v>
      </c>
      <c r="P40" s="48">
        <f>Assumptions!$C$114*Assumptions!$C$113/(Assumptions!$G$10*0.001) /10^9</f>
        <v>0.74469814087879027</v>
      </c>
      <c r="Q40" s="42">
        <f t="shared" si="4"/>
        <v>75.037917371844543</v>
      </c>
      <c r="S40" s="29" t="str">
        <f t="shared" si="5"/>
        <v>(240,79,100,100,11,0.19)</v>
      </c>
      <c r="U40" s="29"/>
    </row>
    <row r="41" spans="2:21">
      <c r="B41" s="4">
        <v>12</v>
      </c>
      <c r="C41" s="39">
        <v>250</v>
      </c>
      <c r="D41" s="39">
        <v>111</v>
      </c>
      <c r="E41" s="37">
        <v>30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43.86534406777713</v>
      </c>
      <c r="I41" s="40">
        <f>E41*Assumptions!$C$46/(Assumptions!$C$10*0.001) /10^9</f>
        <v>1.479896437636061</v>
      </c>
      <c r="J41" s="40">
        <f>D41*Assumptions!$C$56/(Assumptions!$C$10*0.001) /10^9</f>
        <v>6.1750296233520539</v>
      </c>
      <c r="K41" s="40">
        <f>F41*Assumptions!$C$65/(Assumptions!$C$10*0.001) /10^9</f>
        <v>4.6589332295950063</v>
      </c>
      <c r="L41" s="47">
        <f>4</f>
        <v>4</v>
      </c>
      <c r="M41" s="39">
        <v>3.51</v>
      </c>
      <c r="N41" s="39">
        <v>91</v>
      </c>
      <c r="O41" s="44">
        <f>N41*Assumptions!$C$97/(Assumptions!$G$10*0.001) /10^9*M41/100</f>
        <v>2.1114357491458846</v>
      </c>
      <c r="P41" s="48">
        <f>Assumptions!$C$114*Assumptions!$C$113/(Assumptions!$G$10*0.001) /10^9</f>
        <v>0.74469814087879027</v>
      </c>
      <c r="Q41" s="42">
        <f t="shared" si="4"/>
        <v>75.869118117950151</v>
      </c>
      <c r="S41" s="29" t="str">
        <f t="shared" si="5"/>
        <v>(250,111,30,100,91,0.04)</v>
      </c>
      <c r="U41" s="29"/>
    </row>
    <row r="42" spans="2:21">
      <c r="B42" s="4">
        <v>12</v>
      </c>
      <c r="C42" s="39">
        <v>250</v>
      </c>
      <c r="D42" s="39">
        <v>84</v>
      </c>
      <c r="E42" s="37">
        <v>40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43.86534406777713</v>
      </c>
      <c r="I42" s="40">
        <f>E42*Assumptions!$C$46/(Assumptions!$C$10*0.001) /10^9</f>
        <v>1.9731952501814143</v>
      </c>
      <c r="J42" s="40">
        <f>D42*Assumptions!$C$56/(Assumptions!$C$10*0.001) /10^9</f>
        <v>4.6729953906447976</v>
      </c>
      <c r="K42" s="40">
        <f>F42*Assumptions!$C$65/(Assumptions!$C$10*0.001) /10^9</f>
        <v>4.6589332295950063</v>
      </c>
      <c r="L42" s="47">
        <f>4</f>
        <v>4</v>
      </c>
      <c r="M42" s="39">
        <v>13.49</v>
      </c>
      <c r="N42" s="39">
        <v>15</v>
      </c>
      <c r="O42" s="44">
        <f>N42*Assumptions!$C$97/(Assumptions!$G$10*0.001) /10^9*M42/100</f>
        <v>1.3376194353328634</v>
      </c>
      <c r="P42" s="48">
        <f>Assumptions!$C$114*Assumptions!$C$113/(Assumptions!$G$10*0.001) /10^9</f>
        <v>0.74469814087879027</v>
      </c>
      <c r="Q42" s="42">
        <f t="shared" si="4"/>
        <v>74.086566383975224</v>
      </c>
      <c r="S42" s="29" t="str">
        <f t="shared" si="5"/>
        <v>(250,84,40,100,15,0.13)</v>
      </c>
      <c r="U42" s="29"/>
    </row>
    <row r="43" spans="2:21">
      <c r="B43" s="4">
        <v>12</v>
      </c>
      <c r="C43" s="39">
        <v>250</v>
      </c>
      <c r="D43" s="39">
        <v>71</v>
      </c>
      <c r="E43" s="37">
        <v>50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43.86534406777713</v>
      </c>
      <c r="I43" s="40">
        <f>E43*Assumptions!$C$46/(Assumptions!$C$10*0.001) /10^9</f>
        <v>2.4664940627267682</v>
      </c>
      <c r="J43" s="40">
        <f>D43*Assumptions!$C$56/(Assumptions!$C$10*0.001) /10^9</f>
        <v>3.9497937230450071</v>
      </c>
      <c r="K43" s="40">
        <f>F43*Assumptions!$C$65/(Assumptions!$C$10*0.001) /10^9</f>
        <v>4.6589332295950063</v>
      </c>
      <c r="L43" s="47">
        <f>4</f>
        <v>4</v>
      </c>
      <c r="M43" s="39">
        <v>19.02</v>
      </c>
      <c r="N43" s="39">
        <v>11</v>
      </c>
      <c r="O43" s="44">
        <f>N43*Assumptions!$C$97/(Assumptions!$G$10*0.001) /10^9*M43/100</f>
        <v>1.3830330529297834</v>
      </c>
      <c r="P43" s="48">
        <f>Assumptions!$C$114*Assumptions!$C$113/(Assumptions!$G$10*0.001) /10^9</f>
        <v>0.74469814087879027</v>
      </c>
      <c r="Q43" s="42">
        <f t="shared" si="4"/>
        <v>73.902077146517712</v>
      </c>
      <c r="S43" s="29" t="str">
        <f t="shared" si="5"/>
        <v>(250,71,50,100,11,0.19)</v>
      </c>
      <c r="U43" s="29"/>
    </row>
    <row r="44" spans="2:21">
      <c r="B44" s="4">
        <v>12</v>
      </c>
      <c r="C44" s="39">
        <v>250</v>
      </c>
      <c r="D44" s="39">
        <v>69</v>
      </c>
      <c r="E44" s="37">
        <v>60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43.86534406777713</v>
      </c>
      <c r="I44" s="40">
        <f>E44*Assumptions!$C$46/(Assumptions!$C$10*0.001) /10^9</f>
        <v>2.9597928752721221</v>
      </c>
      <c r="J44" s="40">
        <f>D44*Assumptions!$C$56/(Assumptions!$C$10*0.001) /10^9</f>
        <v>3.8385319280296546</v>
      </c>
      <c r="K44" s="40">
        <f>F44*Assumptions!$C$65/(Assumptions!$C$10*0.001) /10^9</f>
        <v>4.6589332295950063</v>
      </c>
      <c r="L44" s="47">
        <f>4</f>
        <v>4</v>
      </c>
      <c r="M44" s="39">
        <v>22.2</v>
      </c>
      <c r="N44" s="39">
        <v>9</v>
      </c>
      <c r="O44" s="44">
        <f>N44*Assumptions!$C$97/(Assumptions!$G$10*0.001) /10^9*M44/100</f>
        <v>1.3207628523820412</v>
      </c>
      <c r="P44" s="48">
        <f>Assumptions!$C$114*Assumptions!$C$113/(Assumptions!$G$10*0.001) /10^9</f>
        <v>0.74469814087879027</v>
      </c>
      <c r="Q44" s="42">
        <f t="shared" si="4"/>
        <v>74.221843963499964</v>
      </c>
      <c r="S44" s="29" t="str">
        <f t="shared" si="5"/>
        <v>(250,69,60,100,9,0.22)</v>
      </c>
      <c r="U44" s="29"/>
    </row>
    <row r="45" spans="2:21">
      <c r="B45" s="4">
        <v>12</v>
      </c>
      <c r="C45" s="39">
        <v>250</v>
      </c>
      <c r="D45" s="39">
        <v>68</v>
      </c>
      <c r="E45" s="37">
        <v>70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43.86534406777713</v>
      </c>
      <c r="I45" s="40">
        <f>E45*Assumptions!$C$46/(Assumptions!$C$10*0.001) /10^9</f>
        <v>3.4530916878174751</v>
      </c>
      <c r="J45" s="40">
        <f>D45*Assumptions!$C$56/(Assumptions!$C$10*0.001) /10^9</f>
        <v>3.782901030521979</v>
      </c>
      <c r="K45" s="40">
        <f>F45*Assumptions!$C$65/(Assumptions!$C$10*0.001) /10^9</f>
        <v>4.6589332295950063</v>
      </c>
      <c r="L45" s="47">
        <f>4</f>
        <v>4</v>
      </c>
      <c r="M45" s="39">
        <v>24.08</v>
      </c>
      <c r="N45" s="39">
        <v>8</v>
      </c>
      <c r="O45" s="44">
        <f>N45*Assumptions!$C$97/(Assumptions!$G$10*0.001) /10^9*M45/100</f>
        <v>1.2734322116260082</v>
      </c>
      <c r="P45" s="48">
        <f>Assumptions!$C$114*Assumptions!$C$113/(Assumptions!$G$10*0.001) /10^9</f>
        <v>0.74469814087879027</v>
      </c>
      <c r="Q45" s="42">
        <f t="shared" si="4"/>
        <v>74.612181237781598</v>
      </c>
      <c r="S45" s="29" t="str">
        <f t="shared" si="5"/>
        <v>(250,68,70,100,8,0.24)</v>
      </c>
      <c r="U45" s="29"/>
    </row>
    <row r="46" spans="2:21">
      <c r="B46" s="4">
        <v>12</v>
      </c>
      <c r="C46" s="39">
        <v>250</v>
      </c>
      <c r="D46" s="39">
        <v>67</v>
      </c>
      <c r="E46" s="37">
        <v>80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43.86534406777713</v>
      </c>
      <c r="I46" s="40">
        <f>E46*Assumptions!$C$46/(Assumptions!$C$10*0.001) /10^9</f>
        <v>3.9463905003628286</v>
      </c>
      <c r="J46" s="40">
        <f>D46*Assumptions!$C$56/(Assumptions!$C$10*0.001) /10^9</f>
        <v>3.7272701330143021</v>
      </c>
      <c r="K46" s="40">
        <f>F46*Assumptions!$C$65/(Assumptions!$C$10*0.001) /10^9</f>
        <v>4.6589332295950063</v>
      </c>
      <c r="L46" s="47">
        <f>4</f>
        <v>4</v>
      </c>
      <c r="M46" s="39">
        <v>25.04</v>
      </c>
      <c r="N46" s="39">
        <v>8</v>
      </c>
      <c r="O46" s="44">
        <f>N46*Assumptions!$C$97/(Assumptions!$G$10*0.001) /10^9*M46/100</f>
        <v>1.3242002732190719</v>
      </c>
      <c r="P46" s="48">
        <f>Assumptions!$C$114*Assumptions!$C$113/(Assumptions!$G$10*0.001) /10^9</f>
        <v>0.74469814087879027</v>
      </c>
      <c r="Q46" s="42">
        <f t="shared" si="4"/>
        <v>75.100617214412367</v>
      </c>
      <c r="S46" s="29" t="str">
        <f t="shared" si="5"/>
        <v>(250,67,80,100,8,0.25)</v>
      </c>
      <c r="U46" s="29"/>
    </row>
    <row r="47" spans="2:21">
      <c r="B47" s="4">
        <v>12</v>
      </c>
      <c r="C47" s="39">
        <v>250</v>
      </c>
      <c r="D47" s="39">
        <v>67</v>
      </c>
      <c r="E47" s="37">
        <v>90</v>
      </c>
      <c r="F47" s="39">
        <v>100</v>
      </c>
      <c r="G47" s="40">
        <f>B47*Assumptions!$C$19*365*24*Assumptions!$D$26*1000/(Assumptions!$C$10*0.001) /10^9</f>
        <v>12.833780869565217</v>
      </c>
      <c r="H47" s="40">
        <f>C47*Assumptions!$C$20*365*24*Assumptions!$D$30*1000/(Assumptions!$C$10*0.001) /10^9</f>
        <v>43.86534406777713</v>
      </c>
      <c r="I47" s="40">
        <f>E47*Assumptions!$C$46/(Assumptions!$C$10*0.001) /10^9</f>
        <v>4.4396893129081834</v>
      </c>
      <c r="J47" s="40">
        <f>D47*Assumptions!$C$56/(Assumptions!$C$10*0.001) /10^9</f>
        <v>3.7272701330143021</v>
      </c>
      <c r="K47" s="40">
        <f>F47*Assumptions!$C$65/(Assumptions!$C$10*0.001) /10^9</f>
        <v>4.6589332295950063</v>
      </c>
      <c r="L47" s="47">
        <f>4</f>
        <v>4</v>
      </c>
      <c r="M47" s="39">
        <v>25.64</v>
      </c>
      <c r="N47" s="39">
        <v>8</v>
      </c>
      <c r="O47" s="44">
        <f>N47*Assumptions!$C$97/(Assumptions!$G$10*0.001) /10^9*M47/100</f>
        <v>1.3559303117147365</v>
      </c>
      <c r="P47" s="48">
        <f>Assumptions!$C$114*Assumptions!$C$113/(Assumptions!$G$10*0.001) /10^9</f>
        <v>0.74469814087879027</v>
      </c>
      <c r="Q47" s="42">
        <f t="shared" si="4"/>
        <v>75.625646065453367</v>
      </c>
      <c r="S47" s="29" t="str">
        <f t="shared" si="5"/>
        <v>(250,67,90,100,8,0.26)</v>
      </c>
    </row>
    <row r="48" spans="2:21">
      <c r="B48" s="4">
        <v>12</v>
      </c>
      <c r="C48" s="39">
        <v>250</v>
      </c>
      <c r="D48" s="39">
        <v>67</v>
      </c>
      <c r="E48" s="37">
        <v>100</v>
      </c>
      <c r="F48" s="39">
        <v>100</v>
      </c>
      <c r="G48" s="40">
        <f>B48*Assumptions!$C$19*365*24*Assumptions!$D$26*1000/(Assumptions!$C$10*0.001) /10^9</f>
        <v>12.833780869565217</v>
      </c>
      <c r="H48" s="40">
        <f>C48*Assumptions!$C$20*365*24*Assumptions!$D$30*1000/(Assumptions!$C$10*0.001) /10^9</f>
        <v>43.86534406777713</v>
      </c>
      <c r="I48" s="40">
        <f>E48*Assumptions!$C$46/(Assumptions!$C$10*0.001) /10^9</f>
        <v>4.9329881254535364</v>
      </c>
      <c r="J48" s="40">
        <f>D48*Assumptions!$C$56/(Assumptions!$C$10*0.001) /10^9</f>
        <v>3.7272701330143021</v>
      </c>
      <c r="K48" s="40">
        <f>F48*Assumptions!$C$65/(Assumptions!$C$10*0.001) /10^9</f>
        <v>4.6589332295950063</v>
      </c>
      <c r="L48" s="47">
        <f>4</f>
        <v>4</v>
      </c>
      <c r="M48" s="39">
        <v>26.03</v>
      </c>
      <c r="N48" s="39">
        <v>8</v>
      </c>
      <c r="O48" s="44">
        <f>N48*Assumptions!$C$97/(Assumptions!$G$10*0.001) /10^9*M48/100</f>
        <v>1.3765548367369187</v>
      </c>
      <c r="P48" s="48">
        <f>Assumptions!$C$114*Assumptions!$C$113/(Assumptions!$G$10*0.001) /10^9</f>
        <v>0.74469814087879027</v>
      </c>
      <c r="Q48" s="42">
        <f t="shared" si="4"/>
        <v>76.1395694030209</v>
      </c>
      <c r="S48" s="29" t="str">
        <f t="shared" si="5"/>
        <v>(250,67,100,100,8,0.26)</v>
      </c>
    </row>
    <row r="49" spans="2:19">
      <c r="B49" s="4">
        <v>12</v>
      </c>
      <c r="C49" s="39">
        <v>260</v>
      </c>
      <c r="D49" s="39">
        <v>81</v>
      </c>
      <c r="E49" s="37">
        <v>30</v>
      </c>
      <c r="F49" s="39">
        <v>100</v>
      </c>
      <c r="G49" s="40">
        <f>B49*Assumptions!$C$19*365*24*Assumptions!$D$26*1000/(Assumptions!$C$10*0.001) /10^9</f>
        <v>12.833780869565217</v>
      </c>
      <c r="H49" s="40">
        <f>C49*Assumptions!$C$20*365*24*Assumptions!$D$30*1000/(Assumptions!$C$10*0.001) /10^9</f>
        <v>45.619957830488204</v>
      </c>
      <c r="I49" s="40">
        <f>E49*Assumptions!$C$46/(Assumptions!$C$10*0.001) /10^9</f>
        <v>1.479896437636061</v>
      </c>
      <c r="J49" s="40">
        <f>D49*Assumptions!$C$56/(Assumptions!$C$10*0.001) /10^9</f>
        <v>4.5061026981217687</v>
      </c>
      <c r="K49" s="40">
        <f>F49*Assumptions!$C$65/(Assumptions!$C$10*0.001) /10^9</f>
        <v>4.6589332295950063</v>
      </c>
      <c r="L49" s="47">
        <f>4</f>
        <v>4</v>
      </c>
      <c r="M49" s="39">
        <v>11.05</v>
      </c>
      <c r="N49" s="39">
        <v>19</v>
      </c>
      <c r="O49" s="44">
        <f>N49*Assumptions!$C$97/(Assumptions!$G$10*0.001) /10^9*M49/100</f>
        <v>1.387858662950999</v>
      </c>
      <c r="P49" s="48">
        <f>Assumptions!$C$114*Assumptions!$C$113/(Assumptions!$G$10*0.001) /10^9</f>
        <v>0.74469814087879027</v>
      </c>
      <c r="Q49" s="42">
        <f t="shared" si="4"/>
        <v>75.231227869236065</v>
      </c>
      <c r="S49" s="29" t="str">
        <f t="shared" si="5"/>
        <v>(260,81,30,100,19,0.11)</v>
      </c>
    </row>
    <row r="50" spans="2:19">
      <c r="B50" s="4">
        <v>12</v>
      </c>
      <c r="C50" s="39">
        <v>260</v>
      </c>
      <c r="D50" s="39">
        <v>63</v>
      </c>
      <c r="E50" s="37">
        <v>40</v>
      </c>
      <c r="F50" s="39">
        <v>100</v>
      </c>
      <c r="G50" s="40">
        <f>B50*Assumptions!$C$19*365*24*Assumptions!$D$26*1000/(Assumptions!$C$10*0.001) /10^9</f>
        <v>12.833780869565217</v>
      </c>
      <c r="H50" s="40">
        <f>C50*Assumptions!$C$20*365*24*Assumptions!$D$30*1000/(Assumptions!$C$10*0.001) /10^9</f>
        <v>45.619957830488204</v>
      </c>
      <c r="I50" s="40">
        <f>E50*Assumptions!$C$46/(Assumptions!$C$10*0.001) /10^9</f>
        <v>1.9731952501814143</v>
      </c>
      <c r="J50" s="40">
        <f>D50*Assumptions!$C$56/(Assumptions!$C$10*0.001) /10^9</f>
        <v>3.5047465429835976</v>
      </c>
      <c r="K50" s="40">
        <f>F50*Assumptions!$C$65/(Assumptions!$C$10*0.001) /10^9</f>
        <v>4.6589332295950063</v>
      </c>
      <c r="L50" s="47">
        <f>4</f>
        <v>4</v>
      </c>
      <c r="M50" s="39">
        <v>20.66</v>
      </c>
      <c r="N50" s="39">
        <v>10</v>
      </c>
      <c r="O50" s="44">
        <f>N50*Assumptions!$C$97/(Assumptions!$G$10*0.001) /10^9*M50/100</f>
        <v>1.3657137402508996</v>
      </c>
      <c r="P50" s="48">
        <f>Assumptions!$C$114*Assumptions!$C$113/(Assumptions!$G$10*0.001) /10^9</f>
        <v>0.74469814087879027</v>
      </c>
      <c r="Q50" s="42">
        <f t="shared" si="4"/>
        <v>74.701025603943123</v>
      </c>
      <c r="S50" s="29" t="str">
        <f t="shared" si="5"/>
        <v>(260,63,40,100,10,0.21)</v>
      </c>
    </row>
    <row r="51" spans="2:19">
      <c r="B51" s="4">
        <v>12</v>
      </c>
      <c r="C51" s="39">
        <v>260</v>
      </c>
      <c r="D51" s="39">
        <v>60</v>
      </c>
      <c r="E51" s="37">
        <v>50</v>
      </c>
      <c r="F51" s="39">
        <v>100</v>
      </c>
      <c r="G51" s="40">
        <f>B51*Assumptions!$C$19*365*24*Assumptions!$D$26*1000/(Assumptions!$C$10*0.001) /10^9</f>
        <v>12.833780869565217</v>
      </c>
      <c r="H51" s="40">
        <f>C51*Assumptions!$C$20*365*24*Assumptions!$D$30*1000/(Assumptions!$C$10*0.001) /10^9</f>
        <v>45.619957830488204</v>
      </c>
      <c r="I51" s="40">
        <f>E51*Assumptions!$C$46/(Assumptions!$C$10*0.001) /10^9</f>
        <v>2.4664940627267682</v>
      </c>
      <c r="J51" s="40">
        <f>D51*Assumptions!$C$56/(Assumptions!$C$10*0.001) /10^9</f>
        <v>3.3378538504605695</v>
      </c>
      <c r="K51" s="40">
        <f>F51*Assumptions!$C$65/(Assumptions!$C$10*0.001) /10^9</f>
        <v>4.6589332295950063</v>
      </c>
      <c r="L51" s="47">
        <f>4</f>
        <v>4</v>
      </c>
      <c r="M51" s="39">
        <v>25.81</v>
      </c>
      <c r="N51" s="39">
        <v>8</v>
      </c>
      <c r="O51" s="44">
        <f>N51*Assumptions!$C$97/(Assumptions!$G$10*0.001) /10^9*M51/100</f>
        <v>1.3649204892885081</v>
      </c>
      <c r="P51" s="48">
        <f>Assumptions!$C$114*Assumptions!$C$113/(Assumptions!$G$10*0.001) /10^9</f>
        <v>0.74469814087879027</v>
      </c>
      <c r="Q51" s="42">
        <f t="shared" si="4"/>
        <v>75.026638473003075</v>
      </c>
      <c r="S51" s="29" t="str">
        <f t="shared" si="5"/>
        <v>(260,60,50,100,8,0.26)</v>
      </c>
    </row>
    <row r="52" spans="2:19">
      <c r="B52" s="4">
        <v>12</v>
      </c>
      <c r="C52" s="39">
        <v>260</v>
      </c>
      <c r="D52" s="39">
        <v>58</v>
      </c>
      <c r="E52" s="37">
        <v>60</v>
      </c>
      <c r="F52" s="39">
        <v>100</v>
      </c>
      <c r="G52" s="40">
        <f>B52*Assumptions!$C$19*365*24*Assumptions!$D$26*1000/(Assumptions!$C$10*0.001) /10^9</f>
        <v>12.833780869565217</v>
      </c>
      <c r="H52" s="40">
        <f>C52*Assumptions!$C$20*365*24*Assumptions!$D$30*1000/(Assumptions!$C$10*0.001) /10^9</f>
        <v>45.619957830488204</v>
      </c>
      <c r="I52" s="40">
        <f>E52*Assumptions!$C$46/(Assumptions!$C$10*0.001) /10^9</f>
        <v>2.9597928752721221</v>
      </c>
      <c r="J52" s="40">
        <f>D52*Assumptions!$C$56/(Assumptions!$C$10*0.001) /10^9</f>
        <v>3.226592055445217</v>
      </c>
      <c r="K52" s="40">
        <f>F52*Assumptions!$C$65/(Assumptions!$C$10*0.001) /10^9</f>
        <v>4.6589332295950063</v>
      </c>
      <c r="L52" s="47">
        <f>4</f>
        <v>4</v>
      </c>
      <c r="M52" s="39">
        <v>28.82</v>
      </c>
      <c r="N52" s="39">
        <v>7</v>
      </c>
      <c r="O52" s="44">
        <f>N52*Assumptions!$C$97/(Assumptions!$G$10*0.001) /10^9*M52/100</f>
        <v>1.3335870762740389</v>
      </c>
      <c r="P52" s="48">
        <f>Assumptions!$C$114*Assumptions!$C$113/(Assumptions!$G$10*0.001) /10^9</f>
        <v>0.74469814087879027</v>
      </c>
      <c r="Q52" s="42">
        <f t="shared" si="4"/>
        <v>75.377342077518605</v>
      </c>
      <c r="S52" s="29" t="str">
        <f t="shared" si="5"/>
        <v>(260,58,60,100,7,0.29)</v>
      </c>
    </row>
    <row r="53" spans="2:19">
      <c r="B53" s="4">
        <v>12</v>
      </c>
      <c r="C53" s="39">
        <v>260</v>
      </c>
      <c r="D53" s="39">
        <v>57</v>
      </c>
      <c r="E53" s="37">
        <v>70</v>
      </c>
      <c r="F53" s="39">
        <v>100</v>
      </c>
      <c r="G53" s="40">
        <f>B53*Assumptions!$C$19*365*24*Assumptions!$D$26*1000/(Assumptions!$C$10*0.001) /10^9</f>
        <v>12.833780869565217</v>
      </c>
      <c r="H53" s="40">
        <f>C53*Assumptions!$C$20*365*24*Assumptions!$D$30*1000/(Assumptions!$C$10*0.001) /10^9</f>
        <v>45.619957830488204</v>
      </c>
      <c r="I53" s="40">
        <f>E53*Assumptions!$C$46/(Assumptions!$C$10*0.001) /10^9</f>
        <v>3.4530916878174751</v>
      </c>
      <c r="J53" s="40">
        <f>D53*Assumptions!$C$56/(Assumptions!$C$10*0.001) /10^9</f>
        <v>3.170961157937541</v>
      </c>
      <c r="K53" s="40">
        <f>F53*Assumptions!$C$65/(Assumptions!$C$10*0.001) /10^9</f>
        <v>4.6589332295950063</v>
      </c>
      <c r="L53" s="47">
        <f>4</f>
        <v>4</v>
      </c>
      <c r="M53" s="39">
        <v>30.61</v>
      </c>
      <c r="N53" s="39">
        <v>7</v>
      </c>
      <c r="O53" s="44">
        <f>N53*Assumptions!$C$97/(Assumptions!$G$10*0.001) /10^9*M53/100</f>
        <v>1.4164156975970972</v>
      </c>
      <c r="P53" s="48">
        <f>Assumptions!$C$114*Assumptions!$C$113/(Assumptions!$G$10*0.001) /10^9</f>
        <v>0.74469814087879027</v>
      </c>
      <c r="Q53" s="42">
        <f t="shared" si="4"/>
        <v>75.897838613879344</v>
      </c>
      <c r="S53" s="29" t="str">
        <f t="shared" si="5"/>
        <v>(260,57,70,100,7,0.31)</v>
      </c>
    </row>
    <row r="54" spans="2:19">
      <c r="B54" s="4">
        <v>12</v>
      </c>
      <c r="C54" s="39">
        <v>260</v>
      </c>
      <c r="D54" s="39">
        <v>56</v>
      </c>
      <c r="E54" s="37">
        <v>80</v>
      </c>
      <c r="F54" s="39">
        <v>100</v>
      </c>
      <c r="G54" s="40">
        <f>B54*Assumptions!$C$19*365*24*Assumptions!$D$26*1000/(Assumptions!$C$10*0.001) /10^9</f>
        <v>12.833780869565217</v>
      </c>
      <c r="H54" s="40">
        <f>C54*Assumptions!$C$20*365*24*Assumptions!$D$30*1000/(Assumptions!$C$10*0.001) /10^9</f>
        <v>45.619957830488204</v>
      </c>
      <c r="I54" s="40">
        <f>E54*Assumptions!$C$46/(Assumptions!$C$10*0.001) /10^9</f>
        <v>3.9463905003628286</v>
      </c>
      <c r="J54" s="40">
        <f>D54*Assumptions!$C$56/(Assumptions!$C$10*0.001) /10^9</f>
        <v>3.1153302604298649</v>
      </c>
      <c r="K54" s="40">
        <f>F54*Assumptions!$C$65/(Assumptions!$C$10*0.001) /10^9</f>
        <v>4.6589332295950063</v>
      </c>
      <c r="L54" s="47">
        <f>4</f>
        <v>4</v>
      </c>
      <c r="M54" s="39">
        <v>31.81</v>
      </c>
      <c r="N54" s="39">
        <v>6</v>
      </c>
      <c r="O54" s="44">
        <f>N54*Assumptions!$C$97/(Assumptions!$G$10*0.001) /10^9*M54/100</f>
        <v>1.2616656556838659</v>
      </c>
      <c r="P54" s="48">
        <f>Assumptions!$C$114*Assumptions!$C$113/(Assumptions!$G$10*0.001) /10^9</f>
        <v>0.74469814087879027</v>
      </c>
      <c r="Q54" s="42">
        <f t="shared" si="4"/>
        <v>76.180756487003791</v>
      </c>
      <c r="S54" s="29" t="str">
        <f t="shared" si="5"/>
        <v>(260,56,80,100,6,0.32)</v>
      </c>
    </row>
    <row r="55" spans="2:19">
      <c r="B55" s="4">
        <v>12</v>
      </c>
      <c r="C55" s="39">
        <v>260</v>
      </c>
      <c r="D55" s="39">
        <v>55</v>
      </c>
      <c r="E55" s="37">
        <v>90</v>
      </c>
      <c r="F55" s="39">
        <v>100</v>
      </c>
      <c r="G55" s="40">
        <f>B55*Assumptions!$C$19*365*24*Assumptions!$D$26*1000/(Assumptions!$C$10*0.001) /10^9</f>
        <v>12.833780869565217</v>
      </c>
      <c r="H55" s="40">
        <f>C55*Assumptions!$C$20*365*24*Assumptions!$D$30*1000/(Assumptions!$C$10*0.001) /10^9</f>
        <v>45.619957830488204</v>
      </c>
      <c r="I55" s="40">
        <f>E55*Assumptions!$C$46/(Assumptions!$C$10*0.001) /10^9</f>
        <v>4.4396893129081834</v>
      </c>
      <c r="J55" s="40">
        <f>D55*Assumptions!$C$56/(Assumptions!$C$10*0.001) /10^9</f>
        <v>3.0596993629221889</v>
      </c>
      <c r="K55" s="40">
        <f>F55*Assumptions!$C$65/(Assumptions!$C$10*0.001) /10^9</f>
        <v>4.6589332295950063</v>
      </c>
      <c r="L55" s="47">
        <f>4</f>
        <v>4</v>
      </c>
      <c r="M55" s="39">
        <v>32.380000000000003</v>
      </c>
      <c r="N55" s="39">
        <v>6</v>
      </c>
      <c r="O55" s="44">
        <f>N55*Assumptions!$C$97/(Assumptions!$G$10*0.001) /10^9*M55/100</f>
        <v>1.2842733081120272</v>
      </c>
      <c r="P55" s="48">
        <f>Assumptions!$C$114*Assumptions!$C$113/(Assumptions!$G$10*0.001) /10^9</f>
        <v>0.74469814087879027</v>
      </c>
      <c r="Q55" s="42">
        <f t="shared" si="4"/>
        <v>76.641032054469633</v>
      </c>
      <c r="S55" s="29" t="str">
        <f t="shared" si="5"/>
        <v>(260,55,90,100,6,0.32)</v>
      </c>
    </row>
    <row r="56" spans="2:19">
      <c r="B56" s="4">
        <v>12</v>
      </c>
      <c r="C56" s="39">
        <v>260</v>
      </c>
      <c r="D56" s="39">
        <v>55</v>
      </c>
      <c r="E56" s="37">
        <v>100</v>
      </c>
      <c r="F56" s="39">
        <v>100</v>
      </c>
      <c r="G56" s="40">
        <f>B56*Assumptions!$C$19*365*24*Assumptions!$D$26*1000/(Assumptions!$C$10*0.001) /10^9</f>
        <v>12.833780869565217</v>
      </c>
      <c r="H56" s="40">
        <f>C56*Assumptions!$C$20*365*24*Assumptions!$D$30*1000/(Assumptions!$C$10*0.001) /10^9</f>
        <v>45.619957830488204</v>
      </c>
      <c r="I56" s="40">
        <f>E56*Assumptions!$C$46/(Assumptions!$C$10*0.001) /10^9</f>
        <v>4.9329881254535364</v>
      </c>
      <c r="J56" s="40">
        <f>D56*Assumptions!$C$56/(Assumptions!$C$10*0.001) /10^9</f>
        <v>3.0596993629221889</v>
      </c>
      <c r="K56" s="40">
        <f>F56*Assumptions!$C$65/(Assumptions!$C$10*0.001) /10^9</f>
        <v>4.6589332295950063</v>
      </c>
      <c r="L56" s="47">
        <f>4</f>
        <v>4</v>
      </c>
      <c r="M56" s="39">
        <v>32.659999999999997</v>
      </c>
      <c r="N56" s="39">
        <v>6</v>
      </c>
      <c r="O56" s="44">
        <f>N56*Assumptions!$C$97/(Assumptions!$G$10*0.001) /10^9*M56/100</f>
        <v>1.2953788215855095</v>
      </c>
      <c r="P56" s="48">
        <f>Assumptions!$C$114*Assumptions!$C$113/(Assumptions!$G$10*0.001) /10^9</f>
        <v>0.74469814087879027</v>
      </c>
      <c r="Q56" s="42">
        <f t="shared" si="4"/>
        <v>77.145436380488462</v>
      </c>
      <c r="S56" s="29" t="str">
        <f t="shared" si="5"/>
        <v>(260,55,100,100,6,0.33)</v>
      </c>
    </row>
    <row r="57" spans="2:19">
      <c r="B57" s="38">
        <v>12</v>
      </c>
      <c r="C57" s="39">
        <v>240</v>
      </c>
      <c r="D57" s="39">
        <v>99</v>
      </c>
      <c r="E57" s="37">
        <v>50</v>
      </c>
      <c r="F57" s="39">
        <v>100</v>
      </c>
      <c r="G57" s="40">
        <f>B57*Assumptions!$C$19*365*24*Assumptions!$D$26*1000/(Assumptions!$C$10*0.001) /10^9</f>
        <v>12.833780869565217</v>
      </c>
      <c r="H57" s="40">
        <f>C57*Assumptions!$C$20*365*24*Assumptions!$D$30*1000/(Assumptions!$C$10*0.001) /10^9</f>
        <v>42.110730305066035</v>
      </c>
      <c r="I57" s="40">
        <f>E57*Assumptions!$C$46/(Assumptions!$C$10*0.001) /10^9</f>
        <v>2.4664940627267682</v>
      </c>
      <c r="J57" s="40">
        <f>D57*Assumptions!$C$56/(Assumptions!$C$10*0.001) /10^9</f>
        <v>5.5074588532599389</v>
      </c>
      <c r="K57" s="40">
        <f>F57*Assumptions!$C$65/(Assumptions!$C$10*0.001) /10^9</f>
        <v>4.6589332295950063</v>
      </c>
      <c r="L57" s="47">
        <f>4</f>
        <v>4</v>
      </c>
      <c r="M57" s="39">
        <v>11.44</v>
      </c>
      <c r="N57" s="39">
        <v>52</v>
      </c>
      <c r="O57" s="44">
        <f>N57*Assumptions!$C$97/(Assumptions!$G$12*0.001) /10^9*M57/100</f>
        <v>3.7944532975398939</v>
      </c>
      <c r="P57" s="48">
        <f>Assumptions!$C$114*Assumptions!$C$113/(Assumptions!$G$12*0.001) /10^9</f>
        <v>0.71857276338974674</v>
      </c>
      <c r="Q57" s="42">
        <f t="shared" ref="Q57:Q77" si="6">SUM(G57:L57)+O57+P57</f>
        <v>76.0904233811426</v>
      </c>
      <c r="S57" s="29" t="str">
        <f t="shared" si="5"/>
        <v>(240,99,50,100,52,0.11)</v>
      </c>
    </row>
    <row r="58" spans="2:19">
      <c r="B58" s="38">
        <v>12</v>
      </c>
      <c r="C58" s="39">
        <v>240</v>
      </c>
      <c r="D58" s="39">
        <v>91</v>
      </c>
      <c r="E58" s="37">
        <v>60</v>
      </c>
      <c r="F58" s="39">
        <v>100</v>
      </c>
      <c r="G58" s="40">
        <f>B58*Assumptions!$C$19*365*24*Assumptions!$D$26*1000/(Assumptions!$C$10*0.001) /10^9</f>
        <v>12.833780869565217</v>
      </c>
      <c r="H58" s="40">
        <f>C58*Assumptions!$C$20*365*24*Assumptions!$D$30*1000/(Assumptions!$C$10*0.001) /10^9</f>
        <v>42.110730305066035</v>
      </c>
      <c r="I58" s="40">
        <f>E58*Assumptions!$C$46/(Assumptions!$C$10*0.001) /10^9</f>
        <v>2.9597928752721221</v>
      </c>
      <c r="J58" s="40">
        <f>D58*Assumptions!$C$56/(Assumptions!$C$10*0.001) /10^9</f>
        <v>5.0624116731985298</v>
      </c>
      <c r="K58" s="40">
        <f>F58*Assumptions!$C$65/(Assumptions!$C$10*0.001) /10^9</f>
        <v>4.6589332295950063</v>
      </c>
      <c r="L58" s="47">
        <f>4</f>
        <v>4</v>
      </c>
      <c r="M58" s="39">
        <v>14.98</v>
      </c>
      <c r="N58" s="39">
        <v>36</v>
      </c>
      <c r="O58" s="44">
        <f>N58*Assumptions!$C$97/(Assumptions!$G$12*0.001) /10^9*M58/100</f>
        <v>3.4398076491011862</v>
      </c>
      <c r="P58" s="48">
        <f>Assumptions!$C$114*Assumptions!$C$113/(Assumptions!$G$12*0.001) /10^9</f>
        <v>0.71857276338974674</v>
      </c>
      <c r="Q58" s="42">
        <f t="shared" si="6"/>
        <v>75.784029365187834</v>
      </c>
      <c r="S58" s="29" t="str">
        <f t="shared" si="5"/>
        <v>(240,91,60,100,36,0.15)</v>
      </c>
    </row>
    <row r="59" spans="2:19">
      <c r="B59" s="38">
        <v>12</v>
      </c>
      <c r="C59" s="39">
        <v>240</v>
      </c>
      <c r="D59" s="39">
        <v>85</v>
      </c>
      <c r="E59" s="37">
        <v>70</v>
      </c>
      <c r="F59" s="39">
        <v>100</v>
      </c>
      <c r="G59" s="40">
        <f>B59*Assumptions!$C$19*365*24*Assumptions!$D$26*1000/(Assumptions!$C$10*0.001) /10^9</f>
        <v>12.833780869565217</v>
      </c>
      <c r="H59" s="40">
        <f>C59*Assumptions!$C$20*365*24*Assumptions!$D$30*1000/(Assumptions!$C$10*0.001) /10^9</f>
        <v>42.110730305066035</v>
      </c>
      <c r="I59" s="40">
        <f>E59*Assumptions!$C$46/(Assumptions!$C$10*0.001) /10^9</f>
        <v>3.4530916878174751</v>
      </c>
      <c r="J59" s="40">
        <f>D59*Assumptions!$C$56/(Assumptions!$C$10*0.001) /10^9</f>
        <v>4.7286262881524737</v>
      </c>
      <c r="K59" s="40">
        <f>F59*Assumptions!$C$65/(Assumptions!$C$10*0.001) /10^9</f>
        <v>4.6589332295950063</v>
      </c>
      <c r="L59" s="47">
        <f>4</f>
        <v>4</v>
      </c>
      <c r="M59" s="39">
        <v>16.829999999999998</v>
      </c>
      <c r="N59" s="39">
        <v>31</v>
      </c>
      <c r="O59" s="44">
        <f>N59*Assumptions!$C$97/(Assumptions!$G$12*0.001) /10^9*M59/100</f>
        <v>3.327864643164149</v>
      </c>
      <c r="P59" s="48">
        <f>Assumptions!$C$114*Assumptions!$C$113/(Assumptions!$G$12*0.001) /10^9</f>
        <v>0.71857276338974674</v>
      </c>
      <c r="Q59" s="42">
        <f t="shared" si="6"/>
        <v>75.831599786750104</v>
      </c>
      <c r="S59" s="29" t="str">
        <f t="shared" si="5"/>
        <v>(240,85,70,100,31,0.17)</v>
      </c>
    </row>
    <row r="60" spans="2:19">
      <c r="B60" s="38">
        <v>12</v>
      </c>
      <c r="C60" s="39">
        <v>240</v>
      </c>
      <c r="D60" s="39">
        <v>81</v>
      </c>
      <c r="E60" s="37">
        <v>80</v>
      </c>
      <c r="F60" s="39">
        <v>100</v>
      </c>
      <c r="G60" s="40">
        <f>B60*Assumptions!$C$19*365*24*Assumptions!$D$26*1000/(Assumptions!$C$10*0.001) /10^9</f>
        <v>12.833780869565217</v>
      </c>
      <c r="H60" s="40">
        <f>C60*Assumptions!$C$20*365*24*Assumptions!$D$30*1000/(Assumptions!$C$10*0.001) /10^9</f>
        <v>42.110730305066035</v>
      </c>
      <c r="I60" s="40">
        <f>E60*Assumptions!$C$46/(Assumptions!$C$10*0.001) /10^9</f>
        <v>3.9463905003628286</v>
      </c>
      <c r="J60" s="40">
        <f>D60*Assumptions!$C$56/(Assumptions!$C$10*0.001) /10^9</f>
        <v>4.5061026981217687</v>
      </c>
      <c r="K60" s="40">
        <f>F60*Assumptions!$C$65/(Assumptions!$C$10*0.001) /10^9</f>
        <v>4.6589332295950063</v>
      </c>
      <c r="L60" s="47">
        <f>4</f>
        <v>4</v>
      </c>
      <c r="M60" s="39">
        <v>17.87</v>
      </c>
      <c r="N60" s="39">
        <v>29</v>
      </c>
      <c r="O60" s="44">
        <f>N60*Assumptions!$C$97/(Assumptions!$G$12*0.001) /10^9*M60/100</f>
        <v>3.30553982716531</v>
      </c>
      <c r="P60" s="48">
        <f>Assumptions!$C$114*Assumptions!$C$113/(Assumptions!$G$12*0.001) /10^9</f>
        <v>0.71857276338974674</v>
      </c>
      <c r="Q60" s="42">
        <f t="shared" si="6"/>
        <v>76.080050193265905</v>
      </c>
      <c r="S60" s="29" t="str">
        <f t="shared" si="5"/>
        <v>(240,81,80,100,29,0.18)</v>
      </c>
    </row>
    <row r="61" spans="2:19">
      <c r="B61" s="38">
        <v>12</v>
      </c>
      <c r="C61" s="39">
        <v>240</v>
      </c>
      <c r="D61" s="39">
        <v>79</v>
      </c>
      <c r="E61" s="37">
        <v>90</v>
      </c>
      <c r="F61" s="39">
        <v>100</v>
      </c>
      <c r="G61" s="40">
        <f>B61*Assumptions!$C$19*365*24*Assumptions!$D$26*1000/(Assumptions!$C$10*0.001) /10^9</f>
        <v>12.833780869565217</v>
      </c>
      <c r="H61" s="40">
        <f>C61*Assumptions!$C$20*365*24*Assumptions!$D$30*1000/(Assumptions!$C$10*0.001) /10^9</f>
        <v>42.110730305066035</v>
      </c>
      <c r="I61" s="40">
        <f>E61*Assumptions!$C$46/(Assumptions!$C$10*0.001) /10^9</f>
        <v>4.4396893129081834</v>
      </c>
      <c r="J61" s="40">
        <f>D61*Assumptions!$C$56/(Assumptions!$C$10*0.001) /10^9</f>
        <v>4.3948409031064157</v>
      </c>
      <c r="K61" s="40">
        <f>F61*Assumptions!$C$65/(Assumptions!$C$10*0.001) /10^9</f>
        <v>4.6589332295950063</v>
      </c>
      <c r="L61" s="47">
        <f>4</f>
        <v>4</v>
      </c>
      <c r="M61" s="39">
        <v>18.489999999999998</v>
      </c>
      <c r="N61" s="39">
        <v>28</v>
      </c>
      <c r="O61" s="44">
        <f>N61*Assumptions!$C$97/(Assumptions!$G$12*0.001) /10^9*M61/100</f>
        <v>3.3022867825483355</v>
      </c>
      <c r="P61" s="48">
        <f>Assumptions!$C$114*Assumptions!$C$113/(Assumptions!$G$12*0.001) /10^9</f>
        <v>0.71857276338974674</v>
      </c>
      <c r="Q61" s="42">
        <f t="shared" si="6"/>
        <v>76.458834166178931</v>
      </c>
      <c r="S61" s="29" t="str">
        <f t="shared" si="5"/>
        <v>(240,79,90,100,28,0.18)</v>
      </c>
    </row>
    <row r="62" spans="2:19">
      <c r="B62" s="38">
        <v>12</v>
      </c>
      <c r="C62" s="39">
        <v>240</v>
      </c>
      <c r="D62" s="39">
        <v>79</v>
      </c>
      <c r="E62" s="37">
        <v>100</v>
      </c>
      <c r="F62" s="39">
        <v>100</v>
      </c>
      <c r="G62" s="40">
        <f>B62*Assumptions!$C$19*365*24*Assumptions!$D$26*1000/(Assumptions!$C$10*0.001) /10^9</f>
        <v>12.833780869565217</v>
      </c>
      <c r="H62" s="40">
        <f>C62*Assumptions!$C$20*365*24*Assumptions!$D$30*1000/(Assumptions!$C$10*0.001) /10^9</f>
        <v>42.110730305066035</v>
      </c>
      <c r="I62" s="40">
        <f>E62*Assumptions!$C$46/(Assumptions!$C$10*0.001) /10^9</f>
        <v>4.9329881254535364</v>
      </c>
      <c r="J62" s="40">
        <f>D62*Assumptions!$C$56/(Assumptions!$C$10*0.001) /10^9</f>
        <v>4.3948409031064157</v>
      </c>
      <c r="K62" s="40">
        <f>F62*Assumptions!$C$65/(Assumptions!$C$10*0.001) /10^9</f>
        <v>4.6589332295950063</v>
      </c>
      <c r="L62" s="47">
        <f>4</f>
        <v>4</v>
      </c>
      <c r="M62" s="39">
        <v>18.73</v>
      </c>
      <c r="N62" s="39">
        <v>28</v>
      </c>
      <c r="O62" s="44">
        <f>N62*Assumptions!$C$97/(Assumptions!$G$12*0.001) /10^9*M62/100</f>
        <v>3.3451504292661074</v>
      </c>
      <c r="P62" s="48">
        <f>Assumptions!$C$114*Assumptions!$C$113/(Assumptions!$G$12*0.001) /10^9</f>
        <v>0.71857276338974674</v>
      </c>
      <c r="Q62" s="42">
        <f t="shared" si="6"/>
        <v>76.99499662544207</v>
      </c>
      <c r="S62" s="29" t="str">
        <f t="shared" si="5"/>
        <v>(240,79,100,100,28,0.19)</v>
      </c>
    </row>
    <row r="63" spans="2:19">
      <c r="B63" s="38">
        <v>12</v>
      </c>
      <c r="C63" s="39">
        <v>250</v>
      </c>
      <c r="D63" s="39">
        <v>84</v>
      </c>
      <c r="E63" s="37">
        <v>40</v>
      </c>
      <c r="F63" s="39">
        <v>100</v>
      </c>
      <c r="G63" s="40">
        <f>B63*Assumptions!$C$19*365*24*Assumptions!$D$26*1000/(Assumptions!$C$10*0.001) /10^9</f>
        <v>12.833780869565217</v>
      </c>
      <c r="H63" s="40">
        <f>C63*Assumptions!$C$20*365*24*Assumptions!$D$30*1000/(Assumptions!$C$10*0.001) /10^9</f>
        <v>43.86534406777713</v>
      </c>
      <c r="I63" s="40">
        <f>E63*Assumptions!$C$46/(Assumptions!$C$10*0.001) /10^9</f>
        <v>1.9731952501814143</v>
      </c>
      <c r="J63" s="40">
        <f>D63*Assumptions!$C$56/(Assumptions!$C$10*0.001) /10^9</f>
        <v>4.6729953906447976</v>
      </c>
      <c r="K63" s="40">
        <f>F63*Assumptions!$C$65/(Assumptions!$C$10*0.001) /10^9</f>
        <v>4.6589332295950063</v>
      </c>
      <c r="L63" s="47">
        <f>4</f>
        <v>4</v>
      </c>
      <c r="M63" s="39">
        <v>13.49</v>
      </c>
      <c r="N63" s="39">
        <v>41</v>
      </c>
      <c r="O63" s="44">
        <f>N63*Assumptions!$C$97/(Assumptions!$G$12*0.001) /10^9*M63/100</f>
        <v>3.5278949945137503</v>
      </c>
      <c r="P63" s="48">
        <f>Assumptions!$C$114*Assumptions!$C$113/(Assumptions!$G$12*0.001) /10^9</f>
        <v>0.71857276338974674</v>
      </c>
      <c r="Q63" s="42">
        <f t="shared" si="6"/>
        <v>76.250716565667048</v>
      </c>
      <c r="S63" s="29" t="str">
        <f t="shared" si="5"/>
        <v>(250,84,40,100,41,0.13)</v>
      </c>
    </row>
    <row r="64" spans="2:19">
      <c r="B64" s="38">
        <v>12</v>
      </c>
      <c r="C64" s="39">
        <v>250</v>
      </c>
      <c r="D64" s="39">
        <v>71</v>
      </c>
      <c r="E64" s="37">
        <v>50</v>
      </c>
      <c r="F64" s="39">
        <v>100</v>
      </c>
      <c r="G64" s="40">
        <f>B64*Assumptions!$C$19*365*24*Assumptions!$D$26*1000/(Assumptions!$C$10*0.001) /10^9</f>
        <v>12.833780869565217</v>
      </c>
      <c r="H64" s="40">
        <f>C64*Assumptions!$C$20*365*24*Assumptions!$D$30*1000/(Assumptions!$C$10*0.001) /10^9</f>
        <v>43.86534406777713</v>
      </c>
      <c r="I64" s="40">
        <f>E64*Assumptions!$C$46/(Assumptions!$C$10*0.001) /10^9</f>
        <v>2.4664940627267682</v>
      </c>
      <c r="J64" s="40">
        <f>D64*Assumptions!$C$56/(Assumptions!$C$10*0.001) /10^9</f>
        <v>3.9497937230450071</v>
      </c>
      <c r="K64" s="40">
        <f>F64*Assumptions!$C$65/(Assumptions!$C$10*0.001) /10^9</f>
        <v>4.6589332295950063</v>
      </c>
      <c r="L64" s="47">
        <f>4</f>
        <v>4</v>
      </c>
      <c r="M64" s="39">
        <v>19.02</v>
      </c>
      <c r="N64" s="39">
        <v>27</v>
      </c>
      <c r="O64" s="44">
        <f>N64*Assumptions!$C$97/(Assumptions!$G$12*0.001) /10^9*M64/100</f>
        <v>3.2756245737268643</v>
      </c>
      <c r="P64" s="48">
        <f>Assumptions!$C$114*Assumptions!$C$113/(Assumptions!$G$12*0.001) /10^9</f>
        <v>0.71857276338974674</v>
      </c>
      <c r="Q64" s="42">
        <f t="shared" si="6"/>
        <v>75.768543289825729</v>
      </c>
      <c r="S64" s="29" t="str">
        <f t="shared" si="5"/>
        <v>(250,71,50,100,27,0.19)</v>
      </c>
    </row>
    <row r="65" spans="2:19">
      <c r="B65" s="38">
        <v>12</v>
      </c>
      <c r="C65" s="39">
        <v>250</v>
      </c>
      <c r="D65" s="39">
        <v>69</v>
      </c>
      <c r="E65" s="37">
        <v>60</v>
      </c>
      <c r="F65" s="39">
        <v>100</v>
      </c>
      <c r="G65" s="40">
        <f>B65*Assumptions!$C$19*365*24*Assumptions!$D$26*1000/(Assumptions!$C$10*0.001) /10^9</f>
        <v>12.833780869565217</v>
      </c>
      <c r="H65" s="40">
        <f>C65*Assumptions!$C$20*365*24*Assumptions!$D$30*1000/(Assumptions!$C$10*0.001) /10^9</f>
        <v>43.86534406777713</v>
      </c>
      <c r="I65" s="40">
        <f>E65*Assumptions!$C$46/(Assumptions!$C$10*0.001) /10^9</f>
        <v>2.9597928752721221</v>
      </c>
      <c r="J65" s="40">
        <f>D65*Assumptions!$C$56/(Assumptions!$C$10*0.001) /10^9</f>
        <v>3.8385319280296546</v>
      </c>
      <c r="K65" s="40">
        <f>F65*Assumptions!$C$65/(Assumptions!$C$10*0.001) /10^9</f>
        <v>4.6589332295950063</v>
      </c>
      <c r="L65" s="47">
        <f>4</f>
        <v>4</v>
      </c>
      <c r="M65" s="39">
        <v>22.2</v>
      </c>
      <c r="N65" s="39">
        <v>23</v>
      </c>
      <c r="O65" s="44">
        <f>N65*Assumptions!$C$97/(Assumptions!$G$12*0.001) /10^9*M65/100</f>
        <v>3.2568717282878392</v>
      </c>
      <c r="P65" s="48">
        <f>Assumptions!$C$114*Assumptions!$C$113/(Assumptions!$G$12*0.001) /10^9</f>
        <v>0.71857276338974674</v>
      </c>
      <c r="Q65" s="42">
        <f t="shared" si="6"/>
        <v>76.1318274619167</v>
      </c>
      <c r="S65" s="29" t="str">
        <f t="shared" si="5"/>
        <v>(250,69,60,100,23,0.22)</v>
      </c>
    </row>
    <row r="66" spans="2:19">
      <c r="B66" s="38">
        <v>12</v>
      </c>
      <c r="C66" s="39">
        <v>250</v>
      </c>
      <c r="D66" s="39">
        <v>68</v>
      </c>
      <c r="E66" s="37">
        <v>70</v>
      </c>
      <c r="F66" s="39">
        <v>100</v>
      </c>
      <c r="G66" s="40">
        <f>B66*Assumptions!$C$19*365*24*Assumptions!$D$26*1000/(Assumptions!$C$10*0.001) /10^9</f>
        <v>12.833780869565217</v>
      </c>
      <c r="H66" s="40">
        <f>C66*Assumptions!$C$20*365*24*Assumptions!$D$30*1000/(Assumptions!$C$10*0.001) /10^9</f>
        <v>43.86534406777713</v>
      </c>
      <c r="I66" s="40">
        <f>E66*Assumptions!$C$46/(Assumptions!$C$10*0.001) /10^9</f>
        <v>3.4530916878174751</v>
      </c>
      <c r="J66" s="40">
        <f>D66*Assumptions!$C$56/(Assumptions!$C$10*0.001) /10^9</f>
        <v>3.782901030521979</v>
      </c>
      <c r="K66" s="40">
        <f>F66*Assumptions!$C$65/(Assumptions!$C$10*0.001) /10^9</f>
        <v>4.6589332295950063</v>
      </c>
      <c r="L66" s="47">
        <f>4</f>
        <v>4</v>
      </c>
      <c r="M66" s="39">
        <v>24.08</v>
      </c>
      <c r="N66" s="39">
        <v>21</v>
      </c>
      <c r="O66" s="44">
        <f>N66*Assumptions!$C$97/(Assumptions!$G$12*0.001) /10^9*M66/100</f>
        <v>3.2254894155123277</v>
      </c>
      <c r="P66" s="48">
        <f>Assumptions!$C$114*Assumptions!$C$113/(Assumptions!$G$12*0.001) /10^9</f>
        <v>0.71857276338974674</v>
      </c>
      <c r="Q66" s="42">
        <f t="shared" si="6"/>
        <v>76.538113064178873</v>
      </c>
      <c r="S66" s="29" t="str">
        <f t="shared" ref="S66:S96" si="7">CONCATENATE("(",C66,",",D66,",",E66,",",F66,",",ROUND(N66,0),",",ROUND(M66/100,2),")")</f>
        <v>(250,68,70,100,21,0.24)</v>
      </c>
    </row>
    <row r="67" spans="2:19">
      <c r="B67" s="38">
        <v>12</v>
      </c>
      <c r="C67" s="39">
        <v>250</v>
      </c>
      <c r="D67" s="39">
        <v>67</v>
      </c>
      <c r="E67" s="37">
        <v>80</v>
      </c>
      <c r="F67" s="39">
        <v>100</v>
      </c>
      <c r="G67" s="40">
        <f>B67*Assumptions!$C$19*365*24*Assumptions!$D$26*1000/(Assumptions!$C$10*0.001) /10^9</f>
        <v>12.833780869565217</v>
      </c>
      <c r="H67" s="40">
        <f>C67*Assumptions!$C$20*365*24*Assumptions!$D$30*1000/(Assumptions!$C$10*0.001) /10^9</f>
        <v>43.86534406777713</v>
      </c>
      <c r="I67" s="40">
        <f>E67*Assumptions!$C$46/(Assumptions!$C$10*0.001) /10^9</f>
        <v>3.9463905003628286</v>
      </c>
      <c r="J67" s="40">
        <f>D67*Assumptions!$C$56/(Assumptions!$C$10*0.001) /10^9</f>
        <v>3.7272701330143021</v>
      </c>
      <c r="K67" s="40">
        <f>F67*Assumptions!$C$65/(Assumptions!$C$10*0.001) /10^9</f>
        <v>4.6589332295950063</v>
      </c>
      <c r="L67" s="47">
        <f>4</f>
        <v>4</v>
      </c>
      <c r="M67" s="39">
        <v>25.04</v>
      </c>
      <c r="N67" s="39">
        <v>20</v>
      </c>
      <c r="O67" s="44">
        <f>N67*Assumptions!$C$97/(Assumptions!$G$12*0.001) /10^9*M67/100</f>
        <v>3.1943622434910885</v>
      </c>
      <c r="P67" s="48">
        <f>Assumptions!$C$114*Assumptions!$C$113/(Assumptions!$G$12*0.001) /10^9</f>
        <v>0.71857276338974674</v>
      </c>
      <c r="Q67" s="42">
        <f t="shared" si="6"/>
        <v>76.944653807195323</v>
      </c>
      <c r="S67" s="29" t="str">
        <f t="shared" si="7"/>
        <v>(250,67,80,100,20,0.25)</v>
      </c>
    </row>
    <row r="68" spans="2:19">
      <c r="B68" s="38">
        <v>12</v>
      </c>
      <c r="C68" s="39">
        <v>250</v>
      </c>
      <c r="D68" s="39">
        <v>67</v>
      </c>
      <c r="E68" s="37">
        <v>90</v>
      </c>
      <c r="F68" s="39">
        <v>100</v>
      </c>
      <c r="G68" s="40">
        <f>B68*Assumptions!$C$19*365*24*Assumptions!$D$26*1000/(Assumptions!$C$10*0.001) /10^9</f>
        <v>12.833780869565217</v>
      </c>
      <c r="H68" s="40">
        <f>C68*Assumptions!$C$20*365*24*Assumptions!$D$30*1000/(Assumptions!$C$10*0.001) /10^9</f>
        <v>43.86534406777713</v>
      </c>
      <c r="I68" s="40">
        <f>E68*Assumptions!$C$46/(Assumptions!$C$10*0.001) /10^9</f>
        <v>4.4396893129081834</v>
      </c>
      <c r="J68" s="40">
        <f>D68*Assumptions!$C$56/(Assumptions!$C$10*0.001) /10^9</f>
        <v>3.7272701330143021</v>
      </c>
      <c r="K68" s="40">
        <f>F68*Assumptions!$C$65/(Assumptions!$C$10*0.001) /10^9</f>
        <v>4.6589332295950063</v>
      </c>
      <c r="L68" s="47">
        <f>4</f>
        <v>4</v>
      </c>
      <c r="M68" s="39">
        <v>25.64</v>
      </c>
      <c r="N68" s="39">
        <v>19</v>
      </c>
      <c r="O68" s="44">
        <f>N68*Assumptions!$C$97/(Assumptions!$G$12*0.001) /10^9*M68/100</f>
        <v>3.1073592462841826</v>
      </c>
      <c r="P68" s="48">
        <f>Assumptions!$C$114*Assumptions!$C$113/(Assumptions!$G$12*0.001) /10^9</f>
        <v>0.71857276338974674</v>
      </c>
      <c r="Q68" s="42">
        <f t="shared" si="6"/>
        <v>77.350949622533761</v>
      </c>
      <c r="S68" s="29" t="str">
        <f t="shared" si="7"/>
        <v>(250,67,90,100,19,0.26)</v>
      </c>
    </row>
    <row r="69" spans="2:19">
      <c r="B69" s="38">
        <v>12</v>
      </c>
      <c r="C69" s="39">
        <v>250</v>
      </c>
      <c r="D69" s="39">
        <v>67</v>
      </c>
      <c r="E69" s="37">
        <v>100</v>
      </c>
      <c r="F69" s="39">
        <v>100</v>
      </c>
      <c r="G69" s="40">
        <f>B69*Assumptions!$C$19*365*24*Assumptions!$D$26*1000/(Assumptions!$C$10*0.001) /10^9</f>
        <v>12.833780869565217</v>
      </c>
      <c r="H69" s="40">
        <f>C69*Assumptions!$C$20*365*24*Assumptions!$D$30*1000/(Assumptions!$C$10*0.001) /10^9</f>
        <v>43.86534406777713</v>
      </c>
      <c r="I69" s="40">
        <f>E69*Assumptions!$C$46/(Assumptions!$C$10*0.001) /10^9</f>
        <v>4.9329881254535364</v>
      </c>
      <c r="J69" s="40">
        <f>D69*Assumptions!$C$56/(Assumptions!$C$10*0.001) /10^9</f>
        <v>3.7272701330143021</v>
      </c>
      <c r="K69" s="40">
        <f>F69*Assumptions!$C$65/(Assumptions!$C$10*0.001) /10^9</f>
        <v>4.6589332295950063</v>
      </c>
      <c r="L69" s="47">
        <f>4</f>
        <v>4</v>
      </c>
      <c r="M69" s="39">
        <v>26.03</v>
      </c>
      <c r="N69" s="39">
        <v>19</v>
      </c>
      <c r="O69" s="44">
        <f>N69*Assumptions!$C$97/(Assumptions!$G$12*0.001) /10^9*M69/100</f>
        <v>3.1546240710131546</v>
      </c>
      <c r="P69" s="48">
        <f>Assumptions!$C$114*Assumptions!$C$113/(Assumptions!$G$12*0.001) /10^9</f>
        <v>0.71857276338974674</v>
      </c>
      <c r="Q69" s="42">
        <f t="shared" si="6"/>
        <v>77.891513259808093</v>
      </c>
      <c r="S69" s="29" t="str">
        <f t="shared" si="7"/>
        <v>(250,67,100,100,19,0.26)</v>
      </c>
    </row>
    <row r="70" spans="2:19">
      <c r="B70" s="38">
        <v>12</v>
      </c>
      <c r="C70" s="39">
        <v>260</v>
      </c>
      <c r="D70" s="39">
        <v>81</v>
      </c>
      <c r="E70" s="37">
        <v>30</v>
      </c>
      <c r="F70" s="39">
        <v>100</v>
      </c>
      <c r="G70" s="40">
        <f>B70*Assumptions!$C$19*365*24*Assumptions!$D$26*1000/(Assumptions!$C$10*0.001) /10^9</f>
        <v>12.833780869565217</v>
      </c>
      <c r="H70" s="40">
        <f>C70*Assumptions!$C$20*365*24*Assumptions!$D$30*1000/(Assumptions!$C$10*0.001) /10^9</f>
        <v>45.619957830488204</v>
      </c>
      <c r="I70" s="40">
        <f>E70*Assumptions!$C$46/(Assumptions!$C$10*0.001) /10^9</f>
        <v>1.479896437636061</v>
      </c>
      <c r="J70" s="40">
        <f>D70*Assumptions!$C$56/(Assumptions!$C$10*0.001) /10^9</f>
        <v>4.5061026981217687</v>
      </c>
      <c r="K70" s="40">
        <f>F70*Assumptions!$C$65/(Assumptions!$C$10*0.001) /10^9</f>
        <v>4.6589332295950063</v>
      </c>
      <c r="L70" s="47">
        <f>4</f>
        <v>4</v>
      </c>
      <c r="M70" s="39">
        <v>11.05</v>
      </c>
      <c r="N70" s="39">
        <v>53</v>
      </c>
      <c r="O70" s="44">
        <f>N70*Assumptions!$C$97/(Assumptions!$G$12*0.001) /10^9*M70/100</f>
        <v>3.7355795684915263</v>
      </c>
      <c r="P70" s="48">
        <f>Assumptions!$C$114*Assumptions!$C$113/(Assumptions!$G$12*0.001) /10^9</f>
        <v>0.71857276338974674</v>
      </c>
      <c r="Q70" s="42">
        <f t="shared" si="6"/>
        <v>77.55282339728754</v>
      </c>
      <c r="S70" s="29" t="str">
        <f t="shared" si="7"/>
        <v>(260,81,30,100,53,0.11)</v>
      </c>
    </row>
    <row r="71" spans="2:19">
      <c r="B71" s="38">
        <v>12</v>
      </c>
      <c r="C71" s="39">
        <v>260</v>
      </c>
      <c r="D71" s="39">
        <v>63</v>
      </c>
      <c r="E71" s="37">
        <v>40</v>
      </c>
      <c r="F71" s="39">
        <v>100</v>
      </c>
      <c r="G71" s="40">
        <f>B71*Assumptions!$C$19*365*24*Assumptions!$D$26*1000/(Assumptions!$C$10*0.001) /10^9</f>
        <v>12.833780869565217</v>
      </c>
      <c r="H71" s="40">
        <f>C71*Assumptions!$C$20*365*24*Assumptions!$D$30*1000/(Assumptions!$C$10*0.001) /10^9</f>
        <v>45.619957830488204</v>
      </c>
      <c r="I71" s="40">
        <f>E71*Assumptions!$C$46/(Assumptions!$C$10*0.001) /10^9</f>
        <v>1.9731952501814143</v>
      </c>
      <c r="J71" s="40">
        <f>D71*Assumptions!$C$56/(Assumptions!$C$10*0.001) /10^9</f>
        <v>3.5047465429835976</v>
      </c>
      <c r="K71" s="40">
        <f>F71*Assumptions!$C$65/(Assumptions!$C$10*0.001) /10^9</f>
        <v>4.6589332295950063</v>
      </c>
      <c r="L71" s="47">
        <f>4</f>
        <v>4</v>
      </c>
      <c r="M71" s="39">
        <v>20.66</v>
      </c>
      <c r="N71" s="39">
        <v>24</v>
      </c>
      <c r="O71" s="44">
        <f>N71*Assumptions!$C$97/(Assumptions!$G$12*0.001) /10^9*M71/100</f>
        <v>3.1627247899613042</v>
      </c>
      <c r="P71" s="48">
        <f>Assumptions!$C$114*Assumptions!$C$113/(Assumptions!$G$12*0.001) /10^9</f>
        <v>0.71857276338974674</v>
      </c>
      <c r="Q71" s="42">
        <f t="shared" si="6"/>
        <v>76.471911276164477</v>
      </c>
      <c r="S71" s="29" t="str">
        <f t="shared" si="7"/>
        <v>(260,63,40,100,24,0.21)</v>
      </c>
    </row>
    <row r="72" spans="2:19">
      <c r="B72" s="38">
        <v>12</v>
      </c>
      <c r="C72" s="39">
        <v>260</v>
      </c>
      <c r="D72" s="39">
        <v>60</v>
      </c>
      <c r="E72" s="37">
        <v>50</v>
      </c>
      <c r="F72" s="39">
        <v>100</v>
      </c>
      <c r="G72" s="40">
        <f>B72*Assumptions!$C$19*365*24*Assumptions!$D$26*1000/(Assumptions!$C$10*0.001) /10^9</f>
        <v>12.833780869565217</v>
      </c>
      <c r="H72" s="40">
        <f>C72*Assumptions!$C$20*365*24*Assumptions!$D$30*1000/(Assumptions!$C$10*0.001) /10^9</f>
        <v>45.619957830488204</v>
      </c>
      <c r="I72" s="40">
        <f>E72*Assumptions!$C$46/(Assumptions!$C$10*0.001) /10^9</f>
        <v>2.4664940627267682</v>
      </c>
      <c r="J72" s="40">
        <f>D72*Assumptions!$C$56/(Assumptions!$C$10*0.001) /10^9</f>
        <v>3.3378538504605695</v>
      </c>
      <c r="K72" s="40">
        <f>F72*Assumptions!$C$65/(Assumptions!$C$10*0.001) /10^9</f>
        <v>4.6589332295950063</v>
      </c>
      <c r="L72" s="47">
        <f>4</f>
        <v>4</v>
      </c>
      <c r="M72" s="39">
        <v>25.81</v>
      </c>
      <c r="N72" s="39">
        <v>19</v>
      </c>
      <c r="O72" s="44">
        <f>N72*Assumptions!$C$97/(Assumptions!$G$12*0.001) /10^9*M72/100</f>
        <v>3.1279618621916829</v>
      </c>
      <c r="P72" s="48">
        <f>Assumptions!$C$114*Assumptions!$C$113/(Assumptions!$G$12*0.001) /10^9</f>
        <v>0.71857276338974674</v>
      </c>
      <c r="Q72" s="42">
        <f t="shared" si="6"/>
        <v>76.763554468417198</v>
      </c>
      <c r="S72" s="29" t="str">
        <f t="shared" si="7"/>
        <v>(260,60,50,100,19,0.26)</v>
      </c>
    </row>
    <row r="73" spans="2:19">
      <c r="B73" s="38">
        <v>12</v>
      </c>
      <c r="C73" s="39">
        <v>260</v>
      </c>
      <c r="D73" s="39">
        <v>58</v>
      </c>
      <c r="E73" s="37">
        <v>60</v>
      </c>
      <c r="F73" s="39">
        <v>100</v>
      </c>
      <c r="G73" s="40">
        <f>B73*Assumptions!$C$19*365*24*Assumptions!$D$26*1000/(Assumptions!$C$10*0.001) /10^9</f>
        <v>12.833780869565217</v>
      </c>
      <c r="H73" s="40">
        <f>C73*Assumptions!$C$20*365*24*Assumptions!$D$30*1000/(Assumptions!$C$10*0.001) /10^9</f>
        <v>45.619957830488204</v>
      </c>
      <c r="I73" s="40">
        <f>E73*Assumptions!$C$46/(Assumptions!$C$10*0.001) /10^9</f>
        <v>2.9597928752721221</v>
      </c>
      <c r="J73" s="40">
        <f>D73*Assumptions!$C$56/(Assumptions!$C$10*0.001) /10^9</f>
        <v>3.226592055445217</v>
      </c>
      <c r="K73" s="40">
        <f>F73*Assumptions!$C$65/(Assumptions!$C$10*0.001) /10^9</f>
        <v>4.6589332295950063</v>
      </c>
      <c r="L73" s="47">
        <f>4</f>
        <v>4</v>
      </c>
      <c r="M73" s="39">
        <v>28.82</v>
      </c>
      <c r="N73" s="39">
        <v>17</v>
      </c>
      <c r="O73" s="44">
        <f>N73*Assumptions!$C$97/(Assumptions!$G$12*0.001) /10^9*M73/100</f>
        <v>3.1250915287061178</v>
      </c>
      <c r="P73" s="48">
        <f>Assumptions!$C$114*Assumptions!$C$113/(Assumptions!$G$12*0.001) /10^9</f>
        <v>0.71857276338974674</v>
      </c>
      <c r="Q73" s="42">
        <f t="shared" si="6"/>
        <v>77.142721152461633</v>
      </c>
      <c r="S73" s="29" t="str">
        <f t="shared" si="7"/>
        <v>(260,58,60,100,17,0.29)</v>
      </c>
    </row>
    <row r="74" spans="2:19">
      <c r="B74" s="38">
        <v>12</v>
      </c>
      <c r="C74" s="39">
        <v>260</v>
      </c>
      <c r="D74" s="39">
        <v>57</v>
      </c>
      <c r="E74" s="37">
        <v>70</v>
      </c>
      <c r="F74" s="39">
        <v>100</v>
      </c>
      <c r="G74" s="40">
        <f>B74*Assumptions!$C$19*365*24*Assumptions!$D$26*1000/(Assumptions!$C$10*0.001) /10^9</f>
        <v>12.833780869565217</v>
      </c>
      <c r="H74" s="40">
        <f>C74*Assumptions!$C$20*365*24*Assumptions!$D$30*1000/(Assumptions!$C$10*0.001) /10^9</f>
        <v>45.619957830488204</v>
      </c>
      <c r="I74" s="40">
        <f>E74*Assumptions!$C$46/(Assumptions!$C$10*0.001) /10^9</f>
        <v>3.4530916878174751</v>
      </c>
      <c r="J74" s="40">
        <f>D74*Assumptions!$C$56/(Assumptions!$C$10*0.001) /10^9</f>
        <v>3.170961157937541</v>
      </c>
      <c r="K74" s="40">
        <f>F74*Assumptions!$C$65/(Assumptions!$C$10*0.001) /10^9</f>
        <v>4.6589332295950063</v>
      </c>
      <c r="L74" s="47">
        <f>4</f>
        <v>4</v>
      </c>
      <c r="M74" s="39">
        <v>30.61</v>
      </c>
      <c r="N74" s="39">
        <v>16</v>
      </c>
      <c r="O74" s="44">
        <f>N74*Assumptions!$C$97/(Assumptions!$G$12*0.001) /10^9*M74/100</f>
        <v>3.1239433953118918</v>
      </c>
      <c r="P74" s="48">
        <f>Assumptions!$C$114*Assumptions!$C$113/(Assumptions!$G$12*0.001) /10^9</f>
        <v>0.71857276338974674</v>
      </c>
      <c r="Q74" s="42">
        <f t="shared" si="6"/>
        <v>77.579240934105087</v>
      </c>
      <c r="S74" s="29" t="str">
        <f t="shared" si="7"/>
        <v>(260,57,70,100,16,0.31)</v>
      </c>
    </row>
    <row r="75" spans="2:19">
      <c r="B75" s="38">
        <v>12</v>
      </c>
      <c r="C75" s="39">
        <v>260</v>
      </c>
      <c r="D75" s="39">
        <v>56</v>
      </c>
      <c r="E75" s="37">
        <v>80</v>
      </c>
      <c r="F75" s="39">
        <v>100</v>
      </c>
      <c r="G75" s="40">
        <f>B75*Assumptions!$C$19*365*24*Assumptions!$D$26*1000/(Assumptions!$C$10*0.001) /10^9</f>
        <v>12.833780869565217</v>
      </c>
      <c r="H75" s="40">
        <f>C75*Assumptions!$C$20*365*24*Assumptions!$D$30*1000/(Assumptions!$C$10*0.001) /10^9</f>
        <v>45.619957830488204</v>
      </c>
      <c r="I75" s="40">
        <f>E75*Assumptions!$C$46/(Assumptions!$C$10*0.001) /10^9</f>
        <v>3.9463905003628286</v>
      </c>
      <c r="J75" s="40">
        <f>D75*Assumptions!$C$56/(Assumptions!$C$10*0.001) /10^9</f>
        <v>3.1153302604298649</v>
      </c>
      <c r="K75" s="40">
        <f>F75*Assumptions!$C$65/(Assumptions!$C$10*0.001) /10^9</f>
        <v>4.6589332295950063</v>
      </c>
      <c r="L75" s="47">
        <f>4</f>
        <v>4</v>
      </c>
      <c r="M75" s="39">
        <v>31.81</v>
      </c>
      <c r="N75" s="39">
        <v>15</v>
      </c>
      <c r="O75" s="44">
        <f>N75*Assumptions!$C$97/(Assumptions!$G$12*0.001) /10^9*M75/100</f>
        <v>3.0435102725275014</v>
      </c>
      <c r="P75" s="48">
        <f>Assumptions!$C$114*Assumptions!$C$113/(Assumptions!$G$12*0.001) /10^9</f>
        <v>0.71857276338974674</v>
      </c>
      <c r="Q75" s="42">
        <f t="shared" si="6"/>
        <v>77.936475726358367</v>
      </c>
      <c r="S75" s="29" t="str">
        <f t="shared" si="7"/>
        <v>(260,56,80,100,15,0.32)</v>
      </c>
    </row>
    <row r="76" spans="2:19">
      <c r="B76" s="38">
        <v>12</v>
      </c>
      <c r="C76" s="39">
        <v>260</v>
      </c>
      <c r="D76" s="39">
        <v>55</v>
      </c>
      <c r="E76" s="37">
        <v>90</v>
      </c>
      <c r="F76" s="39">
        <v>100</v>
      </c>
      <c r="G76" s="40">
        <f>B76*Assumptions!$C$19*365*24*Assumptions!$D$26*1000/(Assumptions!$C$10*0.001) /10^9</f>
        <v>12.833780869565217</v>
      </c>
      <c r="H76" s="40">
        <f>C76*Assumptions!$C$20*365*24*Assumptions!$D$30*1000/(Assumptions!$C$10*0.001) /10^9</f>
        <v>45.619957830488204</v>
      </c>
      <c r="I76" s="40">
        <f>E76*Assumptions!$C$46/(Assumptions!$C$10*0.001) /10^9</f>
        <v>4.4396893129081834</v>
      </c>
      <c r="J76" s="40">
        <f>D76*Assumptions!$C$56/(Assumptions!$C$10*0.001) /10^9</f>
        <v>3.0596993629221889</v>
      </c>
      <c r="K76" s="40">
        <f>F76*Assumptions!$C$65/(Assumptions!$C$10*0.001) /10^9</f>
        <v>4.6589332295950063</v>
      </c>
      <c r="L76" s="47">
        <f>4</f>
        <v>4</v>
      </c>
      <c r="M76" s="39">
        <v>32.380000000000003</v>
      </c>
      <c r="N76" s="39">
        <v>15</v>
      </c>
      <c r="O76" s="44">
        <f>N76*Assumptions!$C$97/(Assumptions!$G$12*0.001) /10^9*M76/100</f>
        <v>3.0980466087532386</v>
      </c>
      <c r="P76" s="48">
        <f>Assumptions!$C$114*Assumptions!$C$113/(Assumptions!$G$12*0.001) /10^9</f>
        <v>0.71857276338974674</v>
      </c>
      <c r="Q76" s="42">
        <f t="shared" si="6"/>
        <v>78.428679977621783</v>
      </c>
      <c r="S76" s="29" t="str">
        <f t="shared" si="7"/>
        <v>(260,55,90,100,15,0.32)</v>
      </c>
    </row>
    <row r="77" spans="2:19">
      <c r="B77" s="38">
        <v>12</v>
      </c>
      <c r="C77" s="39">
        <v>260</v>
      </c>
      <c r="D77" s="39">
        <v>55</v>
      </c>
      <c r="E77" s="37">
        <v>100</v>
      </c>
      <c r="F77" s="39">
        <v>100</v>
      </c>
      <c r="G77" s="40">
        <f>B77*Assumptions!$C$19*365*24*Assumptions!$D$26*1000/(Assumptions!$C$10*0.001) /10^9</f>
        <v>12.833780869565217</v>
      </c>
      <c r="H77" s="40">
        <f>C77*Assumptions!$C$20*365*24*Assumptions!$D$30*1000/(Assumptions!$C$10*0.001) /10^9</f>
        <v>45.619957830488204</v>
      </c>
      <c r="I77" s="40">
        <f>E77*Assumptions!$C$46/(Assumptions!$C$10*0.001) /10^9</f>
        <v>4.9329881254535364</v>
      </c>
      <c r="J77" s="40">
        <f>D77*Assumptions!$C$56/(Assumptions!$C$10*0.001) /10^9</f>
        <v>3.0596993629221889</v>
      </c>
      <c r="K77" s="40">
        <f>F77*Assumptions!$C$65/(Assumptions!$C$10*0.001) /10^9</f>
        <v>4.6589332295950063</v>
      </c>
      <c r="L77" s="47">
        <f>4</f>
        <v>4</v>
      </c>
      <c r="M77" s="39">
        <v>32.659999999999997</v>
      </c>
      <c r="N77" s="39">
        <v>15</v>
      </c>
      <c r="O77" s="44">
        <f>N77*Assumptions!$C$97/(Assumptions!$G$12*0.001) /10^9*M77/100</f>
        <v>3.1248363879518455</v>
      </c>
      <c r="P77" s="48">
        <f>Assumptions!$C$114*Assumptions!$C$113/(Assumptions!$G$12*0.001) /10^9</f>
        <v>0.71857276338974674</v>
      </c>
      <c r="Q77" s="42">
        <f t="shared" si="6"/>
        <v>78.94876856936574</v>
      </c>
      <c r="S77" s="29" t="str">
        <f t="shared" si="7"/>
        <v>(260,55,100,100,15,0.33)</v>
      </c>
    </row>
    <row r="78" spans="2:19">
      <c r="B78" s="38">
        <v>12</v>
      </c>
      <c r="C78" s="39">
        <v>240</v>
      </c>
      <c r="D78" s="39">
        <v>91</v>
      </c>
      <c r="E78" s="37">
        <v>60</v>
      </c>
      <c r="F78" s="39">
        <v>100</v>
      </c>
      <c r="G78" s="40">
        <f>B78*Assumptions!$C$19*365*24*Assumptions!$D$26*1000/(Assumptions!$C$10*0.001) /10^9</f>
        <v>12.833780869565217</v>
      </c>
      <c r="H78" s="40">
        <f>C78*Assumptions!$C$20*365*24*Assumptions!$D$30*1000/(Assumptions!$C$10*0.001) /10^9</f>
        <v>42.110730305066035</v>
      </c>
      <c r="I78" s="40">
        <f>E78*Assumptions!$C$46/(Assumptions!$C$10*0.001) /10^9</f>
        <v>2.9597928752721221</v>
      </c>
      <c r="J78" s="40">
        <f>D78*Assumptions!$C$56/(Assumptions!$C$10*0.001) /10^9</f>
        <v>5.0624116731985298</v>
      </c>
      <c r="K78" s="40">
        <f>F78*Assumptions!$C$65/(Assumptions!$C$10*0.001) /10^9</f>
        <v>4.6589332295950063</v>
      </c>
      <c r="L78" s="47">
        <f>4</f>
        <v>4</v>
      </c>
      <c r="M78" s="39">
        <v>14.98</v>
      </c>
      <c r="N78" s="39">
        <v>81</v>
      </c>
      <c r="O78" s="44">
        <f>N78*Assumptions!$C$97/(Assumptions!$G$14*0.001) /10^9*M78/100</f>
        <v>7.4641662502914583</v>
      </c>
      <c r="P78" s="48">
        <f>Assumptions!$C$114*Assumptions!$C$113/(Assumptions!$G$14*0.001) /10^9</f>
        <v>0.69300342293188655</v>
      </c>
      <c r="Q78" s="42">
        <f>SUM(G78:L78)+O78+P78</f>
        <v>79.782818625920243</v>
      </c>
      <c r="S78" s="29" t="str">
        <f t="shared" si="7"/>
        <v>(240,91,60,100,81,0.15)</v>
      </c>
    </row>
    <row r="79" spans="2:19">
      <c r="B79" s="38">
        <v>12</v>
      </c>
      <c r="C79" s="39">
        <v>240</v>
      </c>
      <c r="D79" s="39">
        <v>85</v>
      </c>
      <c r="E79" s="37">
        <v>70</v>
      </c>
      <c r="F79" s="39">
        <v>100</v>
      </c>
      <c r="G79" s="40">
        <f>B79*Assumptions!$C$19*365*24*Assumptions!$D$26*1000/(Assumptions!$C$10*0.001) /10^9</f>
        <v>12.833780869565217</v>
      </c>
      <c r="H79" s="40">
        <f>C79*Assumptions!$C$20*365*24*Assumptions!$D$30*1000/(Assumptions!$C$10*0.001) /10^9</f>
        <v>42.110730305066035</v>
      </c>
      <c r="I79" s="40">
        <f>E79*Assumptions!$C$46/(Assumptions!$C$10*0.001) /10^9</f>
        <v>3.4530916878174751</v>
      </c>
      <c r="J79" s="40">
        <f>D79*Assumptions!$C$56/(Assumptions!$C$10*0.001) /10^9</f>
        <v>4.7286262881524737</v>
      </c>
      <c r="K79" s="40">
        <f>F79*Assumptions!$C$65/(Assumptions!$C$10*0.001) /10^9</f>
        <v>4.6589332295950063</v>
      </c>
      <c r="L79" s="47">
        <f>4</f>
        <v>4</v>
      </c>
      <c r="M79" s="39">
        <v>16.829999999999998</v>
      </c>
      <c r="N79" s="39">
        <v>62</v>
      </c>
      <c r="O79" s="44">
        <f>N79*Assumptions!$C$97/(Assumptions!$G$14*0.001) /10^9*M79/100</f>
        <v>6.4188950827680742</v>
      </c>
      <c r="P79" s="48">
        <f>Assumptions!$C$114*Assumptions!$C$113/(Assumptions!$G$14*0.001) /10^9</f>
        <v>0.69300342293188655</v>
      </c>
      <c r="Q79" s="42">
        <f t="shared" ref="Q79:Q96" si="8">SUM(G79:L79)+O79+P79</f>
        <v>78.897060885896167</v>
      </c>
      <c r="S79" s="29" t="str">
        <f t="shared" si="7"/>
        <v>(240,85,70,100,62,0.17)</v>
      </c>
    </row>
    <row r="80" spans="2:19">
      <c r="B80" s="38">
        <v>12</v>
      </c>
      <c r="C80" s="39">
        <v>240</v>
      </c>
      <c r="D80" s="39">
        <v>81</v>
      </c>
      <c r="E80" s="37">
        <v>80</v>
      </c>
      <c r="F80" s="39">
        <v>100</v>
      </c>
      <c r="G80" s="40">
        <f>B80*Assumptions!$C$19*365*24*Assumptions!$D$26*1000/(Assumptions!$C$10*0.001) /10^9</f>
        <v>12.833780869565217</v>
      </c>
      <c r="H80" s="40">
        <f>C80*Assumptions!$C$20*365*24*Assumptions!$D$30*1000/(Assumptions!$C$10*0.001) /10^9</f>
        <v>42.110730305066035</v>
      </c>
      <c r="I80" s="40">
        <f>E80*Assumptions!$C$46/(Assumptions!$C$10*0.001) /10^9</f>
        <v>3.9463905003628286</v>
      </c>
      <c r="J80" s="40">
        <f>D80*Assumptions!$C$56/(Assumptions!$C$10*0.001) /10^9</f>
        <v>4.5061026981217687</v>
      </c>
      <c r="K80" s="40">
        <f>F80*Assumptions!$C$65/(Assumptions!$C$10*0.001) /10^9</f>
        <v>4.6589332295950063</v>
      </c>
      <c r="L80" s="47">
        <f>4</f>
        <v>4</v>
      </c>
      <c r="M80" s="39">
        <v>17.87</v>
      </c>
      <c r="N80" s="39">
        <v>57</v>
      </c>
      <c r="O80" s="44">
        <f>N80*Assumptions!$C$97/(Assumptions!$G$14*0.001) /10^9*M80/100</f>
        <v>6.265906064781336</v>
      </c>
      <c r="P80" s="48">
        <f>Assumptions!$C$114*Assumptions!$C$113/(Assumptions!$G$14*0.001) /10^9</f>
        <v>0.69300342293188655</v>
      </c>
      <c r="Q80" s="42">
        <f t="shared" si="8"/>
        <v>79.01484709042407</v>
      </c>
      <c r="S80" s="29" t="str">
        <f t="shared" si="7"/>
        <v>(240,81,80,100,57,0.18)</v>
      </c>
    </row>
    <row r="81" spans="2:19">
      <c r="B81" s="38">
        <v>12</v>
      </c>
      <c r="C81" s="39">
        <v>240</v>
      </c>
      <c r="D81" s="39">
        <v>79</v>
      </c>
      <c r="E81" s="37">
        <v>90</v>
      </c>
      <c r="F81" s="39">
        <v>100</v>
      </c>
      <c r="G81" s="40">
        <f>B81*Assumptions!$C$19*365*24*Assumptions!$D$26*1000/(Assumptions!$C$10*0.001) /10^9</f>
        <v>12.833780869565217</v>
      </c>
      <c r="H81" s="40">
        <f>C81*Assumptions!$C$20*365*24*Assumptions!$D$30*1000/(Assumptions!$C$10*0.001) /10^9</f>
        <v>42.110730305066035</v>
      </c>
      <c r="I81" s="40">
        <f>E81*Assumptions!$C$46/(Assumptions!$C$10*0.001) /10^9</f>
        <v>4.4396893129081834</v>
      </c>
      <c r="J81" s="40">
        <f>D81*Assumptions!$C$56/(Assumptions!$C$10*0.001) /10^9</f>
        <v>4.3948409031064157</v>
      </c>
      <c r="K81" s="40">
        <f>F81*Assumptions!$C$65/(Assumptions!$C$10*0.001) /10^9</f>
        <v>4.6589332295950063</v>
      </c>
      <c r="L81" s="47">
        <f>4</f>
        <v>4</v>
      </c>
      <c r="M81" s="39">
        <v>18.489999999999998</v>
      </c>
      <c r="N81" s="39">
        <v>54</v>
      </c>
      <c r="O81" s="44">
        <f>N81*Assumptions!$C$97/(Assumptions!$G$14*0.001) /10^9*M81/100</f>
        <v>6.1420753879790411</v>
      </c>
      <c r="P81" s="48">
        <f>Assumptions!$C$114*Assumptions!$C$113/(Assumptions!$G$14*0.001) /10^9</f>
        <v>0.69300342293188655</v>
      </c>
      <c r="Q81" s="42">
        <f t="shared" si="8"/>
        <v>79.27305343115178</v>
      </c>
      <c r="S81" s="29" t="str">
        <f t="shared" si="7"/>
        <v>(240,79,90,100,54,0.18)</v>
      </c>
    </row>
    <row r="82" spans="2:19">
      <c r="B82" s="38">
        <v>12</v>
      </c>
      <c r="C82" s="39">
        <v>240</v>
      </c>
      <c r="D82" s="39">
        <v>79</v>
      </c>
      <c r="E82" s="37">
        <v>100</v>
      </c>
      <c r="F82" s="39">
        <v>100</v>
      </c>
      <c r="G82" s="40">
        <f>B82*Assumptions!$C$19*365*24*Assumptions!$D$26*1000/(Assumptions!$C$10*0.001) /10^9</f>
        <v>12.833780869565217</v>
      </c>
      <c r="H82" s="40">
        <f>C82*Assumptions!$C$20*365*24*Assumptions!$D$30*1000/(Assumptions!$C$10*0.001) /10^9</f>
        <v>42.110730305066035</v>
      </c>
      <c r="I82" s="40">
        <f>E82*Assumptions!$C$46/(Assumptions!$C$10*0.001) /10^9</f>
        <v>4.9329881254535364</v>
      </c>
      <c r="J82" s="40">
        <f>D82*Assumptions!$C$56/(Assumptions!$C$10*0.001) /10^9</f>
        <v>4.3948409031064157</v>
      </c>
      <c r="K82" s="40">
        <f>F82*Assumptions!$C$65/(Assumptions!$C$10*0.001) /10^9</f>
        <v>4.6589332295950063</v>
      </c>
      <c r="L82" s="47">
        <f>4</f>
        <v>4</v>
      </c>
      <c r="M82" s="39">
        <v>18.73</v>
      </c>
      <c r="N82" s="39">
        <v>53</v>
      </c>
      <c r="O82" s="44">
        <f>N82*Assumptions!$C$97/(Assumptions!$G$14*0.001) /10^9*M82/100</f>
        <v>6.1065809515583149</v>
      </c>
      <c r="P82" s="48">
        <f>Assumptions!$C$114*Assumptions!$C$113/(Assumptions!$G$14*0.001) /10^9</f>
        <v>0.69300342293188655</v>
      </c>
      <c r="Q82" s="42">
        <f t="shared" si="8"/>
        <v>79.730857807276408</v>
      </c>
      <c r="S82" s="29" t="str">
        <f t="shared" si="7"/>
        <v>(240,79,100,100,53,0.19)</v>
      </c>
    </row>
    <row r="83" spans="2:19">
      <c r="B83" s="38">
        <v>12</v>
      </c>
      <c r="C83" s="39">
        <v>250</v>
      </c>
      <c r="D83" s="39">
        <v>84</v>
      </c>
      <c r="E83" s="37">
        <v>40</v>
      </c>
      <c r="F83" s="39">
        <v>100</v>
      </c>
      <c r="G83" s="40">
        <f>B83*Assumptions!$C$19*365*24*Assumptions!$D$26*1000/(Assumptions!$C$10*0.001) /10^9</f>
        <v>12.833780869565217</v>
      </c>
      <c r="H83" s="40">
        <f>C83*Assumptions!$C$20*365*24*Assumptions!$D$30*1000/(Assumptions!$C$10*0.001) /10^9</f>
        <v>43.86534406777713</v>
      </c>
      <c r="I83" s="40">
        <f>E83*Assumptions!$C$46/(Assumptions!$C$10*0.001) /10^9</f>
        <v>1.9731952501814143</v>
      </c>
      <c r="J83" s="40">
        <f>D83*Assumptions!$C$56/(Assumptions!$C$10*0.001) /10^9</f>
        <v>4.6729953906447976</v>
      </c>
      <c r="K83" s="40">
        <f>F83*Assumptions!$C$65/(Assumptions!$C$10*0.001) /10^9</f>
        <v>4.6589332295950063</v>
      </c>
      <c r="L83" s="47">
        <f>4</f>
        <v>4</v>
      </c>
      <c r="M83" s="39">
        <v>13.49</v>
      </c>
      <c r="N83" s="39">
        <v>106</v>
      </c>
      <c r="O83" s="44">
        <f>N83*Assumptions!$C$97/(Assumptions!$G$14*0.001) /10^9*M83/100</f>
        <v>8.7963456525917429</v>
      </c>
      <c r="P83" s="48">
        <f>Assumptions!$C$114*Assumptions!$C$113/(Assumptions!$G$14*0.001) /10^9</f>
        <v>0.69300342293188655</v>
      </c>
      <c r="Q83" s="42">
        <f t="shared" si="8"/>
        <v>81.49359788328718</v>
      </c>
      <c r="S83" s="29" t="str">
        <f t="shared" si="7"/>
        <v>(250,84,40,100,106,0.13)</v>
      </c>
    </row>
    <row r="84" spans="2:19">
      <c r="B84" s="38">
        <v>12</v>
      </c>
      <c r="C84" s="39">
        <v>250</v>
      </c>
      <c r="D84" s="39">
        <v>71</v>
      </c>
      <c r="E84" s="37">
        <v>50</v>
      </c>
      <c r="F84" s="39">
        <v>100</v>
      </c>
      <c r="G84" s="40">
        <f>B84*Assumptions!$C$19*365*24*Assumptions!$D$26*1000/(Assumptions!$C$10*0.001) /10^9</f>
        <v>12.833780869565217</v>
      </c>
      <c r="H84" s="40">
        <f>C84*Assumptions!$C$20*365*24*Assumptions!$D$30*1000/(Assumptions!$C$10*0.001) /10^9</f>
        <v>43.86534406777713</v>
      </c>
      <c r="I84" s="40">
        <f>E84*Assumptions!$C$46/(Assumptions!$C$10*0.001) /10^9</f>
        <v>2.4664940627267682</v>
      </c>
      <c r="J84" s="40">
        <f>D84*Assumptions!$C$56/(Assumptions!$C$10*0.001) /10^9</f>
        <v>3.9497937230450071</v>
      </c>
      <c r="K84" s="40">
        <f>F84*Assumptions!$C$65/(Assumptions!$C$10*0.001) /10^9</f>
        <v>4.6589332295950063</v>
      </c>
      <c r="L84" s="47">
        <f>4</f>
        <v>4</v>
      </c>
      <c r="M84" s="39">
        <v>19.02</v>
      </c>
      <c r="N84" s="39">
        <v>50</v>
      </c>
      <c r="O84" s="44">
        <f>N84*Assumptions!$C$97/(Assumptions!$G$14*0.001) /10^9*M84/100</f>
        <v>5.8501228832082095</v>
      </c>
      <c r="P84" s="48">
        <f>Assumptions!$C$114*Assumptions!$C$113/(Assumptions!$G$14*0.001) /10^9</f>
        <v>0.69300342293188655</v>
      </c>
      <c r="Q84" s="42">
        <f t="shared" si="8"/>
        <v>78.317472258849222</v>
      </c>
      <c r="S84" s="29" t="str">
        <f t="shared" si="7"/>
        <v>(250,71,50,100,50,0.19)</v>
      </c>
    </row>
    <row r="85" spans="2:19">
      <c r="B85" s="38">
        <v>12</v>
      </c>
      <c r="C85" s="39">
        <v>250</v>
      </c>
      <c r="D85" s="39">
        <v>69</v>
      </c>
      <c r="E85" s="37">
        <v>60</v>
      </c>
      <c r="F85" s="39">
        <v>100</v>
      </c>
      <c r="G85" s="40">
        <f>B85*Assumptions!$C$19*365*24*Assumptions!$D$26*1000/(Assumptions!$C$10*0.001) /10^9</f>
        <v>12.833780869565217</v>
      </c>
      <c r="H85" s="40">
        <f>C85*Assumptions!$C$20*365*24*Assumptions!$D$30*1000/(Assumptions!$C$10*0.001) /10^9</f>
        <v>43.86534406777713</v>
      </c>
      <c r="I85" s="40">
        <f>E85*Assumptions!$C$46/(Assumptions!$C$10*0.001) /10^9</f>
        <v>2.9597928752721221</v>
      </c>
      <c r="J85" s="40">
        <f>D85*Assumptions!$C$56/(Assumptions!$C$10*0.001) /10^9</f>
        <v>3.8385319280296546</v>
      </c>
      <c r="K85" s="40">
        <f>F85*Assumptions!$C$65/(Assumptions!$C$10*0.001) /10^9</f>
        <v>4.6589332295950063</v>
      </c>
      <c r="L85" s="47">
        <f>4</f>
        <v>4</v>
      </c>
      <c r="M85" s="39">
        <v>22.2</v>
      </c>
      <c r="N85" s="39">
        <v>40</v>
      </c>
      <c r="O85" s="44">
        <f>N85*Assumptions!$C$97/(Assumptions!$G$14*0.001) /10^9*M85/100</f>
        <v>5.4625753105035653</v>
      </c>
      <c r="P85" s="48">
        <f>Assumptions!$C$114*Assumptions!$C$113/(Assumptions!$G$14*0.001) /10^9</f>
        <v>0.69300342293188655</v>
      </c>
      <c r="Q85" s="42">
        <f t="shared" si="8"/>
        <v>78.311961703674569</v>
      </c>
      <c r="S85" s="29" t="str">
        <f t="shared" si="7"/>
        <v>(250,69,60,100,40,0.22)</v>
      </c>
    </row>
    <row r="86" spans="2:19">
      <c r="B86" s="38">
        <v>12</v>
      </c>
      <c r="C86" s="39">
        <v>250</v>
      </c>
      <c r="D86" s="39">
        <v>68</v>
      </c>
      <c r="E86" s="37">
        <v>70</v>
      </c>
      <c r="F86" s="39">
        <v>100</v>
      </c>
      <c r="G86" s="40">
        <f>B86*Assumptions!$C$19*365*24*Assumptions!$D$26*1000/(Assumptions!$C$10*0.001) /10^9</f>
        <v>12.833780869565217</v>
      </c>
      <c r="H86" s="40">
        <f>C86*Assumptions!$C$20*365*24*Assumptions!$D$30*1000/(Assumptions!$C$10*0.001) /10^9</f>
        <v>43.86534406777713</v>
      </c>
      <c r="I86" s="40">
        <f>E86*Assumptions!$C$46/(Assumptions!$C$10*0.001) /10^9</f>
        <v>3.4530916878174751</v>
      </c>
      <c r="J86" s="40">
        <f>D86*Assumptions!$C$56/(Assumptions!$C$10*0.001) /10^9</f>
        <v>3.782901030521979</v>
      </c>
      <c r="K86" s="40">
        <f>F86*Assumptions!$C$65/(Assumptions!$C$10*0.001) /10^9</f>
        <v>4.6589332295950063</v>
      </c>
      <c r="L86" s="47">
        <f>4</f>
        <v>4</v>
      </c>
      <c r="M86" s="39">
        <v>24.08</v>
      </c>
      <c r="N86" s="39">
        <v>36</v>
      </c>
      <c r="O86" s="44">
        <f>N86*Assumptions!$C$97/(Assumptions!$G$14*0.001) /10^9*M86/100</f>
        <v>5.3326546004159123</v>
      </c>
      <c r="P86" s="48">
        <f>Assumptions!$C$114*Assumptions!$C$113/(Assumptions!$G$14*0.001) /10^9</f>
        <v>0.69300342293188655</v>
      </c>
      <c r="Q86" s="42">
        <f t="shared" si="8"/>
        <v>78.619708908624588</v>
      </c>
      <c r="S86" s="29" t="str">
        <f t="shared" si="7"/>
        <v>(250,68,70,100,36,0.24)</v>
      </c>
    </row>
    <row r="87" spans="2:19">
      <c r="B87" s="38">
        <v>12</v>
      </c>
      <c r="C87" s="39">
        <v>250</v>
      </c>
      <c r="D87" s="39">
        <v>67</v>
      </c>
      <c r="E87" s="37">
        <v>80</v>
      </c>
      <c r="F87" s="39">
        <v>100</v>
      </c>
      <c r="G87" s="40">
        <f>B87*Assumptions!$C$19*365*24*Assumptions!$D$26*1000/(Assumptions!$C$10*0.001) /10^9</f>
        <v>12.833780869565217</v>
      </c>
      <c r="H87" s="40">
        <f>C87*Assumptions!$C$20*365*24*Assumptions!$D$30*1000/(Assumptions!$C$10*0.001) /10^9</f>
        <v>43.86534406777713</v>
      </c>
      <c r="I87" s="40">
        <f>E87*Assumptions!$C$46/(Assumptions!$C$10*0.001) /10^9</f>
        <v>3.9463905003628286</v>
      </c>
      <c r="J87" s="40">
        <f>D87*Assumptions!$C$56/(Assumptions!$C$10*0.001) /10^9</f>
        <v>3.7272701330143021</v>
      </c>
      <c r="K87" s="40">
        <f>F87*Assumptions!$C$65/(Assumptions!$C$10*0.001) /10^9</f>
        <v>4.6589332295950063</v>
      </c>
      <c r="L87" s="47">
        <f>4</f>
        <v>4</v>
      </c>
      <c r="M87" s="39">
        <v>25.04</v>
      </c>
      <c r="N87" s="39">
        <v>35</v>
      </c>
      <c r="O87" s="44">
        <f>N87*Assumptions!$C$97/(Assumptions!$G$14*0.001) /10^9*M87/100</f>
        <v>5.3912173447357246</v>
      </c>
      <c r="P87" s="48">
        <f>Assumptions!$C$114*Assumptions!$C$113/(Assumptions!$G$14*0.001) /10^9</f>
        <v>0.69300342293188655</v>
      </c>
      <c r="Q87" s="42">
        <f t="shared" si="8"/>
        <v>79.115939567982096</v>
      </c>
      <c r="S87" s="29" t="str">
        <f t="shared" si="7"/>
        <v>(250,67,80,100,35,0.25)</v>
      </c>
    </row>
    <row r="88" spans="2:19">
      <c r="B88" s="38">
        <v>12</v>
      </c>
      <c r="C88" s="39">
        <v>250</v>
      </c>
      <c r="D88" s="39">
        <v>67</v>
      </c>
      <c r="E88" s="37">
        <v>90</v>
      </c>
      <c r="F88" s="39">
        <v>100</v>
      </c>
      <c r="G88" s="40">
        <f>B88*Assumptions!$C$19*365*24*Assumptions!$D$26*1000/(Assumptions!$C$10*0.001) /10^9</f>
        <v>12.833780869565217</v>
      </c>
      <c r="H88" s="40">
        <f>C88*Assumptions!$C$20*365*24*Assumptions!$D$30*1000/(Assumptions!$C$10*0.001) /10^9</f>
        <v>43.86534406777713</v>
      </c>
      <c r="I88" s="40">
        <f>E88*Assumptions!$C$46/(Assumptions!$C$10*0.001) /10^9</f>
        <v>4.4396893129081834</v>
      </c>
      <c r="J88" s="40">
        <f>D88*Assumptions!$C$56/(Assumptions!$C$10*0.001) /10^9</f>
        <v>3.7272701330143021</v>
      </c>
      <c r="K88" s="40">
        <f>F88*Assumptions!$C$65/(Assumptions!$C$10*0.001) /10^9</f>
        <v>4.6589332295950063</v>
      </c>
      <c r="L88" s="47">
        <f>4</f>
        <v>4</v>
      </c>
      <c r="M88" s="39">
        <v>25.64</v>
      </c>
      <c r="N88" s="39">
        <v>34</v>
      </c>
      <c r="O88" s="44">
        <f>N88*Assumptions!$C$97/(Assumptions!$G$14*0.001) /10^9*M88/100</f>
        <v>5.3626741584285886</v>
      </c>
      <c r="P88" s="48">
        <f>Assumptions!$C$114*Assumptions!$C$113/(Assumptions!$G$14*0.001) /10^9</f>
        <v>0.69300342293188655</v>
      </c>
      <c r="Q88" s="42">
        <f t="shared" si="8"/>
        <v>79.580695194220311</v>
      </c>
      <c r="S88" s="29" t="str">
        <f t="shared" si="7"/>
        <v>(250,67,90,100,34,0.26)</v>
      </c>
    </row>
    <row r="89" spans="2:19">
      <c r="B89" s="38">
        <v>12</v>
      </c>
      <c r="C89" s="39">
        <v>250</v>
      </c>
      <c r="D89" s="39">
        <v>67</v>
      </c>
      <c r="E89" s="37">
        <v>100</v>
      </c>
      <c r="F89" s="39">
        <v>100</v>
      </c>
      <c r="G89" s="40">
        <f>B89*Assumptions!$C$19*365*24*Assumptions!$D$26*1000/(Assumptions!$C$10*0.001) /10^9</f>
        <v>12.833780869565217</v>
      </c>
      <c r="H89" s="40">
        <f>C89*Assumptions!$C$20*365*24*Assumptions!$D$30*1000/(Assumptions!$C$10*0.001) /10^9</f>
        <v>43.86534406777713</v>
      </c>
      <c r="I89" s="40">
        <f>E89*Assumptions!$C$46/(Assumptions!$C$10*0.001) /10^9</f>
        <v>4.9329881254535364</v>
      </c>
      <c r="J89" s="40">
        <f>D89*Assumptions!$C$56/(Assumptions!$C$10*0.001) /10^9</f>
        <v>3.7272701330143021</v>
      </c>
      <c r="K89" s="40">
        <f>F89*Assumptions!$C$65/(Assumptions!$C$10*0.001) /10^9</f>
        <v>4.6589332295950063</v>
      </c>
      <c r="L89" s="47">
        <f>4</f>
        <v>4</v>
      </c>
      <c r="M89" s="39">
        <v>26.03</v>
      </c>
      <c r="N89" s="39">
        <v>33</v>
      </c>
      <c r="O89" s="44">
        <f>N89*Assumptions!$C$97/(Assumptions!$G$14*0.001) /10^9*M89/100</f>
        <v>5.2841188805962354</v>
      </c>
      <c r="P89" s="48">
        <f>Assumptions!$C$114*Assumptions!$C$113/(Assumptions!$G$14*0.001) /10^9</f>
        <v>0.69300342293188655</v>
      </c>
      <c r="Q89" s="42">
        <f t="shared" si="8"/>
        <v>79.995438728933308</v>
      </c>
      <c r="S89" s="29" t="str">
        <f t="shared" si="7"/>
        <v>(250,67,100,100,33,0.26)</v>
      </c>
    </row>
    <row r="90" spans="2:19">
      <c r="B90" s="38">
        <v>12</v>
      </c>
      <c r="C90" s="39">
        <v>260</v>
      </c>
      <c r="D90" s="39">
        <v>63</v>
      </c>
      <c r="E90" s="37">
        <v>40</v>
      </c>
      <c r="F90" s="39">
        <v>100</v>
      </c>
      <c r="G90" s="40">
        <f>B90*Assumptions!$C$19*365*24*Assumptions!$D$26*1000/(Assumptions!$C$10*0.001) /10^9</f>
        <v>12.833780869565217</v>
      </c>
      <c r="H90" s="40">
        <f>C90*Assumptions!$C$20*365*24*Assumptions!$D$30*1000/(Assumptions!$C$10*0.001) /10^9</f>
        <v>45.619957830488204</v>
      </c>
      <c r="I90" s="40">
        <f>E90*Assumptions!$C$46/(Assumptions!$C$10*0.001) /10^9</f>
        <v>1.9731952501814143</v>
      </c>
      <c r="J90" s="40">
        <f>D90*Assumptions!$C$56/(Assumptions!$C$10*0.001) /10^9</f>
        <v>3.5047465429835976</v>
      </c>
      <c r="K90" s="40">
        <f>F90*Assumptions!$C$65/(Assumptions!$C$10*0.001) /10^9</f>
        <v>4.6589332295950063</v>
      </c>
      <c r="L90" s="47">
        <f>4</f>
        <v>4</v>
      </c>
      <c r="M90" s="39">
        <v>20.66</v>
      </c>
      <c r="N90" s="39">
        <v>43</v>
      </c>
      <c r="O90" s="44">
        <f>N90*Assumptions!$C$97/(Assumptions!$G$14*0.001) /10^9*M90/100</f>
        <v>5.4649128990373388</v>
      </c>
      <c r="P90" s="48">
        <f>Assumptions!$C$114*Assumptions!$C$113/(Assumptions!$G$14*0.001) /10^9</f>
        <v>0.69300342293188655</v>
      </c>
      <c r="Q90" s="42">
        <f t="shared" si="8"/>
        <v>78.748530044782655</v>
      </c>
      <c r="S90" s="29" t="str">
        <f t="shared" si="7"/>
        <v>(260,63,40,100,43,0.21)</v>
      </c>
    </row>
    <row r="91" spans="2:19">
      <c r="B91" s="38">
        <v>12</v>
      </c>
      <c r="C91" s="39">
        <v>260</v>
      </c>
      <c r="D91" s="39">
        <v>60</v>
      </c>
      <c r="E91" s="37">
        <v>50</v>
      </c>
      <c r="F91" s="39">
        <v>100</v>
      </c>
      <c r="G91" s="40">
        <f>B91*Assumptions!$C$19*365*24*Assumptions!$D$26*1000/(Assumptions!$C$10*0.001) /10^9</f>
        <v>12.833780869565217</v>
      </c>
      <c r="H91" s="40">
        <f>C91*Assumptions!$C$20*365*24*Assumptions!$D$30*1000/(Assumptions!$C$10*0.001) /10^9</f>
        <v>45.619957830488204</v>
      </c>
      <c r="I91" s="40">
        <f>E91*Assumptions!$C$46/(Assumptions!$C$10*0.001) /10^9</f>
        <v>2.4664940627267682</v>
      </c>
      <c r="J91" s="40">
        <f>D91*Assumptions!$C$56/(Assumptions!$C$10*0.001) /10^9</f>
        <v>3.3378538504605695</v>
      </c>
      <c r="K91" s="40">
        <f>F91*Assumptions!$C$65/(Assumptions!$C$10*0.001) /10^9</f>
        <v>4.6589332295950063</v>
      </c>
      <c r="L91" s="47">
        <f>4</f>
        <v>4</v>
      </c>
      <c r="M91" s="39">
        <v>25.81</v>
      </c>
      <c r="N91" s="39">
        <v>33</v>
      </c>
      <c r="O91" s="44">
        <f>N91*Assumptions!$C$97/(Assumptions!$G$14*0.001) /10^9*M91/100</f>
        <v>5.2394586365036036</v>
      </c>
      <c r="P91" s="48">
        <f>Assumptions!$C$114*Assumptions!$C$113/(Assumptions!$G$14*0.001) /10^9</f>
        <v>0.69300342293188655</v>
      </c>
      <c r="Q91" s="42">
        <f t="shared" si="8"/>
        <v>78.849481902271251</v>
      </c>
      <c r="S91" s="29" t="str">
        <f t="shared" si="7"/>
        <v>(260,60,50,100,33,0.26)</v>
      </c>
    </row>
    <row r="92" spans="2:19">
      <c r="B92" s="38">
        <v>12</v>
      </c>
      <c r="C92" s="39">
        <v>260</v>
      </c>
      <c r="D92" s="39">
        <v>58</v>
      </c>
      <c r="E92" s="37">
        <v>60</v>
      </c>
      <c r="F92" s="39">
        <v>100</v>
      </c>
      <c r="G92" s="40">
        <f>B92*Assumptions!$C$19*365*24*Assumptions!$D$26*1000/(Assumptions!$C$10*0.001) /10^9</f>
        <v>12.833780869565217</v>
      </c>
      <c r="H92" s="40">
        <f>C92*Assumptions!$C$20*365*24*Assumptions!$D$30*1000/(Assumptions!$C$10*0.001) /10^9</f>
        <v>45.619957830488204</v>
      </c>
      <c r="I92" s="40">
        <f>E92*Assumptions!$C$46/(Assumptions!$C$10*0.001) /10^9</f>
        <v>2.9597928752721221</v>
      </c>
      <c r="J92" s="40">
        <f>D92*Assumptions!$C$56/(Assumptions!$C$10*0.001) /10^9</f>
        <v>3.226592055445217</v>
      </c>
      <c r="K92" s="40">
        <f>F92*Assumptions!$C$65/(Assumptions!$C$10*0.001) /10^9</f>
        <v>4.6589332295950063</v>
      </c>
      <c r="L92" s="47">
        <f>4</f>
        <v>4</v>
      </c>
      <c r="M92" s="39">
        <v>28.82</v>
      </c>
      <c r="N92" s="39">
        <v>29</v>
      </c>
      <c r="O92" s="44">
        <f>N92*Assumptions!$C$97/(Assumptions!$G$14*0.001) /10^9*M92/100</f>
        <v>5.1413414335728271</v>
      </c>
      <c r="P92" s="48">
        <f>Assumptions!$C$114*Assumptions!$C$113/(Assumptions!$G$14*0.001) /10^9</f>
        <v>0.69300342293188655</v>
      </c>
      <c r="Q92" s="42">
        <f t="shared" si="8"/>
        <v>79.13340171687048</v>
      </c>
      <c r="S92" s="29" t="str">
        <f t="shared" si="7"/>
        <v>(260,58,60,100,29,0.29)</v>
      </c>
    </row>
    <row r="93" spans="2:19">
      <c r="B93" s="38">
        <v>12</v>
      </c>
      <c r="C93" s="39">
        <v>260</v>
      </c>
      <c r="D93" s="39">
        <v>57</v>
      </c>
      <c r="E93" s="37">
        <v>70</v>
      </c>
      <c r="F93" s="39">
        <v>100</v>
      </c>
      <c r="G93" s="40">
        <f>B93*Assumptions!$C$19*365*24*Assumptions!$D$26*1000/(Assumptions!$C$10*0.001) /10^9</f>
        <v>12.833780869565217</v>
      </c>
      <c r="H93" s="40">
        <f>C93*Assumptions!$C$20*365*24*Assumptions!$D$30*1000/(Assumptions!$C$10*0.001) /10^9</f>
        <v>45.619957830488204</v>
      </c>
      <c r="I93" s="40">
        <f>E93*Assumptions!$C$46/(Assumptions!$C$10*0.001) /10^9</f>
        <v>3.4530916878174751</v>
      </c>
      <c r="J93" s="40">
        <f>D93*Assumptions!$C$56/(Assumptions!$C$10*0.001) /10^9</f>
        <v>3.170961157937541</v>
      </c>
      <c r="K93" s="40">
        <f>F93*Assumptions!$C$65/(Assumptions!$C$10*0.001) /10^9</f>
        <v>4.6589332295950063</v>
      </c>
      <c r="L93" s="47">
        <f>4</f>
        <v>4</v>
      </c>
      <c r="M93" s="39">
        <v>30.61</v>
      </c>
      <c r="N93" s="39">
        <v>27</v>
      </c>
      <c r="O93" s="44">
        <f>N93*Assumptions!$C$97/(Assumptions!$G$14*0.001) /10^9*M93/100</f>
        <v>5.0840705144953615</v>
      </c>
      <c r="P93" s="48">
        <f>Assumptions!$C$114*Assumptions!$C$113/(Assumptions!$G$14*0.001) /10^9</f>
        <v>0.69300342293188655</v>
      </c>
      <c r="Q93" s="42">
        <f t="shared" si="8"/>
        <v>79.513798712830692</v>
      </c>
      <c r="S93" s="29" t="str">
        <f t="shared" si="7"/>
        <v>(260,57,70,100,27,0.31)</v>
      </c>
    </row>
    <row r="94" spans="2:19">
      <c r="B94" s="38">
        <v>12</v>
      </c>
      <c r="C94" s="39">
        <v>260</v>
      </c>
      <c r="D94" s="39">
        <v>56</v>
      </c>
      <c r="E94" s="37">
        <v>80</v>
      </c>
      <c r="F94" s="39">
        <v>100</v>
      </c>
      <c r="G94" s="40">
        <f>B94*Assumptions!$C$19*365*24*Assumptions!$D$26*1000/(Assumptions!$C$10*0.001) /10^9</f>
        <v>12.833780869565217</v>
      </c>
      <c r="H94" s="40">
        <f>C94*Assumptions!$C$20*365*24*Assumptions!$D$30*1000/(Assumptions!$C$10*0.001) /10^9</f>
        <v>45.619957830488204</v>
      </c>
      <c r="I94" s="40">
        <f>E94*Assumptions!$C$46/(Assumptions!$C$10*0.001) /10^9</f>
        <v>3.9463905003628286</v>
      </c>
      <c r="J94" s="40">
        <f>D94*Assumptions!$C$56/(Assumptions!$C$10*0.001) /10^9</f>
        <v>3.1153302604298649</v>
      </c>
      <c r="K94" s="40">
        <f>F94*Assumptions!$C$65/(Assumptions!$C$10*0.001) /10^9</f>
        <v>4.6589332295950063</v>
      </c>
      <c r="L94" s="47">
        <f>4</f>
        <v>4</v>
      </c>
      <c r="M94" s="39">
        <v>31.81</v>
      </c>
      <c r="N94" s="39">
        <v>26</v>
      </c>
      <c r="O94" s="44">
        <f>N94*Assumptions!$C$97/(Assumptions!$G$14*0.001) /10^9*M94/100</f>
        <v>5.0876999282714843</v>
      </c>
      <c r="P94" s="48">
        <f>Assumptions!$C$114*Assumptions!$C$113/(Assumptions!$G$14*0.001) /10^9</f>
        <v>0.69300342293188655</v>
      </c>
      <c r="Q94" s="42">
        <f t="shared" si="8"/>
        <v>79.955096041644495</v>
      </c>
      <c r="S94" s="29" t="str">
        <f t="shared" si="7"/>
        <v>(260,56,80,100,26,0.32)</v>
      </c>
    </row>
    <row r="95" spans="2:19">
      <c r="B95" s="38">
        <v>12</v>
      </c>
      <c r="C95" s="39">
        <v>260</v>
      </c>
      <c r="D95" s="39">
        <v>55</v>
      </c>
      <c r="E95" s="37">
        <v>90</v>
      </c>
      <c r="F95" s="39">
        <v>100</v>
      </c>
      <c r="G95" s="40">
        <f>B95*Assumptions!$C$19*365*24*Assumptions!$D$26*1000/(Assumptions!$C$10*0.001) /10^9</f>
        <v>12.833780869565217</v>
      </c>
      <c r="H95" s="40">
        <f>C95*Assumptions!$C$20*365*24*Assumptions!$D$30*1000/(Assumptions!$C$10*0.001) /10^9</f>
        <v>45.619957830488204</v>
      </c>
      <c r="I95" s="40">
        <f>E95*Assumptions!$C$46/(Assumptions!$C$10*0.001) /10^9</f>
        <v>4.4396893129081834</v>
      </c>
      <c r="J95" s="40">
        <f>D95*Assumptions!$C$56/(Assumptions!$C$10*0.001) /10^9</f>
        <v>3.0596993629221889</v>
      </c>
      <c r="K95" s="40">
        <f>F95*Assumptions!$C$65/(Assumptions!$C$10*0.001) /10^9</f>
        <v>4.6589332295950063</v>
      </c>
      <c r="L95" s="47">
        <f>4</f>
        <v>4</v>
      </c>
      <c r="M95" s="39">
        <v>32.380000000000003</v>
      </c>
      <c r="N95" s="39">
        <v>25</v>
      </c>
      <c r="O95" s="44">
        <f>N95*Assumptions!$C$97/(Assumptions!$G$14*0.001) /10^9*M95/100</f>
        <v>4.9796787318160316</v>
      </c>
      <c r="P95" s="48">
        <f>Assumptions!$C$114*Assumptions!$C$113/(Assumptions!$G$14*0.001) /10^9</f>
        <v>0.69300342293188655</v>
      </c>
      <c r="Q95" s="42">
        <f t="shared" si="8"/>
        <v>80.28474276022672</v>
      </c>
      <c r="S95" s="29" t="str">
        <f t="shared" si="7"/>
        <v>(260,55,90,100,25,0.32)</v>
      </c>
    </row>
    <row r="96" spans="2:19">
      <c r="B96" s="38">
        <v>12</v>
      </c>
      <c r="C96" s="39">
        <v>260</v>
      </c>
      <c r="D96" s="39">
        <v>55</v>
      </c>
      <c r="E96" s="37">
        <v>100</v>
      </c>
      <c r="F96" s="39">
        <v>100</v>
      </c>
      <c r="G96" s="40">
        <f>B96*Assumptions!$C$19*365*24*Assumptions!$D$26*1000/(Assumptions!$C$10*0.001) /10^9</f>
        <v>12.833780869565217</v>
      </c>
      <c r="H96" s="40">
        <f>C96*Assumptions!$C$20*365*24*Assumptions!$D$30*1000/(Assumptions!$C$10*0.001) /10^9</f>
        <v>45.619957830488204</v>
      </c>
      <c r="I96" s="40">
        <f>E96*Assumptions!$C$46/(Assumptions!$C$10*0.001) /10^9</f>
        <v>4.9329881254535364</v>
      </c>
      <c r="J96" s="40">
        <f>D96*Assumptions!$C$56/(Assumptions!$C$10*0.001) /10^9</f>
        <v>3.0596993629221889</v>
      </c>
      <c r="K96" s="40">
        <f>F96*Assumptions!$C$65/(Assumptions!$C$10*0.001) /10^9</f>
        <v>4.6589332295950063</v>
      </c>
      <c r="L96" s="47">
        <f>4</f>
        <v>4</v>
      </c>
      <c r="M96" s="39">
        <v>32.659999999999997</v>
      </c>
      <c r="N96" s="39">
        <v>25</v>
      </c>
      <c r="O96" s="44">
        <f>N96*Assumptions!$C$97/(Assumptions!$G$14*0.001) /10^9*M96/100</f>
        <v>5.0227395732276587</v>
      </c>
      <c r="P96" s="48">
        <f>Assumptions!$C$114*Assumptions!$C$113/(Assumptions!$G$14*0.001) /10^9</f>
        <v>0.69300342293188655</v>
      </c>
      <c r="Q96" s="42">
        <f t="shared" si="8"/>
        <v>80.821102414183684</v>
      </c>
      <c r="S96" s="29" t="str">
        <f t="shared" si="7"/>
        <v>(260,55,100,100,25,0.33)</v>
      </c>
    </row>
    <row r="97" spans="2:19">
      <c r="B97" s="38">
        <v>12</v>
      </c>
      <c r="C97" s="39">
        <v>230</v>
      </c>
      <c r="D97" s="39">
        <v>136</v>
      </c>
      <c r="E97" s="37">
        <v>50</v>
      </c>
      <c r="F97" s="39">
        <v>100</v>
      </c>
      <c r="G97" s="40">
        <f>B97*[2]Assumptions!$C$19*365*24*[2]Assumptions!$D$26*1000/([2]Assumptions!$C$10*0.001) /10^9</f>
        <v>12.833780869565217</v>
      </c>
      <c r="H97" s="40">
        <f>C97*[2]Assumptions!$C$20*365*24*[2]Assumptions!$D$30*1000/([2]Assumptions!$C$10*0.001) /10^9</f>
        <v>40.35611654235494</v>
      </c>
      <c r="I97" s="40">
        <f>E97*[2]Assumptions!$C$47/([2]Assumptions!$C$10*0.001) /10^9</f>
        <v>3.7306170293519516</v>
      </c>
      <c r="J97" s="40">
        <f>D97*[2]Assumptions!$C$57/([2]Assumptions!$C$10*0.001) /10^9</f>
        <v>11.443412913969533</v>
      </c>
      <c r="K97" s="40">
        <f>F97*[2]Assumptions!$C$66/([2]Assumptions!$C$10*0.001) /10^9</f>
        <v>7.0467210554425748</v>
      </c>
      <c r="L97" s="50">
        <f>[2]Assumptions!$C$69</f>
        <v>4</v>
      </c>
      <c r="M97" s="39"/>
      <c r="N97" s="39"/>
      <c r="O97" s="44">
        <f>N97*Assumptions!$C$97/(Assumptions!$G$12*0.001) /10^9*M97/100</f>
        <v>0</v>
      </c>
      <c r="P97" s="48"/>
      <c r="Q97" s="42">
        <f t="shared" ref="Q97:Q125" si="9">SUM(G97:L97)+O97+P97</f>
        <v>79.410648410684217</v>
      </c>
      <c r="S97" s="29" t="str">
        <f t="shared" ref="S97:S148" si="10">CONCATENATE("(",C97,",",D97,",",E97,",",F97,",",ROUND(N97,0),",",ROUND(M97/100,2),")")</f>
        <v>(230,136,50,100,0,0)</v>
      </c>
    </row>
    <row r="98" spans="2:19">
      <c r="B98" s="38">
        <v>12</v>
      </c>
      <c r="C98" s="39">
        <v>230</v>
      </c>
      <c r="D98" s="39">
        <v>121</v>
      </c>
      <c r="E98" s="37">
        <v>60</v>
      </c>
      <c r="F98" s="39">
        <v>100</v>
      </c>
      <c r="G98" s="40">
        <f>B98*[2]Assumptions!$C$19*365*24*[2]Assumptions!$D$26*1000/([2]Assumptions!$C$10*0.001) /10^9</f>
        <v>12.833780869565217</v>
      </c>
      <c r="H98" s="40">
        <f>C98*[2]Assumptions!$C$20*365*24*[2]Assumptions!$D$30*1000/([2]Assumptions!$C$10*0.001) /10^9</f>
        <v>40.35611654235494</v>
      </c>
      <c r="I98" s="40">
        <f>E98*[2]Assumptions!$C$47/([2]Assumptions!$C$10*0.001) /10^9</f>
        <v>4.4767404352223421</v>
      </c>
      <c r="J98" s="40">
        <f>D98*[2]Assumptions!$C$57/([2]Assumptions!$C$10*0.001) /10^9</f>
        <v>10.181271783752306</v>
      </c>
      <c r="K98" s="40">
        <f>F98*[2]Assumptions!$C$66/([2]Assumptions!$C$10*0.001) /10^9</f>
        <v>7.0467210554425748</v>
      </c>
      <c r="L98" s="50">
        <f>[2]Assumptions!$C$69</f>
        <v>4</v>
      </c>
      <c r="M98" s="39"/>
      <c r="N98" s="39"/>
      <c r="O98" s="44">
        <f>N98*Assumptions!$C$97/(Assumptions!$G$12*0.001) /10^9*M98/100</f>
        <v>0</v>
      </c>
      <c r="P98" s="48"/>
      <c r="Q98" s="42">
        <f t="shared" si="9"/>
        <v>78.894630686337379</v>
      </c>
      <c r="S98" s="29" t="str">
        <f t="shared" si="10"/>
        <v>(230,121,60,100,0,0)</v>
      </c>
    </row>
    <row r="99" spans="2:19">
      <c r="B99" s="38">
        <v>12</v>
      </c>
      <c r="C99" s="39">
        <v>230</v>
      </c>
      <c r="D99" s="39">
        <v>116</v>
      </c>
      <c r="E99" s="37">
        <v>70</v>
      </c>
      <c r="F99" s="39">
        <v>100</v>
      </c>
      <c r="G99" s="40">
        <f>B99*[2]Assumptions!$C$19*365*24*[2]Assumptions!$D$26*1000/([2]Assumptions!$C$10*0.001) /10^9</f>
        <v>12.833780869565217</v>
      </c>
      <c r="H99" s="40">
        <f>C99*[2]Assumptions!$C$20*365*24*[2]Assumptions!$D$30*1000/([2]Assumptions!$C$10*0.001) /10^9</f>
        <v>40.35611654235494</v>
      </c>
      <c r="I99" s="40">
        <f>E99*[2]Assumptions!$C$47/([2]Assumptions!$C$10*0.001) /10^9</f>
        <v>5.2228638410927326</v>
      </c>
      <c r="J99" s="40">
        <f>D99*[2]Assumptions!$C$57/([2]Assumptions!$C$10*0.001) /10^9</f>
        <v>9.7605580736798956</v>
      </c>
      <c r="K99" s="40">
        <f>F99*[2]Assumptions!$C$66/([2]Assumptions!$C$10*0.001) /10^9</f>
        <v>7.0467210554425748</v>
      </c>
      <c r="L99" s="50">
        <f>[2]Assumptions!$C$69</f>
        <v>4</v>
      </c>
      <c r="M99" s="39"/>
      <c r="N99" s="39"/>
      <c r="O99" s="44">
        <f>N99*Assumptions!$C$97/(Assumptions!$G$12*0.001) /10^9*M99/100</f>
        <v>0</v>
      </c>
      <c r="P99" s="48"/>
      <c r="Q99" s="42">
        <f t="shared" si="9"/>
        <v>79.220040382135366</v>
      </c>
      <c r="S99" s="29" t="str">
        <f t="shared" si="10"/>
        <v>(230,116,70,100,0,0)</v>
      </c>
    </row>
    <row r="100" spans="2:19">
      <c r="B100" s="38">
        <v>12</v>
      </c>
      <c r="C100" s="39">
        <v>230</v>
      </c>
      <c r="D100" s="39">
        <v>114</v>
      </c>
      <c r="E100" s="37">
        <v>80</v>
      </c>
      <c r="F100" s="39">
        <v>100</v>
      </c>
      <c r="G100" s="40">
        <f>B100*[2]Assumptions!$C$19*365*24*[2]Assumptions!$D$26*1000/([2]Assumptions!$C$10*0.001) /10^9</f>
        <v>12.833780869565217</v>
      </c>
      <c r="H100" s="40">
        <f>C100*[2]Assumptions!$C$20*365*24*[2]Assumptions!$D$30*1000/([2]Assumptions!$C$10*0.001) /10^9</f>
        <v>40.35611654235494</v>
      </c>
      <c r="I100" s="40">
        <f>E100*[2]Assumptions!$C$47/([2]Assumptions!$C$10*0.001) /10^9</f>
        <v>5.9689872469631231</v>
      </c>
      <c r="J100" s="40">
        <f>D100*[2]Assumptions!$C$57/([2]Assumptions!$C$10*0.001) /10^9</f>
        <v>9.592272589650932</v>
      </c>
      <c r="K100" s="40">
        <f>F100*[2]Assumptions!$C$66/([2]Assumptions!$C$10*0.001) /10^9</f>
        <v>7.0467210554425748</v>
      </c>
      <c r="L100" s="50">
        <f>[2]Assumptions!$C$69</f>
        <v>4</v>
      </c>
      <c r="M100" s="39"/>
      <c r="N100" s="39"/>
      <c r="O100" s="44">
        <f>N100*Assumptions!$C$97/(Assumptions!$G$12*0.001) /10^9*M100/100</f>
        <v>0</v>
      </c>
      <c r="P100" s="48"/>
      <c r="Q100" s="42">
        <f t="shared" si="9"/>
        <v>79.797878303976788</v>
      </c>
      <c r="S100" s="29" t="str">
        <f t="shared" si="10"/>
        <v>(230,114,80,100,0,0)</v>
      </c>
    </row>
    <row r="101" spans="2:19">
      <c r="B101" s="38">
        <v>12</v>
      </c>
      <c r="C101" s="39">
        <v>230</v>
      </c>
      <c r="D101" s="39">
        <v>111</v>
      </c>
      <c r="E101" s="37">
        <v>90</v>
      </c>
      <c r="F101" s="39">
        <v>100</v>
      </c>
      <c r="G101" s="40">
        <f>B101*[2]Assumptions!$C$19*365*24*[2]Assumptions!$D$26*1000/([2]Assumptions!$C$10*0.001) /10^9</f>
        <v>12.833780869565217</v>
      </c>
      <c r="H101" s="40">
        <f>C101*[2]Assumptions!$C$20*365*24*[2]Assumptions!$D$30*1000/([2]Assumptions!$C$10*0.001) /10^9</f>
        <v>40.35611654235494</v>
      </c>
      <c r="I101" s="40">
        <f>E101*[2]Assumptions!$C$47/([2]Assumptions!$C$10*0.001) /10^9</f>
        <v>6.7151106528335136</v>
      </c>
      <c r="J101" s="40">
        <f>D101*[2]Assumptions!$C$57/([2]Assumptions!$C$10*0.001) /10^9</f>
        <v>9.3398443636074866</v>
      </c>
      <c r="K101" s="40">
        <f>F101*[2]Assumptions!$C$66/([2]Assumptions!$C$10*0.001) /10^9</f>
        <v>7.0467210554425748</v>
      </c>
      <c r="L101" s="50">
        <f>[2]Assumptions!$C$69</f>
        <v>4</v>
      </c>
      <c r="M101" s="39"/>
      <c r="N101" s="39"/>
      <c r="O101" s="44">
        <f>N101*Assumptions!$C$97/(Assumptions!$G$12*0.001) /10^9*M101/100</f>
        <v>0</v>
      </c>
      <c r="P101" s="48"/>
      <c r="Q101" s="42">
        <f t="shared" si="9"/>
        <v>80.291573483803731</v>
      </c>
      <c r="S101" s="29" t="str">
        <f t="shared" si="10"/>
        <v>(230,111,90,100,0,0)</v>
      </c>
    </row>
    <row r="102" spans="2:19">
      <c r="B102" s="38">
        <v>12</v>
      </c>
      <c r="C102" s="39">
        <v>230</v>
      </c>
      <c r="D102" s="39">
        <v>110</v>
      </c>
      <c r="E102" s="37">
        <v>100</v>
      </c>
      <c r="F102" s="39">
        <v>100</v>
      </c>
      <c r="G102" s="40">
        <f>B102*[2]Assumptions!$C$19*365*24*[2]Assumptions!$D$26*1000/([2]Assumptions!$C$10*0.001) /10^9</f>
        <v>12.833780869565217</v>
      </c>
      <c r="H102" s="40">
        <f>C102*[2]Assumptions!$C$20*365*24*[2]Assumptions!$D$30*1000/([2]Assumptions!$C$10*0.001) /10^9</f>
        <v>40.35611654235494</v>
      </c>
      <c r="I102" s="40">
        <f>E102*[2]Assumptions!$C$47/([2]Assumptions!$C$10*0.001) /10^9</f>
        <v>7.4612340587039032</v>
      </c>
      <c r="J102" s="40">
        <f>D102*[2]Assumptions!$C$57/([2]Assumptions!$C$10*0.001) /10^9</f>
        <v>9.2557016215930048</v>
      </c>
      <c r="K102" s="40">
        <f>F102*[2]Assumptions!$C$66/([2]Assumptions!$C$10*0.001) /10^9</f>
        <v>7.0467210554425748</v>
      </c>
      <c r="L102" s="50">
        <f>[2]Assumptions!$C$69</f>
        <v>4</v>
      </c>
      <c r="M102" s="39"/>
      <c r="N102" s="39"/>
      <c r="O102" s="44">
        <f>N102*Assumptions!$C$97/(Assumptions!$G$12*0.001) /10^9*M102/100</f>
        <v>0</v>
      </c>
      <c r="P102" s="48"/>
      <c r="Q102" s="42">
        <f t="shared" si="9"/>
        <v>80.953554147659631</v>
      </c>
      <c r="S102" s="29" t="str">
        <f t="shared" si="10"/>
        <v>(230,110,100,100,0,0)</v>
      </c>
    </row>
    <row r="103" spans="2:19">
      <c r="B103" s="38">
        <v>12</v>
      </c>
      <c r="C103" s="39">
        <v>240</v>
      </c>
      <c r="D103" s="39">
        <v>114</v>
      </c>
      <c r="E103" s="37">
        <v>40</v>
      </c>
      <c r="F103" s="39">
        <v>100</v>
      </c>
      <c r="G103" s="40">
        <f>B103*[2]Assumptions!$C$19*365*24*[2]Assumptions!$D$26*1000/([2]Assumptions!$C$10*0.001) /10^9</f>
        <v>12.833780869565217</v>
      </c>
      <c r="H103" s="40">
        <f>C103*[2]Assumptions!$C$20*365*24*[2]Assumptions!$D$30*1000/([2]Assumptions!$C$10*0.001) /10^9</f>
        <v>42.110730305066035</v>
      </c>
      <c r="I103" s="40">
        <f>E103*[2]Assumptions!$C$47/([2]Assumptions!$C$10*0.001) /10^9</f>
        <v>2.9844936234815616</v>
      </c>
      <c r="J103" s="40">
        <f>D103*[2]Assumptions!$C$57/([2]Assumptions!$C$10*0.001) /10^9</f>
        <v>9.592272589650932</v>
      </c>
      <c r="K103" s="40">
        <f>F103*[2]Assumptions!$C$66/([2]Assumptions!$C$10*0.001) /10^9</f>
        <v>7.0467210554425748</v>
      </c>
      <c r="L103" s="50">
        <f>[2]Assumptions!$C$69</f>
        <v>4</v>
      </c>
      <c r="M103" s="39"/>
      <c r="N103" s="39"/>
      <c r="O103" s="44">
        <f>N103*Assumptions!$C$97/(Assumptions!$G$12*0.001) /10^9*M103/100</f>
        <v>0</v>
      </c>
      <c r="P103" s="48"/>
      <c r="Q103" s="42">
        <f t="shared" si="9"/>
        <v>78.567998443206321</v>
      </c>
      <c r="S103" s="29" t="str">
        <f t="shared" si="10"/>
        <v>(240,114,40,100,0,0)</v>
      </c>
    </row>
    <row r="104" spans="2:19">
      <c r="B104" s="38">
        <v>12</v>
      </c>
      <c r="C104" s="39">
        <v>240</v>
      </c>
      <c r="D104" s="39">
        <v>99</v>
      </c>
      <c r="E104" s="37">
        <v>50</v>
      </c>
      <c r="F104" s="39">
        <v>100</v>
      </c>
      <c r="G104" s="40">
        <f>B104*[2]Assumptions!$C$19*365*24*[2]Assumptions!$D$26*1000/([2]Assumptions!$C$10*0.001) /10^9</f>
        <v>12.833780869565217</v>
      </c>
      <c r="H104" s="40">
        <f>C104*[2]Assumptions!$C$20*365*24*[2]Assumptions!$D$30*1000/([2]Assumptions!$C$10*0.001) /10^9</f>
        <v>42.110730305066035</v>
      </c>
      <c r="I104" s="40">
        <f>E104*[2]Assumptions!$C$47/([2]Assumptions!$C$10*0.001) /10^9</f>
        <v>3.7306170293519516</v>
      </c>
      <c r="J104" s="40">
        <f>D104*[2]Assumptions!$C$57/([2]Assumptions!$C$10*0.001) /10^9</f>
        <v>8.330131459433705</v>
      </c>
      <c r="K104" s="40">
        <f>F104*[2]Assumptions!$C$66/([2]Assumptions!$C$10*0.001) /10^9</f>
        <v>7.0467210554425748</v>
      </c>
      <c r="L104" s="50">
        <f>[2]Assumptions!$C$69</f>
        <v>4</v>
      </c>
      <c r="M104" s="39"/>
      <c r="N104" s="39"/>
      <c r="O104" s="44">
        <f>N104*Assumptions!$C$97/(Assumptions!$G$12*0.001) /10^9*M104/100</f>
        <v>0</v>
      </c>
      <c r="P104" s="48"/>
      <c r="Q104" s="42">
        <f t="shared" si="9"/>
        <v>78.051980718859483</v>
      </c>
      <c r="S104" s="29" t="str">
        <f t="shared" si="10"/>
        <v>(240,99,50,100,0,0)</v>
      </c>
    </row>
    <row r="105" spans="2:19">
      <c r="B105" s="38">
        <v>12</v>
      </c>
      <c r="C105" s="39">
        <v>240</v>
      </c>
      <c r="D105" s="39">
        <v>91</v>
      </c>
      <c r="E105" s="37">
        <v>60</v>
      </c>
      <c r="F105" s="39">
        <v>100</v>
      </c>
      <c r="G105" s="40">
        <f>B105*[2]Assumptions!$C$19*365*24*[2]Assumptions!$D$26*1000/([2]Assumptions!$C$10*0.001) /10^9</f>
        <v>12.833780869565217</v>
      </c>
      <c r="H105" s="40">
        <f>C105*[2]Assumptions!$C$20*365*24*[2]Assumptions!$D$30*1000/([2]Assumptions!$C$10*0.001) /10^9</f>
        <v>42.110730305066035</v>
      </c>
      <c r="I105" s="40">
        <f>E105*[2]Assumptions!$C$47/([2]Assumptions!$C$10*0.001) /10^9</f>
        <v>4.4767404352223421</v>
      </c>
      <c r="J105" s="40">
        <f>D105*[2]Assumptions!$C$57/([2]Assumptions!$C$10*0.001) /10^9</f>
        <v>7.6569895233178498</v>
      </c>
      <c r="K105" s="40">
        <f>F105*[2]Assumptions!$C$66/([2]Assumptions!$C$10*0.001) /10^9</f>
        <v>7.0467210554425748</v>
      </c>
      <c r="L105" s="50">
        <f>[2]Assumptions!$C$69</f>
        <v>4</v>
      </c>
      <c r="M105" s="39"/>
      <c r="N105" s="39"/>
      <c r="O105" s="44">
        <f>N105*Assumptions!$C$97/(Assumptions!$G$12*0.001) /10^9*M105/100</f>
        <v>0</v>
      </c>
      <c r="P105" s="48"/>
      <c r="Q105" s="42">
        <f t="shared" si="9"/>
        <v>78.12496218861402</v>
      </c>
      <c r="S105" s="29" t="str">
        <f t="shared" si="10"/>
        <v>(240,91,60,100,0,0)</v>
      </c>
    </row>
    <row r="106" spans="2:19">
      <c r="B106" s="38">
        <v>12</v>
      </c>
      <c r="C106" s="39">
        <v>240</v>
      </c>
      <c r="D106" s="39">
        <v>85</v>
      </c>
      <c r="E106" s="37">
        <v>70</v>
      </c>
      <c r="F106" s="39">
        <v>100</v>
      </c>
      <c r="G106" s="40">
        <f>B106*[2]Assumptions!$C$19*365*24*[2]Assumptions!$D$26*1000/([2]Assumptions!$C$10*0.001) /10^9</f>
        <v>12.833780869565217</v>
      </c>
      <c r="H106" s="40">
        <f>C106*[2]Assumptions!$C$20*365*24*[2]Assumptions!$D$30*1000/([2]Assumptions!$C$10*0.001) /10^9</f>
        <v>42.110730305066035</v>
      </c>
      <c r="I106" s="40">
        <f>E106*[2]Assumptions!$C$47/([2]Assumptions!$C$10*0.001) /10^9</f>
        <v>5.2228638410927326</v>
      </c>
      <c r="J106" s="40">
        <f>D106*[2]Assumptions!$C$57/([2]Assumptions!$C$10*0.001) /10^9</f>
        <v>7.152133071230959</v>
      </c>
      <c r="K106" s="40">
        <f>F106*[2]Assumptions!$C$66/([2]Assumptions!$C$10*0.001) /10^9</f>
        <v>7.0467210554425748</v>
      </c>
      <c r="L106" s="50">
        <f>[2]Assumptions!$C$69</f>
        <v>4</v>
      </c>
      <c r="M106" s="39"/>
      <c r="N106" s="39"/>
      <c r="O106" s="44">
        <f>N106*Assumptions!$C$97/(Assumptions!$G$12*0.001) /10^9*M106/100</f>
        <v>0</v>
      </c>
      <c r="P106" s="48"/>
      <c r="Q106" s="42">
        <f t="shared" si="9"/>
        <v>78.366229142397515</v>
      </c>
      <c r="S106" s="29" t="str">
        <f t="shared" si="10"/>
        <v>(240,85,70,100,0,0)</v>
      </c>
    </row>
    <row r="107" spans="2:19">
      <c r="B107" s="38">
        <v>12</v>
      </c>
      <c r="C107" s="39">
        <v>240</v>
      </c>
      <c r="D107" s="39">
        <v>81</v>
      </c>
      <c r="E107" s="37">
        <v>80</v>
      </c>
      <c r="F107" s="39">
        <v>100</v>
      </c>
      <c r="G107" s="40">
        <f>B107*[2]Assumptions!$C$19*365*24*[2]Assumptions!$D$26*1000/([2]Assumptions!$C$10*0.001) /10^9</f>
        <v>12.833780869565217</v>
      </c>
      <c r="H107" s="40">
        <f>C107*[2]Assumptions!$C$20*365*24*[2]Assumptions!$D$30*1000/([2]Assumptions!$C$10*0.001) /10^9</f>
        <v>42.110730305066035</v>
      </c>
      <c r="I107" s="40">
        <f>E107*[2]Assumptions!$C$47/([2]Assumptions!$C$10*0.001) /10^9</f>
        <v>5.9689872469631231</v>
      </c>
      <c r="J107" s="40">
        <f>D107*[2]Assumptions!$C$57/([2]Assumptions!$C$10*0.001) /10^9</f>
        <v>6.8155621031730309</v>
      </c>
      <c r="K107" s="40">
        <f>F107*[2]Assumptions!$C$66/([2]Assumptions!$C$10*0.001) /10^9</f>
        <v>7.0467210554425748</v>
      </c>
      <c r="L107" s="50">
        <f>[2]Assumptions!$C$69</f>
        <v>4</v>
      </c>
      <c r="M107" s="39"/>
      <c r="N107" s="39"/>
      <c r="O107" s="44">
        <f>N107*Assumptions!$C$97/(Assumptions!$G$12*0.001) /10^9*M107/100</f>
        <v>0</v>
      </c>
      <c r="P107" s="48"/>
      <c r="Q107" s="42">
        <f t="shared" si="9"/>
        <v>78.77578158020998</v>
      </c>
      <c r="S107" s="29" t="str">
        <f t="shared" si="10"/>
        <v>(240,81,80,100,0,0)</v>
      </c>
    </row>
    <row r="108" spans="2:19">
      <c r="B108" s="38">
        <v>12</v>
      </c>
      <c r="C108" s="39">
        <v>240</v>
      </c>
      <c r="D108" s="39">
        <v>79</v>
      </c>
      <c r="E108" s="37">
        <v>90</v>
      </c>
      <c r="F108" s="39">
        <v>100</v>
      </c>
      <c r="G108" s="40">
        <f>B108*[2]Assumptions!$C$19*365*24*[2]Assumptions!$D$26*1000/([2]Assumptions!$C$10*0.001) /10^9</f>
        <v>12.833780869565217</v>
      </c>
      <c r="H108" s="40">
        <f>C108*[2]Assumptions!$C$20*365*24*[2]Assumptions!$D$30*1000/([2]Assumptions!$C$10*0.001) /10^9</f>
        <v>42.110730305066035</v>
      </c>
      <c r="I108" s="40">
        <f>E108*[2]Assumptions!$C$47/([2]Assumptions!$C$10*0.001) /10^9</f>
        <v>6.7151106528335136</v>
      </c>
      <c r="J108" s="40">
        <f>D108*[2]Assumptions!$C$57/([2]Assumptions!$C$10*0.001) /10^9</f>
        <v>6.6472766191440682</v>
      </c>
      <c r="K108" s="40">
        <f>F108*[2]Assumptions!$C$66/([2]Assumptions!$C$10*0.001) /10^9</f>
        <v>7.0467210554425748</v>
      </c>
      <c r="L108" s="50">
        <f>[2]Assumptions!$C$69</f>
        <v>4</v>
      </c>
      <c r="M108" s="39"/>
      <c r="N108" s="39"/>
      <c r="O108" s="44">
        <f>N108*Assumptions!$C$97/(Assumptions!$G$12*0.001) /10^9*M108/100</f>
        <v>0</v>
      </c>
      <c r="P108" s="48"/>
      <c r="Q108" s="42">
        <f t="shared" si="9"/>
        <v>79.353619502051416</v>
      </c>
      <c r="S108" s="29" t="str">
        <f t="shared" si="10"/>
        <v>(240,79,90,100,0,0)</v>
      </c>
    </row>
    <row r="109" spans="2:19">
      <c r="B109" s="38">
        <v>12</v>
      </c>
      <c r="C109" s="39">
        <v>240</v>
      </c>
      <c r="D109" s="39">
        <v>79</v>
      </c>
      <c r="E109" s="37">
        <v>100</v>
      </c>
      <c r="F109" s="39">
        <v>100</v>
      </c>
      <c r="G109" s="40">
        <f>B109*[2]Assumptions!$C$19*365*24*[2]Assumptions!$D$26*1000/([2]Assumptions!$C$10*0.001) /10^9</f>
        <v>12.833780869565217</v>
      </c>
      <c r="H109" s="40">
        <f>C109*[2]Assumptions!$C$20*365*24*[2]Assumptions!$D$30*1000/([2]Assumptions!$C$10*0.001) /10^9</f>
        <v>42.110730305066035</v>
      </c>
      <c r="I109" s="40">
        <f>E109*[2]Assumptions!$C$47/([2]Assumptions!$C$10*0.001) /10^9</f>
        <v>7.4612340587039032</v>
      </c>
      <c r="J109" s="40">
        <f>D109*[2]Assumptions!$C$57/([2]Assumptions!$C$10*0.001) /10^9</f>
        <v>6.6472766191440682</v>
      </c>
      <c r="K109" s="40">
        <f>F109*[2]Assumptions!$C$66/([2]Assumptions!$C$10*0.001) /10^9</f>
        <v>7.0467210554425748</v>
      </c>
      <c r="L109" s="50">
        <f>[2]Assumptions!$C$69</f>
        <v>4</v>
      </c>
      <c r="M109" s="39"/>
      <c r="N109" s="39"/>
      <c r="O109" s="44">
        <f>N109*Assumptions!$C$97/(Assumptions!$G$12*0.001) /10^9*M109/100</f>
        <v>0</v>
      </c>
      <c r="P109" s="48"/>
      <c r="Q109" s="42">
        <f t="shared" si="9"/>
        <v>80.099742907921794</v>
      </c>
      <c r="S109" s="29" t="str">
        <f t="shared" si="10"/>
        <v>(240,79,100,100,0,0)</v>
      </c>
    </row>
    <row r="110" spans="2:19">
      <c r="B110" s="38">
        <v>12</v>
      </c>
      <c r="C110" s="39">
        <v>250</v>
      </c>
      <c r="D110" s="39">
        <v>111</v>
      </c>
      <c r="E110" s="37">
        <v>30</v>
      </c>
      <c r="F110" s="39">
        <v>100</v>
      </c>
      <c r="G110" s="40">
        <f>B110*[2]Assumptions!$C$19*365*24*[2]Assumptions!$D$26*1000/([2]Assumptions!$C$10*0.001) /10^9</f>
        <v>12.833780869565217</v>
      </c>
      <c r="H110" s="40">
        <f>C110*[2]Assumptions!$C$20*365*24*[2]Assumptions!$D$30*1000/([2]Assumptions!$C$10*0.001) /10^9</f>
        <v>43.86534406777713</v>
      </c>
      <c r="I110" s="40">
        <f>E110*[2]Assumptions!$C$47/([2]Assumptions!$C$10*0.001) /10^9</f>
        <v>2.2383702176111711</v>
      </c>
      <c r="J110" s="40">
        <f>D110*[2]Assumptions!$C$57/([2]Assumptions!$C$10*0.001) /10^9</f>
        <v>9.3398443636074866</v>
      </c>
      <c r="K110" s="40">
        <f>F110*[2]Assumptions!$C$66/([2]Assumptions!$C$10*0.001) /10^9</f>
        <v>7.0467210554425748</v>
      </c>
      <c r="L110" s="50">
        <f>[2]Assumptions!$C$69</f>
        <v>4</v>
      </c>
      <c r="M110" s="39"/>
      <c r="N110" s="39"/>
      <c r="O110" s="44">
        <f>N110*Assumptions!$C$97/(Assumptions!$G$12*0.001) /10^9*M110/100</f>
        <v>0</v>
      </c>
      <c r="P110" s="48"/>
      <c r="Q110" s="42">
        <f t="shared" si="9"/>
        <v>79.324060574003582</v>
      </c>
      <c r="S110" s="29" t="str">
        <f t="shared" si="10"/>
        <v>(250,111,30,100,0,0)</v>
      </c>
    </row>
    <row r="111" spans="2:19">
      <c r="B111" s="38">
        <v>12</v>
      </c>
      <c r="C111" s="39">
        <v>250</v>
      </c>
      <c r="D111" s="39">
        <v>84</v>
      </c>
      <c r="E111" s="37">
        <v>40</v>
      </c>
      <c r="F111" s="39">
        <v>100</v>
      </c>
      <c r="G111" s="40">
        <f>B111*[2]Assumptions!$C$19*365*24*[2]Assumptions!$D$26*1000/([2]Assumptions!$C$10*0.001) /10^9</f>
        <v>12.833780869565217</v>
      </c>
      <c r="H111" s="40">
        <f>C111*[2]Assumptions!$C$20*365*24*[2]Assumptions!$D$30*1000/([2]Assumptions!$C$10*0.001) /10^9</f>
        <v>43.86534406777713</v>
      </c>
      <c r="I111" s="40">
        <f>E111*[2]Assumptions!$C$47/([2]Assumptions!$C$10*0.001) /10^9</f>
        <v>2.9844936234815616</v>
      </c>
      <c r="J111" s="40">
        <f>D111*[2]Assumptions!$C$57/([2]Assumptions!$C$10*0.001) /10^9</f>
        <v>7.0679903292164772</v>
      </c>
      <c r="K111" s="40">
        <f>F111*[2]Assumptions!$C$66/([2]Assumptions!$C$10*0.001) /10^9</f>
        <v>7.0467210554425748</v>
      </c>
      <c r="L111" s="50">
        <f>[2]Assumptions!$C$69</f>
        <v>4</v>
      </c>
      <c r="M111" s="39"/>
      <c r="N111" s="39"/>
      <c r="O111" s="44">
        <f>N111*Assumptions!$C$97/(Assumptions!$G$12*0.001) /10^9*M111/100</f>
        <v>0</v>
      </c>
      <c r="P111" s="48"/>
      <c r="Q111" s="42">
        <f t="shared" si="9"/>
        <v>77.798329945482962</v>
      </c>
      <c r="S111" s="29" t="str">
        <f t="shared" si="10"/>
        <v>(250,84,40,100,0,0)</v>
      </c>
    </row>
    <row r="112" spans="2:19">
      <c r="B112" s="38">
        <v>12</v>
      </c>
      <c r="C112" s="39">
        <v>250</v>
      </c>
      <c r="D112" s="39">
        <v>71</v>
      </c>
      <c r="E112" s="37">
        <v>50</v>
      </c>
      <c r="F112" s="39">
        <v>100</v>
      </c>
      <c r="G112" s="40">
        <f>B112*[2]Assumptions!$C$19*365*24*[2]Assumptions!$D$26*1000/([2]Assumptions!$C$10*0.001) /10^9</f>
        <v>12.833780869565217</v>
      </c>
      <c r="H112" s="40">
        <f>C112*[2]Assumptions!$C$20*365*24*[2]Assumptions!$D$30*1000/([2]Assumptions!$C$10*0.001) /10^9</f>
        <v>43.86534406777713</v>
      </c>
      <c r="I112" s="40">
        <f>E112*[2]Assumptions!$C$47/([2]Assumptions!$C$10*0.001) /10^9</f>
        <v>3.7306170293519516</v>
      </c>
      <c r="J112" s="40">
        <f>D112*[2]Assumptions!$C$57/([2]Assumptions!$C$10*0.001) /10^9</f>
        <v>5.9741346830282129</v>
      </c>
      <c r="K112" s="40">
        <f>F112*[2]Assumptions!$C$66/([2]Assumptions!$C$10*0.001) /10^9</f>
        <v>7.0467210554425748</v>
      </c>
      <c r="L112" s="50">
        <f>[2]Assumptions!$C$69</f>
        <v>4</v>
      </c>
      <c r="M112" s="39"/>
      <c r="N112" s="39"/>
      <c r="O112" s="44">
        <f>N112*Assumptions!$C$97/(Assumptions!$G$12*0.001) /10^9*M112/100</f>
        <v>0</v>
      </c>
      <c r="P112" s="48"/>
      <c r="Q112" s="42">
        <f t="shared" si="9"/>
        <v>77.450597705165094</v>
      </c>
      <c r="S112" s="29" t="str">
        <f t="shared" si="10"/>
        <v>(250,71,50,100,0,0)</v>
      </c>
    </row>
    <row r="113" spans="2:19">
      <c r="B113" s="38">
        <v>12</v>
      </c>
      <c r="C113" s="39">
        <v>250</v>
      </c>
      <c r="D113" s="39">
        <v>69</v>
      </c>
      <c r="E113" s="37">
        <v>60</v>
      </c>
      <c r="F113" s="39">
        <v>100</v>
      </c>
      <c r="G113" s="40">
        <f>B113*[2]Assumptions!$C$19*365*24*[2]Assumptions!$D$26*1000/([2]Assumptions!$C$10*0.001) /10^9</f>
        <v>12.833780869565217</v>
      </c>
      <c r="H113" s="40">
        <f>C113*[2]Assumptions!$C$20*365*24*[2]Assumptions!$D$30*1000/([2]Assumptions!$C$10*0.001) /10^9</f>
        <v>43.86534406777713</v>
      </c>
      <c r="I113" s="40">
        <f>E113*[2]Assumptions!$C$47/([2]Assumptions!$C$10*0.001) /10^9</f>
        <v>4.4767404352223421</v>
      </c>
      <c r="J113" s="40">
        <f>D113*[2]Assumptions!$C$57/([2]Assumptions!$C$10*0.001) /10^9</f>
        <v>5.8058491989992493</v>
      </c>
      <c r="K113" s="40">
        <f>F113*[2]Assumptions!$C$66/([2]Assumptions!$C$10*0.001) /10^9</f>
        <v>7.0467210554425748</v>
      </c>
      <c r="L113" s="50">
        <f>[2]Assumptions!$C$69</f>
        <v>4</v>
      </c>
      <c r="M113" s="39"/>
      <c r="N113" s="39"/>
      <c r="O113" s="44">
        <f>N113*Assumptions!$C$97/(Assumptions!$G$12*0.001) /10^9*M113/100</f>
        <v>0</v>
      </c>
      <c r="P113" s="48"/>
      <c r="Q113" s="42">
        <f t="shared" si="9"/>
        <v>78.028435627006516</v>
      </c>
      <c r="S113" s="29" t="str">
        <f t="shared" si="10"/>
        <v>(250,69,60,100,0,0)</v>
      </c>
    </row>
    <row r="114" spans="2:19">
      <c r="B114" s="38">
        <v>12</v>
      </c>
      <c r="C114" s="39">
        <v>250</v>
      </c>
      <c r="D114" s="39">
        <v>68</v>
      </c>
      <c r="E114" s="37">
        <v>70</v>
      </c>
      <c r="F114" s="39">
        <v>100</v>
      </c>
      <c r="G114" s="40">
        <f>B114*[2]Assumptions!$C$19*365*24*[2]Assumptions!$D$26*1000/([2]Assumptions!$C$10*0.001) /10^9</f>
        <v>12.833780869565217</v>
      </c>
      <c r="H114" s="40">
        <f>C114*[2]Assumptions!$C$20*365*24*[2]Assumptions!$D$30*1000/([2]Assumptions!$C$10*0.001) /10^9</f>
        <v>43.86534406777713</v>
      </c>
      <c r="I114" s="40">
        <f>E114*[2]Assumptions!$C$47/([2]Assumptions!$C$10*0.001) /10^9</f>
        <v>5.2228638410927326</v>
      </c>
      <c r="J114" s="40">
        <f>D114*[2]Assumptions!$C$57/([2]Assumptions!$C$10*0.001) /10^9</f>
        <v>5.7217064569847667</v>
      </c>
      <c r="K114" s="40">
        <f>F114*[2]Assumptions!$C$66/([2]Assumptions!$C$10*0.001) /10^9</f>
        <v>7.0467210554425748</v>
      </c>
      <c r="L114" s="50">
        <f>[2]Assumptions!$C$69</f>
        <v>4</v>
      </c>
      <c r="M114" s="39"/>
      <c r="N114" s="39"/>
      <c r="O114" s="44">
        <f>N114*Assumptions!$C$97/(Assumptions!$G$12*0.001) /10^9*M114/100</f>
        <v>0</v>
      </c>
      <c r="P114" s="48"/>
      <c r="Q114" s="42">
        <f t="shared" si="9"/>
        <v>78.690416290862416</v>
      </c>
      <c r="S114" s="29" t="str">
        <f t="shared" si="10"/>
        <v>(250,68,70,100,0,0)</v>
      </c>
    </row>
    <row r="115" spans="2:19">
      <c r="B115" s="38">
        <v>12</v>
      </c>
      <c r="C115" s="39">
        <v>250</v>
      </c>
      <c r="D115" s="39">
        <v>67</v>
      </c>
      <c r="E115" s="37">
        <v>80</v>
      </c>
      <c r="F115" s="39">
        <v>100</v>
      </c>
      <c r="G115" s="40">
        <f>B115*[2]Assumptions!$C$19*365*24*[2]Assumptions!$D$26*1000/([2]Assumptions!$C$10*0.001) /10^9</f>
        <v>12.833780869565217</v>
      </c>
      <c r="H115" s="40">
        <f>C115*[2]Assumptions!$C$20*365*24*[2]Assumptions!$D$30*1000/([2]Assumptions!$C$10*0.001) /10^9</f>
        <v>43.86534406777713</v>
      </c>
      <c r="I115" s="40">
        <f>E115*[2]Assumptions!$C$47/([2]Assumptions!$C$10*0.001) /10^9</f>
        <v>5.9689872469631231</v>
      </c>
      <c r="J115" s="40">
        <f>D115*[2]Assumptions!$C$57/([2]Assumptions!$C$10*0.001) /10^9</f>
        <v>5.6375637149702857</v>
      </c>
      <c r="K115" s="40">
        <f>F115*[2]Assumptions!$C$66/([2]Assumptions!$C$10*0.001) /10^9</f>
        <v>7.0467210554425748</v>
      </c>
      <c r="L115" s="50">
        <f>[2]Assumptions!$C$69</f>
        <v>4</v>
      </c>
      <c r="M115" s="39"/>
      <c r="N115" s="39"/>
      <c r="O115" s="44">
        <f>N115*Assumptions!$C$97/(Assumptions!$G$12*0.001) /10^9*M115/100</f>
        <v>0</v>
      </c>
      <c r="P115" s="48"/>
      <c r="Q115" s="42">
        <f t="shared" si="9"/>
        <v>79.35239695471833</v>
      </c>
      <c r="S115" s="29" t="str">
        <f t="shared" si="10"/>
        <v>(250,67,80,100,0,0)</v>
      </c>
    </row>
    <row r="116" spans="2:19">
      <c r="B116" s="38">
        <v>12</v>
      </c>
      <c r="C116" s="39">
        <v>250</v>
      </c>
      <c r="D116" s="39">
        <v>67</v>
      </c>
      <c r="E116" s="37">
        <v>90</v>
      </c>
      <c r="F116" s="39">
        <v>100</v>
      </c>
      <c r="G116" s="40">
        <f>B116*[2]Assumptions!$C$19*365*24*[2]Assumptions!$D$26*1000/([2]Assumptions!$C$10*0.001) /10^9</f>
        <v>12.833780869565217</v>
      </c>
      <c r="H116" s="40">
        <f>C116*[2]Assumptions!$C$20*365*24*[2]Assumptions!$D$30*1000/([2]Assumptions!$C$10*0.001) /10^9</f>
        <v>43.86534406777713</v>
      </c>
      <c r="I116" s="40">
        <f>E116*[2]Assumptions!$C$47/([2]Assumptions!$C$10*0.001) /10^9</f>
        <v>6.7151106528335136</v>
      </c>
      <c r="J116" s="40">
        <f>D116*[2]Assumptions!$C$57/([2]Assumptions!$C$10*0.001) /10^9</f>
        <v>5.6375637149702857</v>
      </c>
      <c r="K116" s="40">
        <f>F116*[2]Assumptions!$C$66/([2]Assumptions!$C$10*0.001) /10^9</f>
        <v>7.0467210554425748</v>
      </c>
      <c r="L116" s="50">
        <f>[2]Assumptions!$C$69</f>
        <v>4</v>
      </c>
      <c r="M116" s="39"/>
      <c r="N116" s="39"/>
      <c r="O116" s="44">
        <f>N116*Assumptions!$C$97/(Assumptions!$G$12*0.001) /10^9*M116/100</f>
        <v>0</v>
      </c>
      <c r="P116" s="48"/>
      <c r="Q116" s="42">
        <f t="shared" si="9"/>
        <v>80.098520360588722</v>
      </c>
      <c r="S116" s="29" t="str">
        <f t="shared" si="10"/>
        <v>(250,67,90,100,0,0)</v>
      </c>
    </row>
    <row r="117" spans="2:19">
      <c r="B117" s="38">
        <v>12</v>
      </c>
      <c r="C117" s="39">
        <v>250</v>
      </c>
      <c r="D117" s="39">
        <v>67</v>
      </c>
      <c r="E117" s="37">
        <v>100</v>
      </c>
      <c r="F117" s="39">
        <v>100</v>
      </c>
      <c r="G117" s="40">
        <f>B117*[2]Assumptions!$C$19*365*24*[2]Assumptions!$D$26*1000/([2]Assumptions!$C$10*0.001) /10^9</f>
        <v>12.833780869565217</v>
      </c>
      <c r="H117" s="40">
        <f>C117*[2]Assumptions!$C$20*365*24*[2]Assumptions!$D$30*1000/([2]Assumptions!$C$10*0.001) /10^9</f>
        <v>43.86534406777713</v>
      </c>
      <c r="I117" s="40">
        <f>E117*[2]Assumptions!$C$47/([2]Assumptions!$C$10*0.001) /10^9</f>
        <v>7.4612340587039032</v>
      </c>
      <c r="J117" s="40">
        <f>D117*[2]Assumptions!$C$57/([2]Assumptions!$C$10*0.001) /10^9</f>
        <v>5.6375637149702857</v>
      </c>
      <c r="K117" s="40">
        <f>F117*[2]Assumptions!$C$66/([2]Assumptions!$C$10*0.001) /10^9</f>
        <v>7.0467210554425748</v>
      </c>
      <c r="L117" s="50">
        <f>[2]Assumptions!$C$69</f>
        <v>4</v>
      </c>
      <c r="M117" s="39"/>
      <c r="N117" s="39"/>
      <c r="O117" s="44">
        <f>N117*Assumptions!$C$97/(Assumptions!$G$12*0.001) /10^9*M117/100</f>
        <v>0</v>
      </c>
      <c r="P117" s="48"/>
      <c r="Q117" s="42">
        <f t="shared" si="9"/>
        <v>80.844643766459114</v>
      </c>
      <c r="S117" s="29" t="str">
        <f t="shared" si="10"/>
        <v>(250,67,100,100,0,0)</v>
      </c>
    </row>
    <row r="118" spans="2:19">
      <c r="B118" s="38">
        <v>12</v>
      </c>
      <c r="C118" s="39">
        <v>260</v>
      </c>
      <c r="D118" s="39">
        <v>81</v>
      </c>
      <c r="E118" s="37">
        <v>30</v>
      </c>
      <c r="F118" s="39">
        <v>100</v>
      </c>
      <c r="G118" s="40">
        <f>B118*[2]Assumptions!$C$19*365*24*[2]Assumptions!$D$26*1000/([2]Assumptions!$C$10*0.001) /10^9</f>
        <v>12.833780869565217</v>
      </c>
      <c r="H118" s="40">
        <f>C118*[2]Assumptions!$C$20*365*24*[2]Assumptions!$D$30*1000/([2]Assumptions!$C$10*0.001) /10^9</f>
        <v>45.619957830488204</v>
      </c>
      <c r="I118" s="40">
        <f>E118*[2]Assumptions!$C$47/([2]Assumptions!$C$10*0.001) /10^9</f>
        <v>2.2383702176111711</v>
      </c>
      <c r="J118" s="40">
        <f>D118*[2]Assumptions!$C$57/([2]Assumptions!$C$10*0.001) /10^9</f>
        <v>6.8155621031730309</v>
      </c>
      <c r="K118" s="40">
        <f>F118*[2]Assumptions!$C$66/([2]Assumptions!$C$10*0.001) /10^9</f>
        <v>7.0467210554425748</v>
      </c>
      <c r="L118" s="50">
        <f>[2]Assumptions!$C$69</f>
        <v>4</v>
      </c>
      <c r="M118" s="39"/>
      <c r="N118" s="39"/>
      <c r="O118" s="44">
        <f>N118*Assumptions!$C$97/(Assumptions!$G$12*0.001) /10^9*M118/100</f>
        <v>0</v>
      </c>
      <c r="P118" s="48"/>
      <c r="Q118" s="42">
        <f t="shared" si="9"/>
        <v>78.554392076280195</v>
      </c>
      <c r="S118" s="29" t="str">
        <f t="shared" si="10"/>
        <v>(260,81,30,100,0,0)</v>
      </c>
    </row>
    <row r="119" spans="2:19">
      <c r="B119" s="38">
        <v>12</v>
      </c>
      <c r="C119" s="39">
        <v>260</v>
      </c>
      <c r="D119" s="39">
        <v>63</v>
      </c>
      <c r="E119" s="37">
        <v>40</v>
      </c>
      <c r="F119" s="39">
        <v>100</v>
      </c>
      <c r="G119" s="40">
        <f>B119*[2]Assumptions!$C$19*365*24*[2]Assumptions!$D$26*1000/([2]Assumptions!$C$10*0.001) /10^9</f>
        <v>12.833780869565217</v>
      </c>
      <c r="H119" s="40">
        <f>C119*[2]Assumptions!$C$20*365*24*[2]Assumptions!$D$30*1000/([2]Assumptions!$C$10*0.001) /10^9</f>
        <v>45.619957830488204</v>
      </c>
      <c r="I119" s="40">
        <f>E119*[2]Assumptions!$C$47/([2]Assumptions!$C$10*0.001) /10^9</f>
        <v>2.9844936234815616</v>
      </c>
      <c r="J119" s="40">
        <f>D119*[2]Assumptions!$C$57/([2]Assumptions!$C$10*0.001) /10^9</f>
        <v>5.3009927469123577</v>
      </c>
      <c r="K119" s="40">
        <f>F119*[2]Assumptions!$C$66/([2]Assumptions!$C$10*0.001) /10^9</f>
        <v>7.0467210554425748</v>
      </c>
      <c r="L119" s="50">
        <f>[2]Assumptions!$C$69</f>
        <v>4</v>
      </c>
      <c r="M119" s="39"/>
      <c r="N119" s="39"/>
      <c r="O119" s="44">
        <f>N119*Assumptions!$C$97/(Assumptions!$G$12*0.001) /10^9*M119/100</f>
        <v>0</v>
      </c>
      <c r="P119" s="48"/>
      <c r="Q119" s="42">
        <f t="shared" si="9"/>
        <v>77.785946125889922</v>
      </c>
      <c r="S119" s="29" t="str">
        <f t="shared" si="10"/>
        <v>(260,63,40,100,0,0)</v>
      </c>
    </row>
    <row r="120" spans="2:19">
      <c r="B120" s="38">
        <v>12</v>
      </c>
      <c r="C120" s="39">
        <v>260</v>
      </c>
      <c r="D120" s="39">
        <v>60</v>
      </c>
      <c r="E120" s="37">
        <v>50</v>
      </c>
      <c r="F120" s="39">
        <v>100</v>
      </c>
      <c r="G120" s="40">
        <f>B120*[2]Assumptions!$C$19*365*24*[2]Assumptions!$D$26*1000/([2]Assumptions!$C$10*0.001) /10^9</f>
        <v>12.833780869565217</v>
      </c>
      <c r="H120" s="40">
        <f>C120*[2]Assumptions!$C$20*365*24*[2]Assumptions!$D$30*1000/([2]Assumptions!$C$10*0.001) /10^9</f>
        <v>45.619957830488204</v>
      </c>
      <c r="I120" s="40">
        <f>E120*[2]Assumptions!$C$47/([2]Assumptions!$C$10*0.001) /10^9</f>
        <v>3.7306170293519516</v>
      </c>
      <c r="J120" s="40">
        <f>D120*[2]Assumptions!$C$57/([2]Assumptions!$C$10*0.001) /10^9</f>
        <v>5.0485645208689114</v>
      </c>
      <c r="K120" s="40">
        <f>F120*[2]Assumptions!$C$66/([2]Assumptions!$C$10*0.001) /10^9</f>
        <v>7.0467210554425748</v>
      </c>
      <c r="L120" s="50">
        <f>[2]Assumptions!$C$69</f>
        <v>4</v>
      </c>
      <c r="M120" s="39"/>
      <c r="N120" s="39"/>
      <c r="O120" s="44">
        <f>N120*Assumptions!$C$97/(Assumptions!$G$12*0.001) /10^9*M120/100</f>
        <v>0</v>
      </c>
      <c r="P120" s="48"/>
      <c r="Q120" s="42">
        <f t="shared" si="9"/>
        <v>78.279641305716865</v>
      </c>
      <c r="S120" s="29" t="str">
        <f t="shared" si="10"/>
        <v>(260,60,50,100,0,0)</v>
      </c>
    </row>
    <row r="121" spans="2:19">
      <c r="B121" s="38">
        <v>12</v>
      </c>
      <c r="C121" s="39">
        <v>260</v>
      </c>
      <c r="D121" s="39">
        <v>58</v>
      </c>
      <c r="E121" s="37">
        <v>60</v>
      </c>
      <c r="F121" s="39">
        <v>100</v>
      </c>
      <c r="G121" s="40">
        <f>B121*[2]Assumptions!$C$19*365*24*[2]Assumptions!$D$26*1000/([2]Assumptions!$C$10*0.001) /10^9</f>
        <v>12.833780869565217</v>
      </c>
      <c r="H121" s="40">
        <f>C121*[2]Assumptions!$C$20*365*24*[2]Assumptions!$D$30*1000/([2]Assumptions!$C$10*0.001) /10^9</f>
        <v>45.619957830488204</v>
      </c>
      <c r="I121" s="40">
        <f>E121*[2]Assumptions!$C$47/([2]Assumptions!$C$10*0.001) /10^9</f>
        <v>4.4767404352223421</v>
      </c>
      <c r="J121" s="40">
        <f>D121*[2]Assumptions!$C$57/([2]Assumptions!$C$10*0.001) /10^9</f>
        <v>4.8802790368399478</v>
      </c>
      <c r="K121" s="40">
        <f>F121*[2]Assumptions!$C$66/([2]Assumptions!$C$10*0.001) /10^9</f>
        <v>7.0467210554425748</v>
      </c>
      <c r="L121" s="50">
        <f>[2]Assumptions!$C$69</f>
        <v>4</v>
      </c>
      <c r="M121" s="39"/>
      <c r="N121" s="39"/>
      <c r="O121" s="44">
        <f>N121*Assumptions!$C$97/(Assumptions!$G$12*0.001) /10^9*M121/100</f>
        <v>0</v>
      </c>
      <c r="P121" s="48"/>
      <c r="Q121" s="42">
        <f t="shared" si="9"/>
        <v>78.857479227558287</v>
      </c>
      <c r="S121" s="29" t="str">
        <f t="shared" si="10"/>
        <v>(260,58,60,100,0,0)</v>
      </c>
    </row>
    <row r="122" spans="2:19">
      <c r="B122" s="38">
        <v>12</v>
      </c>
      <c r="C122" s="39">
        <v>260</v>
      </c>
      <c r="D122" s="39">
        <v>57</v>
      </c>
      <c r="E122" s="37">
        <v>70</v>
      </c>
      <c r="F122" s="39">
        <v>100</v>
      </c>
      <c r="G122" s="40">
        <f>B122*[2]Assumptions!$C$19*365*24*[2]Assumptions!$D$26*1000/([2]Assumptions!$C$10*0.001) /10^9</f>
        <v>12.833780869565217</v>
      </c>
      <c r="H122" s="40">
        <f>C122*[2]Assumptions!$C$20*365*24*[2]Assumptions!$D$30*1000/([2]Assumptions!$C$10*0.001) /10^9</f>
        <v>45.619957830488204</v>
      </c>
      <c r="I122" s="40">
        <f>E122*[2]Assumptions!$C$47/([2]Assumptions!$C$10*0.001) /10^9</f>
        <v>5.2228638410927326</v>
      </c>
      <c r="J122" s="40">
        <f>D122*[2]Assumptions!$C$57/([2]Assumptions!$C$10*0.001) /10^9</f>
        <v>4.796136294825466</v>
      </c>
      <c r="K122" s="40">
        <f>F122*[2]Assumptions!$C$66/([2]Assumptions!$C$10*0.001) /10^9</f>
        <v>7.0467210554425748</v>
      </c>
      <c r="L122" s="50">
        <f>[2]Assumptions!$C$69</f>
        <v>4</v>
      </c>
      <c r="M122" s="39"/>
      <c r="N122" s="39"/>
      <c r="O122" s="44">
        <f>N122*Assumptions!$C$97/(Assumptions!$G$12*0.001) /10^9*M122/100</f>
        <v>0</v>
      </c>
      <c r="P122" s="48"/>
      <c r="Q122" s="42">
        <f t="shared" si="9"/>
        <v>79.519459891414201</v>
      </c>
      <c r="S122" s="29" t="str">
        <f t="shared" si="10"/>
        <v>(260,57,70,100,0,0)</v>
      </c>
    </row>
    <row r="123" spans="2:19">
      <c r="B123" s="38">
        <v>12</v>
      </c>
      <c r="C123" s="39">
        <v>260</v>
      </c>
      <c r="D123" s="39">
        <v>56</v>
      </c>
      <c r="E123" s="37">
        <v>80</v>
      </c>
      <c r="F123" s="39">
        <v>100</v>
      </c>
      <c r="G123" s="40">
        <f>B123*[2]Assumptions!$C$19*365*24*[2]Assumptions!$D$26*1000/([2]Assumptions!$C$10*0.001) /10^9</f>
        <v>12.833780869565217</v>
      </c>
      <c r="H123" s="40">
        <f>C123*[2]Assumptions!$C$20*365*24*[2]Assumptions!$D$30*1000/([2]Assumptions!$C$10*0.001) /10^9</f>
        <v>45.619957830488204</v>
      </c>
      <c r="I123" s="40">
        <f>E123*[2]Assumptions!$C$47/([2]Assumptions!$C$10*0.001) /10^9</f>
        <v>5.9689872469631231</v>
      </c>
      <c r="J123" s="40">
        <f>D123*[2]Assumptions!$C$57/([2]Assumptions!$C$10*0.001) /10^9</f>
        <v>4.7119935528109842</v>
      </c>
      <c r="K123" s="40">
        <f>F123*[2]Assumptions!$C$66/([2]Assumptions!$C$10*0.001) /10^9</f>
        <v>7.0467210554425748</v>
      </c>
      <c r="L123" s="50">
        <f>[2]Assumptions!$C$69</f>
        <v>4</v>
      </c>
      <c r="M123" s="39"/>
      <c r="N123" s="39"/>
      <c r="O123" s="44">
        <f>N123*Assumptions!$C$97/(Assumptions!$G$12*0.001) /10^9*M123/100</f>
        <v>0</v>
      </c>
      <c r="P123" s="48"/>
      <c r="Q123" s="42">
        <f t="shared" si="9"/>
        <v>80.1814405552701</v>
      </c>
      <c r="S123" s="29" t="str">
        <f t="shared" si="10"/>
        <v>(260,56,80,100,0,0)</v>
      </c>
    </row>
    <row r="124" spans="2:19">
      <c r="B124" s="38">
        <v>12</v>
      </c>
      <c r="C124" s="39">
        <v>260</v>
      </c>
      <c r="D124" s="39">
        <v>55</v>
      </c>
      <c r="E124" s="37">
        <v>90</v>
      </c>
      <c r="F124" s="39">
        <v>100</v>
      </c>
      <c r="G124" s="40">
        <f>B124*[2]Assumptions!$C$19*365*24*[2]Assumptions!$D$26*1000/([2]Assumptions!$C$10*0.001) /10^9</f>
        <v>12.833780869565217</v>
      </c>
      <c r="H124" s="40">
        <f>C124*[2]Assumptions!$C$20*365*24*[2]Assumptions!$D$30*1000/([2]Assumptions!$C$10*0.001) /10^9</f>
        <v>45.619957830488204</v>
      </c>
      <c r="I124" s="40">
        <f>E124*[2]Assumptions!$C$47/([2]Assumptions!$C$10*0.001) /10^9</f>
        <v>6.7151106528335136</v>
      </c>
      <c r="J124" s="40">
        <f>D124*[2]Assumptions!$C$57/([2]Assumptions!$C$10*0.001) /10^9</f>
        <v>4.6278508107965024</v>
      </c>
      <c r="K124" s="40">
        <f>F124*[2]Assumptions!$C$66/([2]Assumptions!$C$10*0.001) /10^9</f>
        <v>7.0467210554425748</v>
      </c>
      <c r="L124" s="50">
        <f>[2]Assumptions!$C$69</f>
        <v>4</v>
      </c>
      <c r="M124" s="39"/>
      <c r="N124" s="39"/>
      <c r="O124" s="44">
        <f>N124*Assumptions!$C$97/(Assumptions!$G$12*0.001) /10^9*M124/100</f>
        <v>0</v>
      </c>
      <c r="P124" s="48"/>
      <c r="Q124" s="42">
        <f t="shared" si="9"/>
        <v>80.843421219126014</v>
      </c>
      <c r="S124" s="29" t="str">
        <f t="shared" si="10"/>
        <v>(260,55,90,100,0,0)</v>
      </c>
    </row>
    <row r="125" spans="2:19">
      <c r="B125" s="38">
        <v>12</v>
      </c>
      <c r="C125" s="39">
        <v>260</v>
      </c>
      <c r="D125" s="39">
        <v>55</v>
      </c>
      <c r="E125" s="37">
        <v>100</v>
      </c>
      <c r="F125" s="39">
        <v>100</v>
      </c>
      <c r="G125" s="40">
        <f>B125*[2]Assumptions!$C$19*365*24*[2]Assumptions!$D$26*1000/([2]Assumptions!$C$10*0.001) /10^9</f>
        <v>12.833780869565217</v>
      </c>
      <c r="H125" s="40">
        <f>C125*[2]Assumptions!$C$20*365*24*[2]Assumptions!$D$30*1000/([2]Assumptions!$C$10*0.001) /10^9</f>
        <v>45.619957830488204</v>
      </c>
      <c r="I125" s="40">
        <f>E125*[2]Assumptions!$C$47/([2]Assumptions!$C$10*0.001) /10^9</f>
        <v>7.4612340587039032</v>
      </c>
      <c r="J125" s="40">
        <f>D125*[2]Assumptions!$C$57/([2]Assumptions!$C$10*0.001) /10^9</f>
        <v>4.6278508107965024</v>
      </c>
      <c r="K125" s="40">
        <f>F125*[2]Assumptions!$C$66/([2]Assumptions!$C$10*0.001) /10^9</f>
        <v>7.0467210554425748</v>
      </c>
      <c r="L125" s="50">
        <f>[2]Assumptions!$C$69</f>
        <v>4</v>
      </c>
      <c r="M125" s="39"/>
      <c r="N125" s="39"/>
      <c r="O125" s="44">
        <f>N125*Assumptions!$C$97/(Assumptions!$G$12*0.001) /10^9*M125/100</f>
        <v>0</v>
      </c>
      <c r="P125" s="48"/>
      <c r="Q125" s="42">
        <f t="shared" si="9"/>
        <v>81.589544624996407</v>
      </c>
      <c r="S125" s="29" t="str">
        <f t="shared" si="10"/>
        <v>(260,55,100,100,0,0)</v>
      </c>
    </row>
    <row r="126" spans="2:19">
      <c r="B126" s="4">
        <v>12</v>
      </c>
      <c r="C126" s="39">
        <v>240</v>
      </c>
      <c r="D126" s="39">
        <v>114</v>
      </c>
      <c r="E126" s="37">
        <v>40</v>
      </c>
      <c r="F126" s="39">
        <v>100</v>
      </c>
      <c r="G126" s="40">
        <f>B126*Assumptions!$C$19*365*24*Assumptions!$D$26*1000/(Assumptions!$C$10*0.001) /10^9</f>
        <v>12.833780869565217</v>
      </c>
      <c r="H126" s="40">
        <f>C126*Assumptions!$C$20*365*24*Assumptions!$D$30*1000/(Assumptions!$C$10*0.001) /10^9</f>
        <v>42.110730305066035</v>
      </c>
      <c r="I126" s="40">
        <f>E126*Assumptions!$C$47/(Assumptions!$C$10*0.001) /10^9</f>
        <v>2.9844936234815616</v>
      </c>
      <c r="J126" s="40">
        <f>D126*Assumptions!$C$57/(Assumptions!$C$10*0.001) /10^9</f>
        <v>9.592272589650932</v>
      </c>
      <c r="K126" s="40">
        <f>F126*Assumptions!$C$66/(Assumptions!$C$10*0.001) /10^9</f>
        <v>7.0467210554425748</v>
      </c>
      <c r="L126" s="47">
        <f>4</f>
        <v>4</v>
      </c>
      <c r="M126" s="39">
        <v>5.62</v>
      </c>
      <c r="N126" s="39">
        <v>41</v>
      </c>
      <c r="O126" s="44">
        <f>N126*Assumptions!$C$98/(Assumptions!$G$10*0.001) /10^9*M126/100</f>
        <v>2.0886824662855754</v>
      </c>
      <c r="P126" s="48">
        <f>Assumptions!$C$114*Assumptions!$C$113/(Assumptions!$G$10*0.001) /10^9</f>
        <v>0.74469814087879027</v>
      </c>
      <c r="Q126" s="42">
        <f t="shared" ref="Q126:Q148" si="11">SUM(G126:L126)+O126+P126</f>
        <v>81.401379050370693</v>
      </c>
      <c r="S126" s="29" t="str">
        <f t="shared" si="10"/>
        <v>(240,114,40,100,41,0.06)</v>
      </c>
    </row>
    <row r="127" spans="2:19">
      <c r="B127" s="4">
        <v>12</v>
      </c>
      <c r="C127" s="39">
        <v>240</v>
      </c>
      <c r="D127" s="39">
        <v>99</v>
      </c>
      <c r="E127" s="37">
        <v>50</v>
      </c>
      <c r="F127" s="39">
        <v>100</v>
      </c>
      <c r="G127" s="40">
        <f>B127*Assumptions!$C$19*365*24*Assumptions!$D$26*1000/(Assumptions!$C$10*0.001) /10^9</f>
        <v>12.833780869565217</v>
      </c>
      <c r="H127" s="40">
        <f>C127*Assumptions!$C$20*365*24*Assumptions!$D$30*1000/(Assumptions!$C$10*0.001) /10^9</f>
        <v>42.110730305066035</v>
      </c>
      <c r="I127" s="40">
        <f>E127*Assumptions!$C$47/(Assumptions!$C$10*0.001) /10^9</f>
        <v>3.7306170293519516</v>
      </c>
      <c r="J127" s="40">
        <f>D127*Assumptions!$C$57/(Assumptions!$C$10*0.001) /10^9</f>
        <v>8.330131459433705</v>
      </c>
      <c r="K127" s="40">
        <f>F127*Assumptions!$C$66/(Assumptions!$C$10*0.001) /10^9</f>
        <v>7.0467210554425748</v>
      </c>
      <c r="L127" s="47">
        <f>4</f>
        <v>4</v>
      </c>
      <c r="M127" s="39">
        <v>11.44</v>
      </c>
      <c r="N127" s="39">
        <v>18</v>
      </c>
      <c r="O127" s="44">
        <f>N127*Assumptions!$C$98/(Assumptions!$G$10*0.001) /10^9*M127/100</f>
        <v>1.8665979231730134</v>
      </c>
      <c r="P127" s="48">
        <f>Assumptions!$C$114*Assumptions!$C$113/(Assumptions!$G$10*0.001) /10^9</f>
        <v>0.74469814087879027</v>
      </c>
      <c r="Q127" s="42">
        <f t="shared" si="11"/>
        <v>80.663276782911296</v>
      </c>
      <c r="S127" s="29" t="str">
        <f t="shared" si="10"/>
        <v>(240,99,50,100,18,0.11)</v>
      </c>
    </row>
    <row r="128" spans="2:19">
      <c r="B128" s="4">
        <v>12</v>
      </c>
      <c r="C128" s="39">
        <v>240</v>
      </c>
      <c r="D128" s="39">
        <v>91</v>
      </c>
      <c r="E128" s="37">
        <v>60</v>
      </c>
      <c r="F128" s="39">
        <v>100</v>
      </c>
      <c r="G128" s="40">
        <f>B128*Assumptions!$C$19*365*24*Assumptions!$D$26*1000/(Assumptions!$C$10*0.001) /10^9</f>
        <v>12.833780869565217</v>
      </c>
      <c r="H128" s="40">
        <f>C128*Assumptions!$C$20*365*24*Assumptions!$D$30*1000/(Assumptions!$C$10*0.001) /10^9</f>
        <v>42.110730305066035</v>
      </c>
      <c r="I128" s="40">
        <f>E128*Assumptions!$C$47/(Assumptions!$C$10*0.001) /10^9</f>
        <v>4.4767404352223421</v>
      </c>
      <c r="J128" s="40">
        <f>D128*Assumptions!$C$57/(Assumptions!$C$10*0.001) /10^9</f>
        <v>7.6569895233178498</v>
      </c>
      <c r="K128" s="40">
        <f>F128*Assumptions!$C$66/(Assumptions!$C$10*0.001) /10^9</f>
        <v>7.0467210554425748</v>
      </c>
      <c r="L128" s="47">
        <f>4</f>
        <v>4</v>
      </c>
      <c r="M128" s="39">
        <v>14.98</v>
      </c>
      <c r="N128" s="39">
        <v>14</v>
      </c>
      <c r="O128" s="44">
        <f>N128*Assumptions!$C$98/(Assumptions!$G$10*0.001) /10^9*M128/100</f>
        <v>1.9010436890435332</v>
      </c>
      <c r="P128" s="48">
        <f>Assumptions!$C$114*Assumptions!$C$113/(Assumptions!$G$10*0.001) /10^9</f>
        <v>0.74469814087879027</v>
      </c>
      <c r="Q128" s="42">
        <f t="shared" si="11"/>
        <v>80.77070401853635</v>
      </c>
      <c r="S128" s="29" t="str">
        <f t="shared" si="10"/>
        <v>(240,91,60,100,14,0.15)</v>
      </c>
    </row>
    <row r="129" spans="2:19">
      <c r="B129" s="4">
        <v>12</v>
      </c>
      <c r="C129" s="39">
        <v>240</v>
      </c>
      <c r="D129" s="39">
        <v>85</v>
      </c>
      <c r="E129" s="37">
        <v>70</v>
      </c>
      <c r="F129" s="39">
        <v>100</v>
      </c>
      <c r="G129" s="40">
        <f>B129*Assumptions!$C$19*365*24*Assumptions!$D$26*1000/(Assumptions!$C$10*0.001) /10^9</f>
        <v>12.833780869565217</v>
      </c>
      <c r="H129" s="40">
        <f>C129*Assumptions!$C$20*365*24*Assumptions!$D$30*1000/(Assumptions!$C$10*0.001) /10^9</f>
        <v>42.110730305066035</v>
      </c>
      <c r="I129" s="40">
        <f>E129*Assumptions!$C$47/(Assumptions!$C$10*0.001) /10^9</f>
        <v>5.2228638410927326</v>
      </c>
      <c r="J129" s="40">
        <f>D129*Assumptions!$C$57/(Assumptions!$C$10*0.001) /10^9</f>
        <v>7.152133071230959</v>
      </c>
      <c r="K129" s="40">
        <f>F129*Assumptions!$C$66/(Assumptions!$C$10*0.001) /10^9</f>
        <v>7.0467210554425748</v>
      </c>
      <c r="L129" s="47">
        <f>4</f>
        <v>4</v>
      </c>
      <c r="M129" s="39">
        <v>16.829999999999998</v>
      </c>
      <c r="N129" s="39">
        <v>12</v>
      </c>
      <c r="O129" s="44">
        <f>N129*Assumptions!$C$98/(Assumptions!$G$10*0.001) /10^9*M129/100</f>
        <v>1.8307018092658398</v>
      </c>
      <c r="P129" s="48">
        <f>Assumptions!$C$114*Assumptions!$C$113/(Assumptions!$G$10*0.001) /10^9</f>
        <v>0.74469814087879027</v>
      </c>
      <c r="Q129" s="42">
        <f t="shared" si="11"/>
        <v>80.941629092542158</v>
      </c>
      <c r="S129" s="29" t="str">
        <f t="shared" si="10"/>
        <v>(240,85,70,100,12,0.17)</v>
      </c>
    </row>
    <row r="130" spans="2:19">
      <c r="B130" s="4">
        <v>12</v>
      </c>
      <c r="C130" s="39">
        <v>240</v>
      </c>
      <c r="D130" s="39">
        <v>81</v>
      </c>
      <c r="E130" s="37">
        <v>80</v>
      </c>
      <c r="F130" s="39">
        <v>100</v>
      </c>
      <c r="G130" s="40">
        <f>B130*Assumptions!$C$19*365*24*Assumptions!$D$26*1000/(Assumptions!$C$10*0.001) /10^9</f>
        <v>12.833780869565217</v>
      </c>
      <c r="H130" s="40">
        <f>C130*Assumptions!$C$20*365*24*Assumptions!$D$30*1000/(Assumptions!$C$10*0.001) /10^9</f>
        <v>42.110730305066035</v>
      </c>
      <c r="I130" s="40">
        <f>E130*Assumptions!$C$47/(Assumptions!$C$10*0.001) /10^9</f>
        <v>5.9689872469631231</v>
      </c>
      <c r="J130" s="40">
        <f>D130*Assumptions!$C$57/(Assumptions!$C$10*0.001) /10^9</f>
        <v>6.8155621031730309</v>
      </c>
      <c r="K130" s="40">
        <f>F130*Assumptions!$C$66/(Assumptions!$C$10*0.001) /10^9</f>
        <v>7.0467210554425748</v>
      </c>
      <c r="L130" s="47">
        <f>4</f>
        <v>4</v>
      </c>
      <c r="M130" s="39">
        <v>17.87</v>
      </c>
      <c r="N130" s="39">
        <v>11</v>
      </c>
      <c r="O130" s="44">
        <f>N130*Assumptions!$C$98/(Assumptions!$G$10*0.001) /10^9*M130/100</f>
        <v>1.7818432097810761</v>
      </c>
      <c r="P130" s="48">
        <f>Assumptions!$C$114*Assumptions!$C$113/(Assumptions!$G$10*0.001) /10^9</f>
        <v>0.74469814087879027</v>
      </c>
      <c r="Q130" s="42">
        <f t="shared" si="11"/>
        <v>81.302322930869849</v>
      </c>
      <c r="S130" s="29" t="str">
        <f t="shared" si="10"/>
        <v>(240,81,80,100,11,0.18)</v>
      </c>
    </row>
    <row r="131" spans="2:19">
      <c r="B131" s="4">
        <v>12</v>
      </c>
      <c r="C131" s="39">
        <v>240</v>
      </c>
      <c r="D131" s="39">
        <v>79</v>
      </c>
      <c r="E131" s="37">
        <v>90</v>
      </c>
      <c r="F131" s="39">
        <v>100</v>
      </c>
      <c r="G131" s="40">
        <f>B131*Assumptions!$C$19*365*24*Assumptions!$D$26*1000/(Assumptions!$C$10*0.001) /10^9</f>
        <v>12.833780869565217</v>
      </c>
      <c r="H131" s="40">
        <f>C131*Assumptions!$C$20*365*24*Assumptions!$D$30*1000/(Assumptions!$C$10*0.001) /10^9</f>
        <v>42.110730305066035</v>
      </c>
      <c r="I131" s="40">
        <f>E131*Assumptions!$C$47/(Assumptions!$C$10*0.001) /10^9</f>
        <v>6.7151106528335136</v>
      </c>
      <c r="J131" s="40">
        <f>D131*Assumptions!$C$57/(Assumptions!$C$10*0.001) /10^9</f>
        <v>6.6472766191440682</v>
      </c>
      <c r="K131" s="40">
        <f>F131*Assumptions!$C$66/(Assumptions!$C$10*0.001) /10^9</f>
        <v>7.0467210554425748</v>
      </c>
      <c r="L131" s="47">
        <f>4</f>
        <v>4</v>
      </c>
      <c r="M131" s="39">
        <v>18.489999999999998</v>
      </c>
      <c r="N131" s="39">
        <v>11</v>
      </c>
      <c r="O131" s="44">
        <f>N131*Assumptions!$C$98/(Assumptions!$G$10*0.001) /10^9*M131/100</f>
        <v>1.8436642948434301</v>
      </c>
      <c r="P131" s="48">
        <f>Assumptions!$C$114*Assumptions!$C$113/(Assumptions!$G$10*0.001) /10^9</f>
        <v>0.74469814087879027</v>
      </c>
      <c r="Q131" s="42">
        <f t="shared" si="11"/>
        <v>81.941981937773647</v>
      </c>
      <c r="S131" s="29" t="str">
        <f t="shared" si="10"/>
        <v>(240,79,90,100,11,0.18)</v>
      </c>
    </row>
    <row r="132" spans="2:19">
      <c r="B132" s="4">
        <v>12</v>
      </c>
      <c r="C132" s="39">
        <v>240</v>
      </c>
      <c r="D132" s="39">
        <v>79</v>
      </c>
      <c r="E132" s="37">
        <v>100</v>
      </c>
      <c r="F132" s="39">
        <v>100</v>
      </c>
      <c r="G132" s="40">
        <f>B132*Assumptions!$C$19*365*24*Assumptions!$D$26*1000/(Assumptions!$C$10*0.001) /10^9</f>
        <v>12.833780869565217</v>
      </c>
      <c r="H132" s="40">
        <f>C132*Assumptions!$C$20*365*24*Assumptions!$D$30*1000/(Assumptions!$C$10*0.001) /10^9</f>
        <v>42.110730305066035</v>
      </c>
      <c r="I132" s="40">
        <f>E132*Assumptions!$C$47/(Assumptions!$C$10*0.001) /10^9</f>
        <v>7.4612340587039032</v>
      </c>
      <c r="J132" s="40">
        <f>D132*Assumptions!$C$57/(Assumptions!$C$10*0.001) /10^9</f>
        <v>6.6472766191440682</v>
      </c>
      <c r="K132" s="40">
        <f>F132*Assumptions!$C$66/(Assumptions!$C$10*0.001) /10^9</f>
        <v>7.0467210554425748</v>
      </c>
      <c r="L132" s="47">
        <f>4</f>
        <v>4</v>
      </c>
      <c r="M132" s="39">
        <v>18.73</v>
      </c>
      <c r="N132" s="39">
        <v>11</v>
      </c>
      <c r="O132" s="44">
        <f>N132*Assumptions!$C$98/(Assumptions!$G$10*0.001) /10^9*M132/100</f>
        <v>1.8675950374482124</v>
      </c>
      <c r="P132" s="48">
        <f>Assumptions!$C$114*Assumptions!$C$113/(Assumptions!$G$10*0.001) /10^9</f>
        <v>0.74469814087879027</v>
      </c>
      <c r="Q132" s="42">
        <f t="shared" si="11"/>
        <v>82.712036086248801</v>
      </c>
      <c r="S132" s="29" t="str">
        <f t="shared" si="10"/>
        <v>(240,79,100,100,11,0.19)</v>
      </c>
    </row>
    <row r="133" spans="2:19">
      <c r="B133" s="4">
        <v>12</v>
      </c>
      <c r="C133" s="39">
        <v>250</v>
      </c>
      <c r="D133" s="39">
        <v>111</v>
      </c>
      <c r="E133" s="37">
        <v>30</v>
      </c>
      <c r="F133" s="39">
        <v>100</v>
      </c>
      <c r="G133" s="40">
        <f>B133*Assumptions!$C$19*365*24*Assumptions!$D$26*1000/(Assumptions!$C$10*0.001) /10^9</f>
        <v>12.833780869565217</v>
      </c>
      <c r="H133" s="40">
        <f>C133*Assumptions!$C$20*365*24*Assumptions!$D$30*1000/(Assumptions!$C$10*0.001) /10^9</f>
        <v>43.86534406777713</v>
      </c>
      <c r="I133" s="40">
        <f>E133*Assumptions!$C$47/(Assumptions!$C$10*0.001) /10^9</f>
        <v>2.2383702176111711</v>
      </c>
      <c r="J133" s="40">
        <f>D133*Assumptions!$C$57/(Assumptions!$C$10*0.001) /10^9</f>
        <v>9.3398443636074866</v>
      </c>
      <c r="K133" s="40">
        <f>F133*Assumptions!$C$66/(Assumptions!$C$10*0.001) /10^9</f>
        <v>7.0467210554425748</v>
      </c>
      <c r="L133" s="47">
        <f>4</f>
        <v>4</v>
      </c>
      <c r="M133" s="39">
        <v>3.51</v>
      </c>
      <c r="N133" s="39">
        <v>91</v>
      </c>
      <c r="O133" s="44">
        <f>N133*Assumptions!$C$98/(Assumptions!$G$10*0.001) /10^9*M133/100</f>
        <v>2.8953479149217767</v>
      </c>
      <c r="P133" s="48">
        <f>Assumptions!$C$114*Assumptions!$C$113/(Assumptions!$G$10*0.001) /10^9</f>
        <v>0.74469814087879027</v>
      </c>
      <c r="Q133" s="42">
        <f t="shared" si="11"/>
        <v>82.964106629804149</v>
      </c>
      <c r="S133" s="29" t="str">
        <f t="shared" si="10"/>
        <v>(250,111,30,100,91,0.04)</v>
      </c>
    </row>
    <row r="134" spans="2:19">
      <c r="B134" s="4">
        <v>12</v>
      </c>
      <c r="C134" s="39">
        <v>250</v>
      </c>
      <c r="D134" s="39">
        <v>84</v>
      </c>
      <c r="E134" s="37">
        <v>40</v>
      </c>
      <c r="F134" s="39">
        <v>100</v>
      </c>
      <c r="G134" s="40">
        <f>B134*Assumptions!$C$19*365*24*Assumptions!$D$26*1000/(Assumptions!$C$10*0.001) /10^9</f>
        <v>12.833780869565217</v>
      </c>
      <c r="H134" s="40">
        <f>C134*Assumptions!$C$20*365*24*Assumptions!$D$30*1000/(Assumptions!$C$10*0.001) /10^9</f>
        <v>43.86534406777713</v>
      </c>
      <c r="I134" s="40">
        <f>E134*Assumptions!$C$47/(Assumptions!$C$10*0.001) /10^9</f>
        <v>2.9844936234815616</v>
      </c>
      <c r="J134" s="40">
        <f>D134*Assumptions!$C$57/(Assumptions!$C$10*0.001) /10^9</f>
        <v>7.0679903292164772</v>
      </c>
      <c r="K134" s="40">
        <f>F134*Assumptions!$C$66/(Assumptions!$C$10*0.001) /10^9</f>
        <v>7.0467210554425748</v>
      </c>
      <c r="L134" s="47">
        <f>4</f>
        <v>4</v>
      </c>
      <c r="M134" s="39">
        <v>13.49</v>
      </c>
      <c r="N134" s="39">
        <v>15</v>
      </c>
      <c r="O134" s="44">
        <f>N134*Assumptions!$C$98/(Assumptions!$G$10*0.001) /10^9*M134/100</f>
        <v>1.8342370326051829</v>
      </c>
      <c r="P134" s="48">
        <f>Assumptions!$C$114*Assumptions!$C$113/(Assumptions!$G$10*0.001) /10^9</f>
        <v>0.74469814087879027</v>
      </c>
      <c r="Q134" s="42">
        <f t="shared" si="11"/>
        <v>80.377265118966946</v>
      </c>
      <c r="S134" s="29" t="str">
        <f t="shared" si="10"/>
        <v>(250,84,40,100,15,0.13)</v>
      </c>
    </row>
    <row r="135" spans="2:19">
      <c r="B135" s="4">
        <v>12</v>
      </c>
      <c r="C135" s="39">
        <v>250</v>
      </c>
      <c r="D135" s="39">
        <v>71</v>
      </c>
      <c r="E135" s="37">
        <v>50</v>
      </c>
      <c r="F135" s="39">
        <v>100</v>
      </c>
      <c r="G135" s="40">
        <f>B135*Assumptions!$C$19*365*24*Assumptions!$D$26*1000/(Assumptions!$C$10*0.001) /10^9</f>
        <v>12.833780869565217</v>
      </c>
      <c r="H135" s="40">
        <f>C135*Assumptions!$C$20*365*24*Assumptions!$D$30*1000/(Assumptions!$C$10*0.001) /10^9</f>
        <v>43.86534406777713</v>
      </c>
      <c r="I135" s="40">
        <f>E135*Assumptions!$C$47/(Assumptions!$C$10*0.001) /10^9</f>
        <v>3.7306170293519516</v>
      </c>
      <c r="J135" s="40">
        <f>D135*Assumptions!$C$57/(Assumptions!$C$10*0.001) /10^9</f>
        <v>5.9741346830282129</v>
      </c>
      <c r="K135" s="40">
        <f>F135*Assumptions!$C$66/(Assumptions!$C$10*0.001) /10^9</f>
        <v>7.0467210554425748</v>
      </c>
      <c r="L135" s="47">
        <f>4</f>
        <v>4</v>
      </c>
      <c r="M135" s="39">
        <v>19.02</v>
      </c>
      <c r="N135" s="39">
        <v>11</v>
      </c>
      <c r="O135" s="44">
        <f>N135*Assumptions!$C$98/(Assumptions!$G$10*0.001) /10^9*M135/100</f>
        <v>1.8965113514289909</v>
      </c>
      <c r="P135" s="48">
        <f>Assumptions!$C$114*Assumptions!$C$113/(Assumptions!$G$10*0.001) /10^9</f>
        <v>0.74469814087879027</v>
      </c>
      <c r="Q135" s="42">
        <f t="shared" si="11"/>
        <v>80.091807197472875</v>
      </c>
      <c r="S135" s="29" t="str">
        <f t="shared" si="10"/>
        <v>(250,71,50,100,11,0.19)</v>
      </c>
    </row>
    <row r="136" spans="2:19">
      <c r="B136" s="4">
        <v>12</v>
      </c>
      <c r="C136" s="39">
        <v>250</v>
      </c>
      <c r="D136" s="39">
        <v>69</v>
      </c>
      <c r="E136" s="37">
        <v>60</v>
      </c>
      <c r="F136" s="39">
        <v>100</v>
      </c>
      <c r="G136" s="40">
        <f>B136*Assumptions!$C$19*365*24*Assumptions!$D$26*1000/(Assumptions!$C$10*0.001) /10^9</f>
        <v>12.833780869565217</v>
      </c>
      <c r="H136" s="40">
        <f>C136*Assumptions!$C$20*365*24*Assumptions!$D$30*1000/(Assumptions!$C$10*0.001) /10^9</f>
        <v>43.86534406777713</v>
      </c>
      <c r="I136" s="40">
        <f>E136*Assumptions!$C$47/(Assumptions!$C$10*0.001) /10^9</f>
        <v>4.4767404352223421</v>
      </c>
      <c r="J136" s="40">
        <f>D136*Assumptions!$C$57/(Assumptions!$C$10*0.001) /10^9</f>
        <v>5.8058491989992493</v>
      </c>
      <c r="K136" s="40">
        <f>F136*Assumptions!$C$66/(Assumptions!$C$10*0.001) /10^9</f>
        <v>7.0467210554425748</v>
      </c>
      <c r="L136" s="47">
        <f>4</f>
        <v>4</v>
      </c>
      <c r="M136" s="39">
        <v>22.2</v>
      </c>
      <c r="N136" s="39">
        <v>9</v>
      </c>
      <c r="O136" s="44">
        <f>N136*Assumptions!$C$98/(Assumptions!$G$10*0.001) /10^9*M136/100</f>
        <v>1.8111221107710185</v>
      </c>
      <c r="P136" s="48">
        <f>Assumptions!$C$114*Assumptions!$C$113/(Assumptions!$G$10*0.001) /10^9</f>
        <v>0.74469814087879027</v>
      </c>
      <c r="Q136" s="42">
        <f t="shared" si="11"/>
        <v>80.584255878656336</v>
      </c>
      <c r="S136" s="29" t="str">
        <f t="shared" si="10"/>
        <v>(250,69,60,100,9,0.22)</v>
      </c>
    </row>
    <row r="137" spans="2:19">
      <c r="B137" s="4">
        <v>12</v>
      </c>
      <c r="C137" s="39">
        <v>250</v>
      </c>
      <c r="D137" s="39">
        <v>68</v>
      </c>
      <c r="E137" s="37">
        <v>70</v>
      </c>
      <c r="F137" s="39">
        <v>100</v>
      </c>
      <c r="G137" s="40">
        <f>B137*Assumptions!$C$19*365*24*Assumptions!$D$26*1000/(Assumptions!$C$10*0.001) /10^9</f>
        <v>12.833780869565217</v>
      </c>
      <c r="H137" s="40">
        <f>C137*Assumptions!$C$20*365*24*Assumptions!$D$30*1000/(Assumptions!$C$10*0.001) /10^9</f>
        <v>43.86534406777713</v>
      </c>
      <c r="I137" s="40">
        <f>E137*Assumptions!$C$47/(Assumptions!$C$10*0.001) /10^9</f>
        <v>5.2228638410927326</v>
      </c>
      <c r="J137" s="40">
        <f>D137*Assumptions!$C$57/(Assumptions!$C$10*0.001) /10^9</f>
        <v>5.7217064569847667</v>
      </c>
      <c r="K137" s="40">
        <f>F137*Assumptions!$C$66/(Assumptions!$C$10*0.001) /10^9</f>
        <v>7.0467210554425748</v>
      </c>
      <c r="L137" s="47">
        <f>4</f>
        <v>4</v>
      </c>
      <c r="M137" s="39">
        <v>24.08</v>
      </c>
      <c r="N137" s="39">
        <v>8</v>
      </c>
      <c r="O137" s="44">
        <f>N137*Assumptions!$C$98/(Assumptions!$G$10*0.001) /10^9*M137/100</f>
        <v>1.7462190361307754</v>
      </c>
      <c r="P137" s="48">
        <f>Assumptions!$C$114*Assumptions!$C$113/(Assumptions!$G$10*0.001) /10^9</f>
        <v>0.74469814087879027</v>
      </c>
      <c r="Q137" s="42">
        <f t="shared" si="11"/>
        <v>81.181333467871994</v>
      </c>
      <c r="S137" s="29" t="str">
        <f t="shared" si="10"/>
        <v>(250,68,70,100,8,0.24)</v>
      </c>
    </row>
    <row r="138" spans="2:19">
      <c r="B138" s="4">
        <v>12</v>
      </c>
      <c r="C138" s="39">
        <v>250</v>
      </c>
      <c r="D138" s="39">
        <v>67</v>
      </c>
      <c r="E138" s="37">
        <v>80</v>
      </c>
      <c r="F138" s="39">
        <v>100</v>
      </c>
      <c r="G138" s="40">
        <f>B138*Assumptions!$C$19*365*24*Assumptions!$D$26*1000/(Assumptions!$C$10*0.001) /10^9</f>
        <v>12.833780869565217</v>
      </c>
      <c r="H138" s="40">
        <f>C138*Assumptions!$C$20*365*24*Assumptions!$D$30*1000/(Assumptions!$C$10*0.001) /10^9</f>
        <v>43.86534406777713</v>
      </c>
      <c r="I138" s="40">
        <f>E138*Assumptions!$C$47/(Assumptions!$C$10*0.001) /10^9</f>
        <v>5.9689872469631231</v>
      </c>
      <c r="J138" s="40">
        <f>D138*Assumptions!$C$57/(Assumptions!$C$10*0.001) /10^9</f>
        <v>5.6375637149702857</v>
      </c>
      <c r="K138" s="40">
        <f>F138*Assumptions!$C$66/(Assumptions!$C$10*0.001) /10^9</f>
        <v>7.0467210554425748</v>
      </c>
      <c r="L138" s="47">
        <f>4</f>
        <v>4</v>
      </c>
      <c r="M138" s="39">
        <v>25.04</v>
      </c>
      <c r="N138" s="39">
        <v>8</v>
      </c>
      <c r="O138" s="44">
        <f>N138*Assumptions!$C$98/(Assumptions!$G$10*0.001) /10^9*M138/100</f>
        <v>1.8158357418901416</v>
      </c>
      <c r="P138" s="48">
        <f>Assumptions!$C$114*Assumptions!$C$113/(Assumptions!$G$10*0.001) /10^9</f>
        <v>0.74469814087879027</v>
      </c>
      <c r="Q138" s="42">
        <f t="shared" si="11"/>
        <v>81.912930837487266</v>
      </c>
      <c r="S138" s="29" t="str">
        <f t="shared" si="10"/>
        <v>(250,67,80,100,8,0.25)</v>
      </c>
    </row>
    <row r="139" spans="2:19">
      <c r="B139" s="4">
        <v>12</v>
      </c>
      <c r="C139" s="39">
        <v>250</v>
      </c>
      <c r="D139" s="39">
        <v>67</v>
      </c>
      <c r="E139" s="37">
        <v>90</v>
      </c>
      <c r="F139" s="39">
        <v>100</v>
      </c>
      <c r="G139" s="40">
        <f>B139*Assumptions!$C$19*365*24*Assumptions!$D$26*1000/(Assumptions!$C$10*0.001) /10^9</f>
        <v>12.833780869565217</v>
      </c>
      <c r="H139" s="40">
        <f>C139*Assumptions!$C$20*365*24*Assumptions!$D$30*1000/(Assumptions!$C$10*0.001) /10^9</f>
        <v>43.86534406777713</v>
      </c>
      <c r="I139" s="40">
        <f>E139*Assumptions!$C$47/(Assumptions!$C$10*0.001) /10^9</f>
        <v>6.7151106528335136</v>
      </c>
      <c r="J139" s="40">
        <f>D139*Assumptions!$C$57/(Assumptions!$C$10*0.001) /10^9</f>
        <v>5.6375637149702857</v>
      </c>
      <c r="K139" s="40">
        <f>F139*Assumptions!$C$66/(Assumptions!$C$10*0.001) /10^9</f>
        <v>7.0467210554425748</v>
      </c>
      <c r="L139" s="47">
        <f>4</f>
        <v>4</v>
      </c>
      <c r="M139" s="39">
        <v>25.64</v>
      </c>
      <c r="N139" s="39">
        <v>8</v>
      </c>
      <c r="O139" s="44">
        <f>N139*Assumptions!$C$98/(Assumptions!$G$10*0.001) /10^9*M139/100</f>
        <v>1.8593461829897457</v>
      </c>
      <c r="P139" s="48">
        <f>Assumptions!$C$114*Assumptions!$C$113/(Assumptions!$G$10*0.001) /10^9</f>
        <v>0.74469814087879027</v>
      </c>
      <c r="Q139" s="42">
        <f t="shared" si="11"/>
        <v>82.702564684457258</v>
      </c>
      <c r="S139" s="29" t="str">
        <f t="shared" si="10"/>
        <v>(250,67,90,100,8,0.26)</v>
      </c>
    </row>
    <row r="140" spans="2:19">
      <c r="B140" s="4">
        <v>12</v>
      </c>
      <c r="C140" s="39">
        <v>250</v>
      </c>
      <c r="D140" s="39">
        <v>67</v>
      </c>
      <c r="E140" s="37">
        <v>100</v>
      </c>
      <c r="F140" s="39">
        <v>100</v>
      </c>
      <c r="G140" s="40">
        <f>B140*Assumptions!$C$19*365*24*Assumptions!$D$26*1000/(Assumptions!$C$10*0.001) /10^9</f>
        <v>12.833780869565217</v>
      </c>
      <c r="H140" s="40">
        <f>C140*Assumptions!$C$20*365*24*Assumptions!$D$30*1000/(Assumptions!$C$10*0.001) /10^9</f>
        <v>43.86534406777713</v>
      </c>
      <c r="I140" s="40">
        <f>E140*Assumptions!$C$47/(Assumptions!$C$10*0.001) /10^9</f>
        <v>7.4612340587039032</v>
      </c>
      <c r="J140" s="40">
        <f>D140*Assumptions!$C$57/(Assumptions!$C$10*0.001) /10^9</f>
        <v>5.6375637149702857</v>
      </c>
      <c r="K140" s="40">
        <f>F140*Assumptions!$C$66/(Assumptions!$C$10*0.001) /10^9</f>
        <v>7.0467210554425748</v>
      </c>
      <c r="L140" s="47">
        <f>4</f>
        <v>4</v>
      </c>
      <c r="M140" s="39">
        <v>26.03</v>
      </c>
      <c r="N140" s="39">
        <v>8</v>
      </c>
      <c r="O140" s="44">
        <f>N140*Assumptions!$C$98/(Assumptions!$G$10*0.001) /10^9*M140/100</f>
        <v>1.8876279697044887</v>
      </c>
      <c r="P140" s="48">
        <f>Assumptions!$C$114*Assumptions!$C$113/(Assumptions!$G$10*0.001) /10^9</f>
        <v>0.74469814087879027</v>
      </c>
      <c r="Q140" s="42">
        <f t="shared" si="11"/>
        <v>83.476969877042393</v>
      </c>
      <c r="S140" s="29" t="str">
        <f t="shared" si="10"/>
        <v>(250,67,100,100,8,0.26)</v>
      </c>
    </row>
    <row r="141" spans="2:19">
      <c r="B141" s="4">
        <v>12</v>
      </c>
      <c r="C141" s="39">
        <v>260</v>
      </c>
      <c r="D141" s="39">
        <v>81</v>
      </c>
      <c r="E141" s="37">
        <v>30</v>
      </c>
      <c r="F141" s="39">
        <v>100</v>
      </c>
      <c r="G141" s="40">
        <f>B141*Assumptions!$C$19*365*24*Assumptions!$D$26*1000/(Assumptions!$C$10*0.001) /10^9</f>
        <v>12.833780869565217</v>
      </c>
      <c r="H141" s="40">
        <f>C141*Assumptions!$C$20*365*24*Assumptions!$D$30*1000/(Assumptions!$C$10*0.001) /10^9</f>
        <v>45.619957830488204</v>
      </c>
      <c r="I141" s="40">
        <f>E141*Assumptions!$C$47/(Assumptions!$C$10*0.001) /10^9</f>
        <v>2.2383702176111711</v>
      </c>
      <c r="J141" s="40">
        <f>D141*Assumptions!$C$57/(Assumptions!$C$10*0.001) /10^9</f>
        <v>6.8155621031730309</v>
      </c>
      <c r="K141" s="40">
        <f>F141*Assumptions!$C$66/(Assumptions!$C$10*0.001) /10^9</f>
        <v>7.0467210554425748</v>
      </c>
      <c r="L141" s="47">
        <f>4</f>
        <v>4</v>
      </c>
      <c r="M141" s="39">
        <v>11.05</v>
      </c>
      <c r="N141" s="39">
        <v>19</v>
      </c>
      <c r="O141" s="44">
        <f>N141*Assumptions!$C$98/(Assumptions!$G$10*0.001) /10^9*M141/100</f>
        <v>1.9031285643462226</v>
      </c>
      <c r="P141" s="48">
        <f>Assumptions!$C$114*Assumptions!$C$113/(Assumptions!$G$10*0.001) /10^9</f>
        <v>0.74469814087879027</v>
      </c>
      <c r="Q141" s="42">
        <f t="shared" si="11"/>
        <v>81.202218781505209</v>
      </c>
      <c r="S141" s="29" t="str">
        <f t="shared" si="10"/>
        <v>(260,81,30,100,19,0.11)</v>
      </c>
    </row>
    <row r="142" spans="2:19">
      <c r="B142" s="4">
        <v>12</v>
      </c>
      <c r="C142" s="39">
        <v>260</v>
      </c>
      <c r="D142" s="39">
        <v>63</v>
      </c>
      <c r="E142" s="37">
        <v>40</v>
      </c>
      <c r="F142" s="39">
        <v>100</v>
      </c>
      <c r="G142" s="40">
        <f>B142*Assumptions!$C$19*365*24*Assumptions!$D$26*1000/(Assumptions!$C$10*0.001) /10^9</f>
        <v>12.833780869565217</v>
      </c>
      <c r="H142" s="40">
        <f>C142*Assumptions!$C$20*365*24*Assumptions!$D$30*1000/(Assumptions!$C$10*0.001) /10^9</f>
        <v>45.619957830488204</v>
      </c>
      <c r="I142" s="40">
        <f>E142*Assumptions!$C$47/(Assumptions!$C$10*0.001) /10^9</f>
        <v>2.9844936234815616</v>
      </c>
      <c r="J142" s="40">
        <f>D142*Assumptions!$C$57/(Assumptions!$C$10*0.001) /10^9</f>
        <v>5.3009927469123577</v>
      </c>
      <c r="K142" s="40">
        <f>F142*Assumptions!$C$66/(Assumptions!$C$10*0.001) /10^9</f>
        <v>7.0467210554425748</v>
      </c>
      <c r="L142" s="47">
        <f>4</f>
        <v>4</v>
      </c>
      <c r="M142" s="39">
        <v>20.66</v>
      </c>
      <c r="N142" s="39">
        <v>10</v>
      </c>
      <c r="O142" s="44">
        <f>N142*Assumptions!$C$98/(Assumptions!$G$10*0.001) /10^9*M142/100</f>
        <v>1.8727619023287907</v>
      </c>
      <c r="P142" s="48">
        <f>Assumptions!$C$114*Assumptions!$C$113/(Assumptions!$G$10*0.001) /10^9</f>
        <v>0.74469814087879027</v>
      </c>
      <c r="Q142" s="42">
        <f t="shared" si="11"/>
        <v>80.403406169097508</v>
      </c>
      <c r="S142" s="29" t="str">
        <f t="shared" si="10"/>
        <v>(260,63,40,100,10,0.21)</v>
      </c>
    </row>
    <row r="143" spans="2:19">
      <c r="B143" s="4">
        <v>12</v>
      </c>
      <c r="C143" s="39">
        <v>260</v>
      </c>
      <c r="D143" s="39">
        <v>60</v>
      </c>
      <c r="E143" s="37">
        <v>50</v>
      </c>
      <c r="F143" s="39">
        <v>100</v>
      </c>
      <c r="G143" s="40">
        <f>B143*Assumptions!$C$19*365*24*Assumptions!$D$26*1000/(Assumptions!$C$10*0.001) /10^9</f>
        <v>12.833780869565217</v>
      </c>
      <c r="H143" s="40">
        <f>C143*Assumptions!$C$20*365*24*Assumptions!$D$30*1000/(Assumptions!$C$10*0.001) /10^9</f>
        <v>45.619957830488204</v>
      </c>
      <c r="I143" s="40">
        <f>E143*Assumptions!$C$47/(Assumptions!$C$10*0.001) /10^9</f>
        <v>3.7306170293519516</v>
      </c>
      <c r="J143" s="40">
        <f>D143*Assumptions!$C$57/(Assumptions!$C$10*0.001) /10^9</f>
        <v>5.0485645208689114</v>
      </c>
      <c r="K143" s="40">
        <f>F143*Assumptions!$C$66/(Assumptions!$C$10*0.001) /10^9</f>
        <v>7.0467210554425748</v>
      </c>
      <c r="L143" s="47">
        <f>4</f>
        <v>4</v>
      </c>
      <c r="M143" s="39">
        <v>25.81</v>
      </c>
      <c r="N143" s="39">
        <v>8</v>
      </c>
      <c r="O143" s="44">
        <f>N143*Assumptions!$C$98/(Assumptions!$G$10*0.001) /10^9*M143/100</f>
        <v>1.8716741413013003</v>
      </c>
      <c r="P143" s="48">
        <f>Assumptions!$C$114*Assumptions!$C$113/(Assumptions!$G$10*0.001) /10^9</f>
        <v>0.74469814087879027</v>
      </c>
      <c r="Q143" s="42">
        <f t="shared" si="11"/>
        <v>80.89601358789696</v>
      </c>
      <c r="S143" s="29" t="str">
        <f t="shared" si="10"/>
        <v>(260,60,50,100,8,0.26)</v>
      </c>
    </row>
    <row r="144" spans="2:19">
      <c r="B144" s="4">
        <v>12</v>
      </c>
      <c r="C144" s="39">
        <v>260</v>
      </c>
      <c r="D144" s="39">
        <v>58</v>
      </c>
      <c r="E144" s="37">
        <v>60</v>
      </c>
      <c r="F144" s="39">
        <v>100</v>
      </c>
      <c r="G144" s="40">
        <f>B144*Assumptions!$C$19*365*24*Assumptions!$D$26*1000/(Assumptions!$C$10*0.001) /10^9</f>
        <v>12.833780869565217</v>
      </c>
      <c r="H144" s="40">
        <f>C144*Assumptions!$C$20*365*24*Assumptions!$D$30*1000/(Assumptions!$C$10*0.001) /10^9</f>
        <v>45.619957830488204</v>
      </c>
      <c r="I144" s="40">
        <f>E144*Assumptions!$C$47/(Assumptions!$C$10*0.001) /10^9</f>
        <v>4.4767404352223421</v>
      </c>
      <c r="J144" s="40">
        <f>D144*Assumptions!$C$57/(Assumptions!$C$10*0.001) /10^9</f>
        <v>4.8802790368399478</v>
      </c>
      <c r="K144" s="40">
        <f>F144*Assumptions!$C$66/(Assumptions!$C$10*0.001) /10^9</f>
        <v>7.0467210554425748</v>
      </c>
      <c r="L144" s="47">
        <f>4</f>
        <v>4</v>
      </c>
      <c r="M144" s="39">
        <v>28.82</v>
      </c>
      <c r="N144" s="39">
        <v>7</v>
      </c>
      <c r="O144" s="44">
        <f>N144*Assumptions!$C$98/(Assumptions!$G$10*0.001) /10^9*M144/100</f>
        <v>1.8287075807154414</v>
      </c>
      <c r="P144" s="48">
        <f>Assumptions!$C$114*Assumptions!$C$113/(Assumptions!$G$10*0.001) /10^9</f>
        <v>0.74469814087879027</v>
      </c>
      <c r="Q144" s="42">
        <f t="shared" si="11"/>
        <v>81.430884949152528</v>
      </c>
      <c r="S144" s="29" t="str">
        <f t="shared" si="10"/>
        <v>(260,58,60,100,7,0.29)</v>
      </c>
    </row>
    <row r="145" spans="2:19">
      <c r="B145" s="4">
        <v>12</v>
      </c>
      <c r="C145" s="39">
        <v>260</v>
      </c>
      <c r="D145" s="39">
        <v>57</v>
      </c>
      <c r="E145" s="37">
        <v>70</v>
      </c>
      <c r="F145" s="39">
        <v>100</v>
      </c>
      <c r="G145" s="40">
        <f>B145*Assumptions!$C$19*365*24*Assumptions!$D$26*1000/(Assumptions!$C$10*0.001) /10^9</f>
        <v>12.833780869565217</v>
      </c>
      <c r="H145" s="40">
        <f>C145*Assumptions!$C$20*365*24*Assumptions!$D$30*1000/(Assumptions!$C$10*0.001) /10^9</f>
        <v>45.619957830488204</v>
      </c>
      <c r="I145" s="40">
        <f>E145*Assumptions!$C$47/(Assumptions!$C$10*0.001) /10^9</f>
        <v>5.2228638410927326</v>
      </c>
      <c r="J145" s="40">
        <f>D145*Assumptions!$C$57/(Assumptions!$C$10*0.001) /10^9</f>
        <v>4.796136294825466</v>
      </c>
      <c r="K145" s="40">
        <f>F145*Assumptions!$C$66/(Assumptions!$C$10*0.001) /10^9</f>
        <v>7.0467210554425748</v>
      </c>
      <c r="L145" s="47">
        <f>4</f>
        <v>4</v>
      </c>
      <c r="M145" s="39">
        <v>30.61</v>
      </c>
      <c r="N145" s="39">
        <v>7</v>
      </c>
      <c r="O145" s="44">
        <f>N145*Assumptions!$C$98/(Assumptions!$G$10*0.001) /10^9*M145/100</f>
        <v>1.9422879613358663</v>
      </c>
      <c r="P145" s="48">
        <f>Assumptions!$C$114*Assumptions!$C$113/(Assumptions!$G$10*0.001) /10^9</f>
        <v>0.74469814087879027</v>
      </c>
      <c r="Q145" s="42">
        <f t="shared" si="11"/>
        <v>82.206445993628861</v>
      </c>
      <c r="S145" s="29" t="str">
        <f t="shared" si="10"/>
        <v>(260,57,70,100,7,0.31)</v>
      </c>
    </row>
    <row r="146" spans="2:19">
      <c r="B146" s="4">
        <v>12</v>
      </c>
      <c r="C146" s="39">
        <v>260</v>
      </c>
      <c r="D146" s="39">
        <v>56</v>
      </c>
      <c r="E146" s="37">
        <v>80</v>
      </c>
      <c r="F146" s="39">
        <v>100</v>
      </c>
      <c r="G146" s="40">
        <f>B146*Assumptions!$C$19*365*24*Assumptions!$D$26*1000/(Assumptions!$C$10*0.001) /10^9</f>
        <v>12.833780869565217</v>
      </c>
      <c r="H146" s="40">
        <f>C146*Assumptions!$C$20*365*24*Assumptions!$D$30*1000/(Assumptions!$C$10*0.001) /10^9</f>
        <v>45.619957830488204</v>
      </c>
      <c r="I146" s="40">
        <f>E146*Assumptions!$C$47/(Assumptions!$C$10*0.001) /10^9</f>
        <v>5.9689872469631231</v>
      </c>
      <c r="J146" s="40">
        <f>D146*Assumptions!$C$57/(Assumptions!$C$10*0.001) /10^9</f>
        <v>4.7119935528109842</v>
      </c>
      <c r="K146" s="40">
        <f>F146*Assumptions!$C$66/(Assumptions!$C$10*0.001) /10^9</f>
        <v>7.0467210554425748</v>
      </c>
      <c r="L146" s="47">
        <f>4</f>
        <v>4</v>
      </c>
      <c r="M146" s="39">
        <v>31.81</v>
      </c>
      <c r="N146" s="39">
        <v>6</v>
      </c>
      <c r="O146" s="44">
        <f>N146*Assumptions!$C$98/(Assumptions!$G$10*0.001) /10^9*M146/100</f>
        <v>1.7300839142230058</v>
      </c>
      <c r="P146" s="48">
        <f>Assumptions!$C$114*Assumptions!$C$113/(Assumptions!$G$10*0.001) /10^9</f>
        <v>0.74469814087879027</v>
      </c>
      <c r="Q146" s="42">
        <f t="shared" si="11"/>
        <v>82.656222610371898</v>
      </c>
      <c r="S146" s="29" t="str">
        <f t="shared" si="10"/>
        <v>(260,56,80,100,6,0.32)</v>
      </c>
    </row>
    <row r="147" spans="2:19">
      <c r="B147" s="4">
        <v>12</v>
      </c>
      <c r="C147" s="39">
        <v>260</v>
      </c>
      <c r="D147" s="39">
        <v>55</v>
      </c>
      <c r="E147" s="37">
        <v>90</v>
      </c>
      <c r="F147" s="39">
        <v>100</v>
      </c>
      <c r="G147" s="40">
        <f>B147*Assumptions!$C$19*365*24*Assumptions!$D$26*1000/(Assumptions!$C$10*0.001) /10^9</f>
        <v>12.833780869565217</v>
      </c>
      <c r="H147" s="40">
        <f>C147*Assumptions!$C$20*365*24*Assumptions!$D$30*1000/(Assumptions!$C$10*0.001) /10^9</f>
        <v>45.619957830488204</v>
      </c>
      <c r="I147" s="40">
        <f>E147*Assumptions!$C$47/(Assumptions!$C$10*0.001) /10^9</f>
        <v>6.7151106528335136</v>
      </c>
      <c r="J147" s="40">
        <f>D147*Assumptions!$C$57/(Assumptions!$C$10*0.001) /10^9</f>
        <v>4.6278508107965024</v>
      </c>
      <c r="K147" s="40">
        <f>F147*Assumptions!$C$66/(Assumptions!$C$10*0.001) /10^9</f>
        <v>7.0467210554425748</v>
      </c>
      <c r="L147" s="47">
        <f>4</f>
        <v>4</v>
      </c>
      <c r="M147" s="39">
        <v>32.380000000000003</v>
      </c>
      <c r="N147" s="39">
        <v>6</v>
      </c>
      <c r="O147" s="44">
        <f>N147*Assumptions!$C$98/(Assumptions!$G$10*0.001) /10^9*M147/100</f>
        <v>1.7610851035064738</v>
      </c>
      <c r="P147" s="48">
        <f>Assumptions!$C$114*Assumptions!$C$113/(Assumptions!$G$10*0.001) /10^9</f>
        <v>0.74469814087879027</v>
      </c>
      <c r="Q147" s="42">
        <f t="shared" si="11"/>
        <v>83.349204463511285</v>
      </c>
      <c r="S147" s="29" t="str">
        <f t="shared" si="10"/>
        <v>(260,55,90,100,6,0.32)</v>
      </c>
    </row>
    <row r="148" spans="2:19">
      <c r="B148" s="4">
        <v>12</v>
      </c>
      <c r="C148" s="39">
        <v>260</v>
      </c>
      <c r="D148" s="39">
        <v>55</v>
      </c>
      <c r="E148" s="37">
        <v>100</v>
      </c>
      <c r="F148" s="39">
        <v>100</v>
      </c>
      <c r="G148" s="40">
        <f>B148*Assumptions!$C$19*365*24*Assumptions!$D$26*1000/(Assumptions!$C$10*0.001) /10^9</f>
        <v>12.833780869565217</v>
      </c>
      <c r="H148" s="40">
        <f>C148*Assumptions!$C$20*365*24*Assumptions!$D$30*1000/(Assumptions!$C$10*0.001) /10^9</f>
        <v>45.619957830488204</v>
      </c>
      <c r="I148" s="40">
        <f>E148*Assumptions!$C$47/(Assumptions!$C$10*0.001) /10^9</f>
        <v>7.4612340587039032</v>
      </c>
      <c r="J148" s="40">
        <f>D148*Assumptions!$C$57/(Assumptions!$C$10*0.001) /10^9</f>
        <v>4.6278508107965024</v>
      </c>
      <c r="K148" s="40">
        <f>F148*Assumptions!$C$66/(Assumptions!$C$10*0.001) /10^9</f>
        <v>7.0467210554425748</v>
      </c>
      <c r="L148" s="47">
        <f>4</f>
        <v>4</v>
      </c>
      <c r="M148" s="39">
        <v>32.659999999999997</v>
      </c>
      <c r="N148" s="39">
        <v>6</v>
      </c>
      <c r="O148" s="44">
        <f>N148*Assumptions!$C$98/(Assumptions!$G$10*0.001) /10^9*M148/100</f>
        <v>1.7763137578913351</v>
      </c>
      <c r="P148" s="48">
        <f>Assumptions!$C$114*Assumptions!$C$113/(Assumptions!$G$10*0.001) /10^9</f>
        <v>0.74469814087879027</v>
      </c>
      <c r="Q148" s="42">
        <f t="shared" si="11"/>
        <v>84.110556523766533</v>
      </c>
      <c r="S148" s="29" t="str">
        <f t="shared" si="10"/>
        <v>(260,55,100,100,6,0.33)</v>
      </c>
    </row>
    <row r="149" spans="2:19">
      <c r="B149" s="38">
        <v>12</v>
      </c>
      <c r="C149" s="39">
        <v>240</v>
      </c>
      <c r="D149" s="39">
        <v>99</v>
      </c>
      <c r="E149" s="37">
        <v>50</v>
      </c>
      <c r="F149" s="39">
        <v>100</v>
      </c>
      <c r="G149" s="40">
        <f>B149*Assumptions!$C$19*365*24*Assumptions!$D$26*1000/(Assumptions!$C$10*0.001) /10^9</f>
        <v>12.833780869565217</v>
      </c>
      <c r="H149" s="40">
        <f>C149*Assumptions!$C$20*365*24*Assumptions!$D$30*1000/(Assumptions!$C$10*0.001) /10^9</f>
        <v>42.110730305066035</v>
      </c>
      <c r="I149" s="40">
        <f>E149*Assumptions!$C$47/(Assumptions!$C$10*0.001) /10^9</f>
        <v>3.7306170293519516</v>
      </c>
      <c r="J149" s="40">
        <f>D149*Assumptions!$C$57/(Assumptions!$C$10*0.001) /10^9</f>
        <v>8.330131459433705</v>
      </c>
      <c r="K149" s="40">
        <f>F149*Assumptions!$C$66/(Assumptions!$C$10*0.001) /10^9</f>
        <v>7.0467210554425748</v>
      </c>
      <c r="L149" s="47">
        <f>4</f>
        <v>4</v>
      </c>
      <c r="M149" s="39">
        <v>11.44</v>
      </c>
      <c r="N149" s="39">
        <v>52</v>
      </c>
      <c r="O149" s="44">
        <f>N149*Assumptions!$C$98/(Assumptions!$G$10*0.001) /10^9*M149/100</f>
        <v>5.3923940002775943</v>
      </c>
      <c r="P149" s="48">
        <f>Assumptions!$C$114*Assumptions!$C$113/(Assumptions!$G$12*0.001) /10^9</f>
        <v>0.71857276338974674</v>
      </c>
      <c r="Q149" s="42">
        <f t="shared" ref="Q149:Q169" si="12">SUM(G149:L149)+O149+P149</f>
        <v>84.162947482526818</v>
      </c>
      <c r="S149" s="29" t="str">
        <f t="shared" ref="S149:S188" si="13">CONCATENATE("(",C149,",",D149,",",E149,",",F149,",",ROUND(N149,0),",",ROUND(M149/100,2),")")</f>
        <v>(240,99,50,100,52,0.11)</v>
      </c>
    </row>
    <row r="150" spans="2:19">
      <c r="B150" s="38">
        <v>12</v>
      </c>
      <c r="C150" s="39">
        <v>240</v>
      </c>
      <c r="D150" s="39">
        <v>91</v>
      </c>
      <c r="E150" s="37">
        <v>60</v>
      </c>
      <c r="F150" s="39">
        <v>100</v>
      </c>
      <c r="G150" s="40">
        <f>B150*Assumptions!$C$19*365*24*Assumptions!$D$26*1000/(Assumptions!$C$10*0.001) /10^9</f>
        <v>12.833780869565217</v>
      </c>
      <c r="H150" s="40">
        <f>C150*Assumptions!$C$20*365*24*Assumptions!$D$30*1000/(Assumptions!$C$10*0.001) /10^9</f>
        <v>42.110730305066035</v>
      </c>
      <c r="I150" s="40">
        <f>E150*Assumptions!$C$47/(Assumptions!$C$10*0.001) /10^9</f>
        <v>4.4767404352223421</v>
      </c>
      <c r="J150" s="40">
        <f>D150*Assumptions!$C$57/(Assumptions!$C$10*0.001) /10^9</f>
        <v>7.6569895233178498</v>
      </c>
      <c r="K150" s="40">
        <f>F150*Assumptions!$C$66/(Assumptions!$C$10*0.001) /10^9</f>
        <v>7.0467210554425748</v>
      </c>
      <c r="L150" s="47">
        <f>4</f>
        <v>4</v>
      </c>
      <c r="M150" s="39">
        <v>14.98</v>
      </c>
      <c r="N150" s="39">
        <v>36</v>
      </c>
      <c r="O150" s="44">
        <f>N150*Assumptions!$C$98/(Assumptions!$G$10*0.001) /10^9*M150/100</f>
        <v>4.888398057540515</v>
      </c>
      <c r="P150" s="48">
        <f>Assumptions!$C$114*Assumptions!$C$113/(Assumptions!$G$12*0.001) /10^9</f>
        <v>0.71857276338974674</v>
      </c>
      <c r="Q150" s="42">
        <f t="shared" si="12"/>
        <v>83.731933009544278</v>
      </c>
      <c r="S150" s="29" t="str">
        <f t="shared" si="13"/>
        <v>(240,91,60,100,36,0.15)</v>
      </c>
    </row>
    <row r="151" spans="2:19">
      <c r="B151" s="38">
        <v>12</v>
      </c>
      <c r="C151" s="39">
        <v>240</v>
      </c>
      <c r="D151" s="39">
        <v>85</v>
      </c>
      <c r="E151" s="37">
        <v>70</v>
      </c>
      <c r="F151" s="39">
        <v>100</v>
      </c>
      <c r="G151" s="40">
        <f>B151*Assumptions!$C$19*365*24*Assumptions!$D$26*1000/(Assumptions!$C$10*0.001) /10^9</f>
        <v>12.833780869565217</v>
      </c>
      <c r="H151" s="40">
        <f>C151*Assumptions!$C$20*365*24*Assumptions!$D$30*1000/(Assumptions!$C$10*0.001) /10^9</f>
        <v>42.110730305066035</v>
      </c>
      <c r="I151" s="40">
        <f>E151*Assumptions!$C$47/(Assumptions!$C$10*0.001) /10^9</f>
        <v>5.2228638410927326</v>
      </c>
      <c r="J151" s="40">
        <f>D151*Assumptions!$C$57/(Assumptions!$C$10*0.001) /10^9</f>
        <v>7.152133071230959</v>
      </c>
      <c r="K151" s="40">
        <f>F151*Assumptions!$C$66/(Assumptions!$C$10*0.001) /10^9</f>
        <v>7.0467210554425748</v>
      </c>
      <c r="L151" s="47">
        <f>4</f>
        <v>4</v>
      </c>
      <c r="M151" s="39">
        <v>16.829999999999998</v>
      </c>
      <c r="N151" s="39">
        <v>31</v>
      </c>
      <c r="O151" s="44">
        <f>N151*Assumptions!$C$98/(Assumptions!$G$10*0.001) /10^9*M151/100</f>
        <v>4.7293130072700862</v>
      </c>
      <c r="P151" s="48">
        <f>Assumptions!$C$114*Assumptions!$C$113/(Assumptions!$G$12*0.001) /10^9</f>
        <v>0.71857276338974674</v>
      </c>
      <c r="Q151" s="42">
        <f t="shared" si="12"/>
        <v>83.814114913057352</v>
      </c>
      <c r="S151" s="29" t="str">
        <f t="shared" si="13"/>
        <v>(240,85,70,100,31,0.17)</v>
      </c>
    </row>
    <row r="152" spans="2:19">
      <c r="B152" s="38">
        <v>12</v>
      </c>
      <c r="C152" s="39">
        <v>240</v>
      </c>
      <c r="D152" s="39">
        <v>81</v>
      </c>
      <c r="E152" s="37">
        <v>80</v>
      </c>
      <c r="F152" s="39">
        <v>100</v>
      </c>
      <c r="G152" s="40">
        <f>B152*Assumptions!$C$19*365*24*Assumptions!$D$26*1000/(Assumptions!$C$10*0.001) /10^9</f>
        <v>12.833780869565217</v>
      </c>
      <c r="H152" s="40">
        <f>C152*Assumptions!$C$20*365*24*Assumptions!$D$30*1000/(Assumptions!$C$10*0.001) /10^9</f>
        <v>42.110730305066035</v>
      </c>
      <c r="I152" s="40">
        <f>E152*Assumptions!$C$47/(Assumptions!$C$10*0.001) /10^9</f>
        <v>5.9689872469631231</v>
      </c>
      <c r="J152" s="40">
        <f>D152*Assumptions!$C$57/(Assumptions!$C$10*0.001) /10^9</f>
        <v>6.8155621031730309</v>
      </c>
      <c r="K152" s="40">
        <f>F152*Assumptions!$C$66/(Assumptions!$C$10*0.001) /10^9</f>
        <v>7.0467210554425748</v>
      </c>
      <c r="L152" s="47">
        <f>4</f>
        <v>4</v>
      </c>
      <c r="M152" s="39">
        <v>17.87</v>
      </c>
      <c r="N152" s="39">
        <v>29</v>
      </c>
      <c r="O152" s="44">
        <f>N152*Assumptions!$C$98/(Assumptions!$G$10*0.001) /10^9*M152/100</f>
        <v>4.6975866439682923</v>
      </c>
      <c r="P152" s="48">
        <f>Assumptions!$C$114*Assumptions!$C$113/(Assumptions!$G$12*0.001) /10^9</f>
        <v>0.71857276338974674</v>
      </c>
      <c r="Q152" s="42">
        <f t="shared" si="12"/>
        <v>84.191940987568017</v>
      </c>
      <c r="S152" s="29" t="str">
        <f t="shared" si="13"/>
        <v>(240,81,80,100,29,0.18)</v>
      </c>
    </row>
    <row r="153" spans="2:19">
      <c r="B153" s="38">
        <v>12</v>
      </c>
      <c r="C153" s="39">
        <v>240</v>
      </c>
      <c r="D153" s="39">
        <v>79</v>
      </c>
      <c r="E153" s="37">
        <v>90</v>
      </c>
      <c r="F153" s="39">
        <v>100</v>
      </c>
      <c r="G153" s="40">
        <f>B153*Assumptions!$C$19*365*24*Assumptions!$D$26*1000/(Assumptions!$C$10*0.001) /10^9</f>
        <v>12.833780869565217</v>
      </c>
      <c r="H153" s="40">
        <f>C153*Assumptions!$C$20*365*24*Assumptions!$D$30*1000/(Assumptions!$C$10*0.001) /10^9</f>
        <v>42.110730305066035</v>
      </c>
      <c r="I153" s="40">
        <f>E153*Assumptions!$C$47/(Assumptions!$C$10*0.001) /10^9</f>
        <v>6.7151106528335136</v>
      </c>
      <c r="J153" s="40">
        <f>D153*Assumptions!$C$57/(Assumptions!$C$10*0.001) /10^9</f>
        <v>6.6472766191440682</v>
      </c>
      <c r="K153" s="40">
        <f>F153*Assumptions!$C$66/(Assumptions!$C$10*0.001) /10^9</f>
        <v>7.0467210554425748</v>
      </c>
      <c r="L153" s="47">
        <f>4</f>
        <v>4</v>
      </c>
      <c r="M153" s="39">
        <v>18.489999999999998</v>
      </c>
      <c r="N153" s="39">
        <v>28</v>
      </c>
      <c r="O153" s="44">
        <f>N153*Assumptions!$C$98/(Assumptions!$G$10*0.001) /10^9*M153/100</f>
        <v>4.6929636596014586</v>
      </c>
      <c r="P153" s="48">
        <f>Assumptions!$C$114*Assumptions!$C$113/(Assumptions!$G$12*0.001) /10^9</f>
        <v>0.71857276338974674</v>
      </c>
      <c r="Q153" s="42">
        <f t="shared" si="12"/>
        <v>84.76515592504262</v>
      </c>
      <c r="S153" s="29" t="str">
        <f t="shared" si="13"/>
        <v>(240,79,90,100,28,0.18)</v>
      </c>
    </row>
    <row r="154" spans="2:19">
      <c r="B154" s="38">
        <v>12</v>
      </c>
      <c r="C154" s="39">
        <v>240</v>
      </c>
      <c r="D154" s="39">
        <v>79</v>
      </c>
      <c r="E154" s="37">
        <v>100</v>
      </c>
      <c r="F154" s="39">
        <v>100</v>
      </c>
      <c r="G154" s="40">
        <f>B154*Assumptions!$C$19*365*24*Assumptions!$D$26*1000/(Assumptions!$C$10*0.001) /10^9</f>
        <v>12.833780869565217</v>
      </c>
      <c r="H154" s="40">
        <f>C154*Assumptions!$C$20*365*24*Assumptions!$D$30*1000/(Assumptions!$C$10*0.001) /10^9</f>
        <v>42.110730305066035</v>
      </c>
      <c r="I154" s="40">
        <f>E154*Assumptions!$C$47/(Assumptions!$C$10*0.001) /10^9</f>
        <v>7.4612340587039032</v>
      </c>
      <c r="J154" s="40">
        <f>D154*Assumptions!$C$57/(Assumptions!$C$10*0.001) /10^9</f>
        <v>6.6472766191440682</v>
      </c>
      <c r="K154" s="40">
        <f>F154*Assumptions!$C$66/(Assumptions!$C$10*0.001) /10^9</f>
        <v>7.0467210554425748</v>
      </c>
      <c r="L154" s="47">
        <f>4</f>
        <v>4</v>
      </c>
      <c r="M154" s="39">
        <v>18.73</v>
      </c>
      <c r="N154" s="39">
        <v>28</v>
      </c>
      <c r="O154" s="44">
        <f>N154*Assumptions!$C$98/(Assumptions!$G$10*0.001) /10^9*M154/100</f>
        <v>4.7538782771409052</v>
      </c>
      <c r="P154" s="48">
        <f>Assumptions!$C$114*Assumptions!$C$113/(Assumptions!$G$12*0.001) /10^9</f>
        <v>0.71857276338974674</v>
      </c>
      <c r="Q154" s="42">
        <f t="shared" si="12"/>
        <v>85.572193948452437</v>
      </c>
      <c r="S154" s="29" t="str">
        <f t="shared" si="13"/>
        <v>(240,79,100,100,28,0.19)</v>
      </c>
    </row>
    <row r="155" spans="2:19">
      <c r="B155" s="38">
        <v>12</v>
      </c>
      <c r="C155" s="39">
        <v>250</v>
      </c>
      <c r="D155" s="39">
        <v>84</v>
      </c>
      <c r="E155" s="37">
        <v>40</v>
      </c>
      <c r="F155" s="39">
        <v>100</v>
      </c>
      <c r="G155" s="40">
        <f>B155*Assumptions!$C$19*365*24*Assumptions!$D$26*1000/(Assumptions!$C$10*0.001) /10^9</f>
        <v>12.833780869565217</v>
      </c>
      <c r="H155" s="40">
        <f>C155*Assumptions!$C$20*365*24*Assumptions!$D$30*1000/(Assumptions!$C$10*0.001) /10^9</f>
        <v>43.86534406777713</v>
      </c>
      <c r="I155" s="40">
        <f>E155*Assumptions!$C$47/(Assumptions!$C$10*0.001) /10^9</f>
        <v>2.9844936234815616</v>
      </c>
      <c r="J155" s="40">
        <f>D155*Assumptions!$C$57/(Assumptions!$C$10*0.001) /10^9</f>
        <v>7.0679903292164772</v>
      </c>
      <c r="K155" s="40">
        <f>F155*Assumptions!$C$66/(Assumptions!$C$10*0.001) /10^9</f>
        <v>7.0467210554425748</v>
      </c>
      <c r="L155" s="47">
        <f>4</f>
        <v>4</v>
      </c>
      <c r="M155" s="39">
        <v>13.49</v>
      </c>
      <c r="N155" s="39">
        <v>41</v>
      </c>
      <c r="O155" s="44">
        <f>N155*Assumptions!$C$98/(Assumptions!$G$10*0.001) /10^9*M155/100</f>
        <v>5.0135812224541665</v>
      </c>
      <c r="P155" s="48">
        <f>Assumptions!$C$114*Assumptions!$C$113/(Assumptions!$G$12*0.001) /10^9</f>
        <v>0.71857276338974674</v>
      </c>
      <c r="Q155" s="42">
        <f t="shared" si="12"/>
        <v>83.53048393132687</v>
      </c>
      <c r="S155" s="29" t="str">
        <f t="shared" si="13"/>
        <v>(250,84,40,100,41,0.13)</v>
      </c>
    </row>
    <row r="156" spans="2:19">
      <c r="B156" s="38">
        <v>12</v>
      </c>
      <c r="C156" s="39">
        <v>250</v>
      </c>
      <c r="D156" s="39">
        <v>71</v>
      </c>
      <c r="E156" s="37">
        <v>50</v>
      </c>
      <c r="F156" s="39">
        <v>100</v>
      </c>
      <c r="G156" s="40">
        <f>B156*Assumptions!$C$19*365*24*Assumptions!$D$26*1000/(Assumptions!$C$10*0.001) /10^9</f>
        <v>12.833780869565217</v>
      </c>
      <c r="H156" s="40">
        <f>C156*Assumptions!$C$20*365*24*Assumptions!$D$30*1000/(Assumptions!$C$10*0.001) /10^9</f>
        <v>43.86534406777713</v>
      </c>
      <c r="I156" s="40">
        <f>E156*Assumptions!$C$47/(Assumptions!$C$10*0.001) /10^9</f>
        <v>3.7306170293519516</v>
      </c>
      <c r="J156" s="40">
        <f>D156*Assumptions!$C$57/(Assumptions!$C$10*0.001) /10^9</f>
        <v>5.9741346830282129</v>
      </c>
      <c r="K156" s="40">
        <f>F156*Assumptions!$C$66/(Assumptions!$C$10*0.001) /10^9</f>
        <v>7.0467210554425748</v>
      </c>
      <c r="L156" s="47">
        <f>4</f>
        <v>4</v>
      </c>
      <c r="M156" s="39">
        <v>19.02</v>
      </c>
      <c r="N156" s="39">
        <v>27</v>
      </c>
      <c r="O156" s="44">
        <f>N156*Assumptions!$C$98/(Assumptions!$G$10*0.001) /10^9*M156/100</f>
        <v>4.6550733171438869</v>
      </c>
      <c r="P156" s="48">
        <f>Assumptions!$C$114*Assumptions!$C$113/(Assumptions!$G$12*0.001) /10^9</f>
        <v>0.71857276338974674</v>
      </c>
      <c r="Q156" s="42">
        <f t="shared" si="12"/>
        <v>82.824243785698727</v>
      </c>
      <c r="S156" s="29" t="str">
        <f t="shared" si="13"/>
        <v>(250,71,50,100,27,0.19)</v>
      </c>
    </row>
    <row r="157" spans="2:19">
      <c r="B157" s="38">
        <v>12</v>
      </c>
      <c r="C157" s="39">
        <v>250</v>
      </c>
      <c r="D157" s="39">
        <v>69</v>
      </c>
      <c r="E157" s="37">
        <v>60</v>
      </c>
      <c r="F157" s="39">
        <v>100</v>
      </c>
      <c r="G157" s="40">
        <f>B157*Assumptions!$C$19*365*24*Assumptions!$D$26*1000/(Assumptions!$C$10*0.001) /10^9</f>
        <v>12.833780869565217</v>
      </c>
      <c r="H157" s="40">
        <f>C157*Assumptions!$C$20*365*24*Assumptions!$D$30*1000/(Assumptions!$C$10*0.001) /10^9</f>
        <v>43.86534406777713</v>
      </c>
      <c r="I157" s="40">
        <f>E157*Assumptions!$C$47/(Assumptions!$C$10*0.001) /10^9</f>
        <v>4.4767404352223421</v>
      </c>
      <c r="J157" s="40">
        <f>D157*Assumptions!$C$57/(Assumptions!$C$10*0.001) /10^9</f>
        <v>5.8058491989992493</v>
      </c>
      <c r="K157" s="40">
        <f>F157*Assumptions!$C$66/(Assumptions!$C$10*0.001) /10^9</f>
        <v>7.0467210554425748</v>
      </c>
      <c r="L157" s="47">
        <f>4</f>
        <v>4</v>
      </c>
      <c r="M157" s="39">
        <v>22.2</v>
      </c>
      <c r="N157" s="39">
        <v>23</v>
      </c>
      <c r="O157" s="44">
        <f>N157*Assumptions!$C$98/(Assumptions!$G$10*0.001) /10^9*M157/100</f>
        <v>4.628423171970379</v>
      </c>
      <c r="P157" s="48">
        <f>Assumptions!$C$114*Assumptions!$C$113/(Assumptions!$G$12*0.001) /10^9</f>
        <v>0.71857276338974674</v>
      </c>
      <c r="Q157" s="42">
        <f t="shared" si="12"/>
        <v>83.375431562366643</v>
      </c>
      <c r="S157" s="29" t="str">
        <f t="shared" si="13"/>
        <v>(250,69,60,100,23,0.22)</v>
      </c>
    </row>
    <row r="158" spans="2:19">
      <c r="B158" s="38">
        <v>12</v>
      </c>
      <c r="C158" s="39">
        <v>250</v>
      </c>
      <c r="D158" s="39">
        <v>68</v>
      </c>
      <c r="E158" s="37">
        <v>70</v>
      </c>
      <c r="F158" s="39">
        <v>100</v>
      </c>
      <c r="G158" s="40">
        <f>B158*Assumptions!$C$19*365*24*Assumptions!$D$26*1000/(Assumptions!$C$10*0.001) /10^9</f>
        <v>12.833780869565217</v>
      </c>
      <c r="H158" s="40">
        <f>C158*Assumptions!$C$20*365*24*Assumptions!$D$30*1000/(Assumptions!$C$10*0.001) /10^9</f>
        <v>43.86534406777713</v>
      </c>
      <c r="I158" s="40">
        <f>E158*Assumptions!$C$47/(Assumptions!$C$10*0.001) /10^9</f>
        <v>5.2228638410927326</v>
      </c>
      <c r="J158" s="40">
        <f>D158*Assumptions!$C$57/(Assumptions!$C$10*0.001) /10^9</f>
        <v>5.7217064569847667</v>
      </c>
      <c r="K158" s="40">
        <f>F158*Assumptions!$C$66/(Assumptions!$C$10*0.001) /10^9</f>
        <v>7.0467210554425748</v>
      </c>
      <c r="L158" s="47">
        <f>4</f>
        <v>4</v>
      </c>
      <c r="M158" s="39">
        <v>24.08</v>
      </c>
      <c r="N158" s="39">
        <v>21</v>
      </c>
      <c r="O158" s="44">
        <f>N158*Assumptions!$C$98/(Assumptions!$G$10*0.001) /10^9*M158/100</f>
        <v>4.5838249698432856</v>
      </c>
      <c r="P158" s="48">
        <f>Assumptions!$C$114*Assumptions!$C$113/(Assumptions!$G$12*0.001) /10^9</f>
        <v>0.71857276338974674</v>
      </c>
      <c r="Q158" s="42">
        <f t="shared" si="12"/>
        <v>83.992814024095452</v>
      </c>
      <c r="S158" s="29" t="str">
        <f t="shared" si="13"/>
        <v>(250,68,70,100,21,0.24)</v>
      </c>
    </row>
    <row r="159" spans="2:19">
      <c r="B159" s="38">
        <v>12</v>
      </c>
      <c r="C159" s="39">
        <v>250</v>
      </c>
      <c r="D159" s="39">
        <v>67</v>
      </c>
      <c r="E159" s="37">
        <v>80</v>
      </c>
      <c r="F159" s="39">
        <v>100</v>
      </c>
      <c r="G159" s="40">
        <f>B159*Assumptions!$C$19*365*24*Assumptions!$D$26*1000/(Assumptions!$C$10*0.001) /10^9</f>
        <v>12.833780869565217</v>
      </c>
      <c r="H159" s="40">
        <f>C159*Assumptions!$C$20*365*24*Assumptions!$D$30*1000/(Assumptions!$C$10*0.001) /10^9</f>
        <v>43.86534406777713</v>
      </c>
      <c r="I159" s="40">
        <f>E159*Assumptions!$C$47/(Assumptions!$C$10*0.001) /10^9</f>
        <v>5.9689872469631231</v>
      </c>
      <c r="J159" s="40">
        <f>D159*Assumptions!$C$57/(Assumptions!$C$10*0.001) /10^9</f>
        <v>5.6375637149702857</v>
      </c>
      <c r="K159" s="40">
        <f>F159*Assumptions!$C$66/(Assumptions!$C$10*0.001) /10^9</f>
        <v>7.0467210554425748</v>
      </c>
      <c r="L159" s="47">
        <f>4</f>
        <v>4</v>
      </c>
      <c r="M159" s="39">
        <v>25.04</v>
      </c>
      <c r="N159" s="39">
        <v>20</v>
      </c>
      <c r="O159" s="44">
        <f>N159*Assumptions!$C$98/(Assumptions!$G$10*0.001) /10^9*M159/100</f>
        <v>4.5395893547253543</v>
      </c>
      <c r="P159" s="48">
        <f>Assumptions!$C$114*Assumptions!$C$113/(Assumptions!$G$12*0.001) /10^9</f>
        <v>0.71857276338974674</v>
      </c>
      <c r="Q159" s="42">
        <f t="shared" si="12"/>
        <v>84.610559072833425</v>
      </c>
      <c r="S159" s="29" t="str">
        <f t="shared" si="13"/>
        <v>(250,67,80,100,20,0.25)</v>
      </c>
    </row>
    <row r="160" spans="2:19">
      <c r="B160" s="38">
        <v>12</v>
      </c>
      <c r="C160" s="39">
        <v>250</v>
      </c>
      <c r="D160" s="39">
        <v>67</v>
      </c>
      <c r="E160" s="37">
        <v>90</v>
      </c>
      <c r="F160" s="39">
        <v>100</v>
      </c>
      <c r="G160" s="40">
        <f>B160*Assumptions!$C$19*365*24*Assumptions!$D$26*1000/(Assumptions!$C$10*0.001) /10^9</f>
        <v>12.833780869565217</v>
      </c>
      <c r="H160" s="40">
        <f>C160*Assumptions!$C$20*365*24*Assumptions!$D$30*1000/(Assumptions!$C$10*0.001) /10^9</f>
        <v>43.86534406777713</v>
      </c>
      <c r="I160" s="40">
        <f>E160*Assumptions!$C$47/(Assumptions!$C$10*0.001) /10^9</f>
        <v>6.7151106528335136</v>
      </c>
      <c r="J160" s="40">
        <f>D160*Assumptions!$C$57/(Assumptions!$C$10*0.001) /10^9</f>
        <v>5.6375637149702857</v>
      </c>
      <c r="K160" s="40">
        <f>F160*Assumptions!$C$66/(Assumptions!$C$10*0.001) /10^9</f>
        <v>7.0467210554425748</v>
      </c>
      <c r="L160" s="47">
        <f>4</f>
        <v>4</v>
      </c>
      <c r="M160" s="39">
        <v>25.64</v>
      </c>
      <c r="N160" s="39">
        <v>19</v>
      </c>
      <c r="O160" s="44">
        <f>N160*Assumptions!$C$98/(Assumptions!$G$10*0.001) /10^9*M160/100</f>
        <v>4.4159471846006468</v>
      </c>
      <c r="P160" s="48">
        <f>Assumptions!$C$114*Assumptions!$C$113/(Assumptions!$G$12*0.001) /10^9</f>
        <v>0.71857276338974674</v>
      </c>
      <c r="Q160" s="42">
        <f t="shared" si="12"/>
        <v>85.23304030857912</v>
      </c>
      <c r="S160" s="29" t="str">
        <f t="shared" si="13"/>
        <v>(250,67,90,100,19,0.26)</v>
      </c>
    </row>
    <row r="161" spans="2:19">
      <c r="B161" s="38">
        <v>12</v>
      </c>
      <c r="C161" s="39">
        <v>250</v>
      </c>
      <c r="D161" s="39">
        <v>67</v>
      </c>
      <c r="E161" s="37">
        <v>100</v>
      </c>
      <c r="F161" s="39">
        <v>100</v>
      </c>
      <c r="G161" s="40">
        <f>B161*Assumptions!$C$19*365*24*Assumptions!$D$26*1000/(Assumptions!$C$10*0.001) /10^9</f>
        <v>12.833780869565217</v>
      </c>
      <c r="H161" s="40">
        <f>C161*Assumptions!$C$20*365*24*Assumptions!$D$30*1000/(Assumptions!$C$10*0.001) /10^9</f>
        <v>43.86534406777713</v>
      </c>
      <c r="I161" s="40">
        <f>E161*Assumptions!$C$47/(Assumptions!$C$10*0.001) /10^9</f>
        <v>7.4612340587039032</v>
      </c>
      <c r="J161" s="40">
        <f>D161*Assumptions!$C$57/(Assumptions!$C$10*0.001) /10^9</f>
        <v>5.6375637149702857</v>
      </c>
      <c r="K161" s="40">
        <f>F161*Assumptions!$C$66/(Assumptions!$C$10*0.001) /10^9</f>
        <v>7.0467210554425748</v>
      </c>
      <c r="L161" s="47">
        <f>4</f>
        <v>4</v>
      </c>
      <c r="M161" s="39">
        <v>26.03</v>
      </c>
      <c r="N161" s="39">
        <v>19</v>
      </c>
      <c r="O161" s="44">
        <f>N161*Assumptions!$C$98/(Assumptions!$G$10*0.001) /10^9*M161/100</f>
        <v>4.4831164280481604</v>
      </c>
      <c r="P161" s="48">
        <f>Assumptions!$C$114*Assumptions!$C$113/(Assumptions!$G$12*0.001) /10^9</f>
        <v>0.71857276338974674</v>
      </c>
      <c r="Q161" s="42">
        <f t="shared" si="12"/>
        <v>86.046332957897022</v>
      </c>
      <c r="S161" s="29" t="str">
        <f t="shared" si="13"/>
        <v>(250,67,100,100,19,0.26)</v>
      </c>
    </row>
    <row r="162" spans="2:19">
      <c r="B162" s="38">
        <v>12</v>
      </c>
      <c r="C162" s="39">
        <v>260</v>
      </c>
      <c r="D162" s="39">
        <v>81</v>
      </c>
      <c r="E162" s="37">
        <v>30</v>
      </c>
      <c r="F162" s="39">
        <v>100</v>
      </c>
      <c r="G162" s="40">
        <f>B162*Assumptions!$C$19*365*24*Assumptions!$D$26*1000/(Assumptions!$C$10*0.001) /10^9</f>
        <v>12.833780869565217</v>
      </c>
      <c r="H162" s="40">
        <f>C162*Assumptions!$C$20*365*24*Assumptions!$D$30*1000/(Assumptions!$C$10*0.001) /10^9</f>
        <v>45.619957830488204</v>
      </c>
      <c r="I162" s="40">
        <f>E162*Assumptions!$C$47/(Assumptions!$C$10*0.001) /10^9</f>
        <v>2.2383702176111711</v>
      </c>
      <c r="J162" s="40">
        <f>D162*Assumptions!$C$57/(Assumptions!$C$10*0.001) /10^9</f>
        <v>6.8155621031730309</v>
      </c>
      <c r="K162" s="40">
        <f>F162*Assumptions!$C$66/(Assumptions!$C$10*0.001) /10^9</f>
        <v>7.0467210554425748</v>
      </c>
      <c r="L162" s="47">
        <f>4</f>
        <v>4</v>
      </c>
      <c r="M162" s="39">
        <v>11.05</v>
      </c>
      <c r="N162" s="39">
        <v>53</v>
      </c>
      <c r="O162" s="44">
        <f>N162*Assumptions!$C$98/(Assumptions!$G$10*0.001) /10^9*M162/100</f>
        <v>5.3087270479131474</v>
      </c>
      <c r="P162" s="48">
        <f>Assumptions!$C$114*Assumptions!$C$113/(Assumptions!$G$12*0.001) /10^9</f>
        <v>0.71857276338974674</v>
      </c>
      <c r="Q162" s="42">
        <f t="shared" si="12"/>
        <v>84.581691887583091</v>
      </c>
      <c r="S162" s="29" t="str">
        <f t="shared" si="13"/>
        <v>(260,81,30,100,53,0.11)</v>
      </c>
    </row>
    <row r="163" spans="2:19">
      <c r="B163" s="38">
        <v>12</v>
      </c>
      <c r="C163" s="39">
        <v>260</v>
      </c>
      <c r="D163" s="39">
        <v>63</v>
      </c>
      <c r="E163" s="37">
        <v>40</v>
      </c>
      <c r="F163" s="39">
        <v>100</v>
      </c>
      <c r="G163" s="40">
        <f>B163*Assumptions!$C$19*365*24*Assumptions!$D$26*1000/(Assumptions!$C$10*0.001) /10^9</f>
        <v>12.833780869565217</v>
      </c>
      <c r="H163" s="40">
        <f>C163*Assumptions!$C$20*365*24*Assumptions!$D$30*1000/(Assumptions!$C$10*0.001) /10^9</f>
        <v>45.619957830488204</v>
      </c>
      <c r="I163" s="40">
        <f>E163*Assumptions!$C$47/(Assumptions!$C$10*0.001) /10^9</f>
        <v>2.9844936234815616</v>
      </c>
      <c r="J163" s="40">
        <f>D163*Assumptions!$C$57/(Assumptions!$C$10*0.001) /10^9</f>
        <v>5.3009927469123577</v>
      </c>
      <c r="K163" s="40">
        <f>F163*Assumptions!$C$66/(Assumptions!$C$10*0.001) /10^9</f>
        <v>7.0467210554425748</v>
      </c>
      <c r="L163" s="47">
        <f>4</f>
        <v>4</v>
      </c>
      <c r="M163" s="39">
        <v>20.66</v>
      </c>
      <c r="N163" s="39">
        <v>24</v>
      </c>
      <c r="O163" s="44">
        <f>N163*Assumptions!$C$98/(Assumptions!$G$10*0.001) /10^9*M163/100</f>
        <v>4.4946285655890978</v>
      </c>
      <c r="P163" s="48">
        <f>Assumptions!$C$114*Assumptions!$C$113/(Assumptions!$G$12*0.001) /10^9</f>
        <v>0.71857276338974674</v>
      </c>
      <c r="Q163" s="42">
        <f t="shared" si="12"/>
        <v>82.999147454868762</v>
      </c>
      <c r="S163" s="29" t="str">
        <f t="shared" si="13"/>
        <v>(260,63,40,100,24,0.21)</v>
      </c>
    </row>
    <row r="164" spans="2:19">
      <c r="B164" s="38">
        <v>12</v>
      </c>
      <c r="C164" s="39">
        <v>260</v>
      </c>
      <c r="D164" s="39">
        <v>60</v>
      </c>
      <c r="E164" s="37">
        <v>50</v>
      </c>
      <c r="F164" s="39">
        <v>100</v>
      </c>
      <c r="G164" s="40">
        <f>B164*Assumptions!$C$19*365*24*Assumptions!$D$26*1000/(Assumptions!$C$10*0.001) /10^9</f>
        <v>12.833780869565217</v>
      </c>
      <c r="H164" s="40">
        <f>C164*Assumptions!$C$20*365*24*Assumptions!$D$30*1000/(Assumptions!$C$10*0.001) /10^9</f>
        <v>45.619957830488204</v>
      </c>
      <c r="I164" s="40">
        <f>E164*Assumptions!$C$47/(Assumptions!$C$10*0.001) /10^9</f>
        <v>3.7306170293519516</v>
      </c>
      <c r="J164" s="40">
        <f>D164*Assumptions!$C$57/(Assumptions!$C$10*0.001) /10^9</f>
        <v>5.0485645208689114</v>
      </c>
      <c r="K164" s="40">
        <f>F164*Assumptions!$C$66/(Assumptions!$C$10*0.001) /10^9</f>
        <v>7.0467210554425748</v>
      </c>
      <c r="L164" s="47">
        <f>4</f>
        <v>4</v>
      </c>
      <c r="M164" s="39">
        <v>25.81</v>
      </c>
      <c r="N164" s="39">
        <v>19</v>
      </c>
      <c r="O164" s="44">
        <f>N164*Assumptions!$C$98/(Assumptions!$G$10*0.001) /10^9*M164/100</f>
        <v>4.4452260855905879</v>
      </c>
      <c r="P164" s="48">
        <f>Assumptions!$C$114*Assumptions!$C$113/(Assumptions!$G$12*0.001) /10^9</f>
        <v>0.71857276338974674</v>
      </c>
      <c r="Q164" s="42">
        <f t="shared" si="12"/>
        <v>83.4434401546972</v>
      </c>
      <c r="S164" s="29" t="str">
        <f t="shared" si="13"/>
        <v>(260,60,50,100,19,0.26)</v>
      </c>
    </row>
    <row r="165" spans="2:19">
      <c r="B165" s="38">
        <v>12</v>
      </c>
      <c r="C165" s="39">
        <v>260</v>
      </c>
      <c r="D165" s="39">
        <v>58</v>
      </c>
      <c r="E165" s="37">
        <v>60</v>
      </c>
      <c r="F165" s="39">
        <v>100</v>
      </c>
      <c r="G165" s="40">
        <f>B165*Assumptions!$C$19*365*24*Assumptions!$D$26*1000/(Assumptions!$C$10*0.001) /10^9</f>
        <v>12.833780869565217</v>
      </c>
      <c r="H165" s="40">
        <f>C165*Assumptions!$C$20*365*24*Assumptions!$D$30*1000/(Assumptions!$C$10*0.001) /10^9</f>
        <v>45.619957830488204</v>
      </c>
      <c r="I165" s="40">
        <f>E165*Assumptions!$C$47/(Assumptions!$C$10*0.001) /10^9</f>
        <v>4.4767404352223421</v>
      </c>
      <c r="J165" s="40">
        <f>D165*Assumptions!$C$57/(Assumptions!$C$10*0.001) /10^9</f>
        <v>4.8802790368399478</v>
      </c>
      <c r="K165" s="40">
        <f>F165*Assumptions!$C$66/(Assumptions!$C$10*0.001) /10^9</f>
        <v>7.0467210554425748</v>
      </c>
      <c r="L165" s="47">
        <f>4</f>
        <v>4</v>
      </c>
      <c r="M165" s="39">
        <v>28.82</v>
      </c>
      <c r="N165" s="39">
        <v>17</v>
      </c>
      <c r="O165" s="44">
        <f>N165*Assumptions!$C$98/(Assumptions!$G$10*0.001) /10^9*M165/100</f>
        <v>4.4411469817375</v>
      </c>
      <c r="P165" s="48">
        <f>Assumptions!$C$114*Assumptions!$C$113/(Assumptions!$G$12*0.001) /10^9</f>
        <v>0.71857276338974674</v>
      </c>
      <c r="Q165" s="42">
        <f t="shared" si="12"/>
        <v>84.017198972685534</v>
      </c>
      <c r="S165" s="29" t="str">
        <f t="shared" si="13"/>
        <v>(260,58,60,100,17,0.29)</v>
      </c>
    </row>
    <row r="166" spans="2:19">
      <c r="B166" s="38">
        <v>12</v>
      </c>
      <c r="C166" s="39">
        <v>260</v>
      </c>
      <c r="D166" s="39">
        <v>57</v>
      </c>
      <c r="E166" s="37">
        <v>70</v>
      </c>
      <c r="F166" s="39">
        <v>100</v>
      </c>
      <c r="G166" s="40">
        <f>B166*Assumptions!$C$19*365*24*Assumptions!$D$26*1000/(Assumptions!$C$10*0.001) /10^9</f>
        <v>12.833780869565217</v>
      </c>
      <c r="H166" s="40">
        <f>C166*Assumptions!$C$20*365*24*Assumptions!$D$30*1000/(Assumptions!$C$10*0.001) /10^9</f>
        <v>45.619957830488204</v>
      </c>
      <c r="I166" s="40">
        <f>E166*Assumptions!$C$47/(Assumptions!$C$10*0.001) /10^9</f>
        <v>5.2228638410927326</v>
      </c>
      <c r="J166" s="40">
        <f>D166*Assumptions!$C$57/(Assumptions!$C$10*0.001) /10^9</f>
        <v>4.796136294825466</v>
      </c>
      <c r="K166" s="40">
        <f>F166*Assumptions!$C$66/(Assumptions!$C$10*0.001) /10^9</f>
        <v>7.0467210554425748</v>
      </c>
      <c r="L166" s="47">
        <f>4</f>
        <v>4</v>
      </c>
      <c r="M166" s="39">
        <v>30.61</v>
      </c>
      <c r="N166" s="39">
        <v>16</v>
      </c>
      <c r="O166" s="44">
        <f>N166*Assumptions!$C$98/(Assumptions!$G$10*0.001) /10^9*M166/100</f>
        <v>4.439515340196265</v>
      </c>
      <c r="P166" s="48">
        <f>Assumptions!$C$114*Assumptions!$C$113/(Assumptions!$G$12*0.001) /10^9</f>
        <v>0.71857276338974674</v>
      </c>
      <c r="Q166" s="42">
        <f t="shared" si="12"/>
        <v>84.677547995000211</v>
      </c>
      <c r="S166" s="29" t="str">
        <f t="shared" si="13"/>
        <v>(260,57,70,100,16,0.31)</v>
      </c>
    </row>
    <row r="167" spans="2:19">
      <c r="B167" s="38">
        <v>12</v>
      </c>
      <c r="C167" s="39">
        <v>260</v>
      </c>
      <c r="D167" s="39">
        <v>56</v>
      </c>
      <c r="E167" s="37">
        <v>80</v>
      </c>
      <c r="F167" s="39">
        <v>100</v>
      </c>
      <c r="G167" s="40">
        <f>B167*Assumptions!$C$19*365*24*Assumptions!$D$26*1000/(Assumptions!$C$10*0.001) /10^9</f>
        <v>12.833780869565217</v>
      </c>
      <c r="H167" s="40">
        <f>C167*Assumptions!$C$20*365*24*Assumptions!$D$30*1000/(Assumptions!$C$10*0.001) /10^9</f>
        <v>45.619957830488204</v>
      </c>
      <c r="I167" s="40">
        <f>E167*Assumptions!$C$47/(Assumptions!$C$10*0.001) /10^9</f>
        <v>5.9689872469631231</v>
      </c>
      <c r="J167" s="40">
        <f>D167*Assumptions!$C$57/(Assumptions!$C$10*0.001) /10^9</f>
        <v>4.7119935528109842</v>
      </c>
      <c r="K167" s="40">
        <f>F167*Assumptions!$C$66/(Assumptions!$C$10*0.001) /10^9</f>
        <v>7.0467210554425748</v>
      </c>
      <c r="L167" s="47">
        <f>4</f>
        <v>4</v>
      </c>
      <c r="M167" s="39">
        <v>31.81</v>
      </c>
      <c r="N167" s="39">
        <v>15</v>
      </c>
      <c r="O167" s="44">
        <f>N167*Assumptions!$C$98/(Assumptions!$G$10*0.001) /10^9*M167/100</f>
        <v>4.3252097855575142</v>
      </c>
      <c r="P167" s="48">
        <f>Assumptions!$C$114*Assumptions!$C$113/(Assumptions!$G$12*0.001) /10^9</f>
        <v>0.71857276338974674</v>
      </c>
      <c r="Q167" s="42">
        <f t="shared" si="12"/>
        <v>85.225223104217363</v>
      </c>
      <c r="S167" s="29" t="str">
        <f t="shared" si="13"/>
        <v>(260,56,80,100,15,0.32)</v>
      </c>
    </row>
    <row r="168" spans="2:19">
      <c r="B168" s="38">
        <v>12</v>
      </c>
      <c r="C168" s="39">
        <v>260</v>
      </c>
      <c r="D168" s="39">
        <v>55</v>
      </c>
      <c r="E168" s="37">
        <v>90</v>
      </c>
      <c r="F168" s="39">
        <v>100</v>
      </c>
      <c r="G168" s="40">
        <f>B168*Assumptions!$C$19*365*24*Assumptions!$D$26*1000/(Assumptions!$C$10*0.001) /10^9</f>
        <v>12.833780869565217</v>
      </c>
      <c r="H168" s="40">
        <f>C168*Assumptions!$C$20*365*24*Assumptions!$D$30*1000/(Assumptions!$C$10*0.001) /10^9</f>
        <v>45.619957830488204</v>
      </c>
      <c r="I168" s="40">
        <f>E168*Assumptions!$C$47/(Assumptions!$C$10*0.001) /10^9</f>
        <v>6.7151106528335136</v>
      </c>
      <c r="J168" s="40">
        <f>D168*Assumptions!$C$57/(Assumptions!$C$10*0.001) /10^9</f>
        <v>4.6278508107965024</v>
      </c>
      <c r="K168" s="40">
        <f>F168*Assumptions!$C$66/(Assumptions!$C$10*0.001) /10^9</f>
        <v>7.0467210554425748</v>
      </c>
      <c r="L168" s="47">
        <f>4</f>
        <v>4</v>
      </c>
      <c r="M168" s="39">
        <v>32.380000000000003</v>
      </c>
      <c r="N168" s="39">
        <v>15</v>
      </c>
      <c r="O168" s="44">
        <f>N168*Assumptions!$C$98/(Assumptions!$G$10*0.001) /10^9*M168/100</f>
        <v>4.4027127587661843</v>
      </c>
      <c r="P168" s="48">
        <f>Assumptions!$C$114*Assumptions!$C$113/(Assumptions!$G$12*0.001) /10^9</f>
        <v>0.71857276338974674</v>
      </c>
      <c r="Q168" s="42">
        <f t="shared" si="12"/>
        <v>85.964706741281944</v>
      </c>
      <c r="S168" s="29" t="str">
        <f t="shared" si="13"/>
        <v>(260,55,90,100,15,0.32)</v>
      </c>
    </row>
    <row r="169" spans="2:19">
      <c r="B169" s="38">
        <v>12</v>
      </c>
      <c r="C169" s="39">
        <v>260</v>
      </c>
      <c r="D169" s="39">
        <v>55</v>
      </c>
      <c r="E169" s="37">
        <v>100</v>
      </c>
      <c r="F169" s="39">
        <v>100</v>
      </c>
      <c r="G169" s="40">
        <f>B169*Assumptions!$C$19*365*24*Assumptions!$D$26*1000/(Assumptions!$C$10*0.001) /10^9</f>
        <v>12.833780869565217</v>
      </c>
      <c r="H169" s="40">
        <f>C169*Assumptions!$C$20*365*24*Assumptions!$D$30*1000/(Assumptions!$C$10*0.001) /10^9</f>
        <v>45.619957830488204</v>
      </c>
      <c r="I169" s="40">
        <f>E169*Assumptions!$C$47/(Assumptions!$C$10*0.001) /10^9</f>
        <v>7.4612340587039032</v>
      </c>
      <c r="J169" s="40">
        <f>D169*Assumptions!$C$57/(Assumptions!$C$10*0.001) /10^9</f>
        <v>4.6278508107965024</v>
      </c>
      <c r="K169" s="40">
        <f>F169*Assumptions!$C$66/(Assumptions!$C$10*0.001) /10^9</f>
        <v>7.0467210554425748</v>
      </c>
      <c r="L169" s="47">
        <f>4</f>
        <v>4</v>
      </c>
      <c r="M169" s="39">
        <v>32.659999999999997</v>
      </c>
      <c r="N169" s="39">
        <v>15</v>
      </c>
      <c r="O169" s="44">
        <f>N169*Assumptions!$C$98/(Assumptions!$G$10*0.001) /10^9*M169/100</f>
        <v>4.440784394728337</v>
      </c>
      <c r="P169" s="48">
        <f>Assumptions!$C$114*Assumptions!$C$113/(Assumptions!$G$12*0.001) /10^9</f>
        <v>0.71857276338974674</v>
      </c>
      <c r="Q169" s="42">
        <f t="shared" si="12"/>
        <v>86.748901783114491</v>
      </c>
      <c r="S169" s="29" t="str">
        <f t="shared" si="13"/>
        <v>(260,55,100,100,15,0.33)</v>
      </c>
    </row>
    <row r="170" spans="2:19">
      <c r="B170" s="38">
        <v>12</v>
      </c>
      <c r="C170" s="39">
        <v>240</v>
      </c>
      <c r="D170" s="39">
        <v>91</v>
      </c>
      <c r="E170" s="37">
        <v>60</v>
      </c>
      <c r="F170" s="39">
        <v>100</v>
      </c>
      <c r="G170" s="40">
        <f>B170*Assumptions!$C$19*365*24*Assumptions!$D$26*1000/(Assumptions!$C$10*0.001) /10^9</f>
        <v>12.833780869565217</v>
      </c>
      <c r="H170" s="40">
        <f>C170*Assumptions!$C$20*365*24*Assumptions!$D$30*1000/(Assumptions!$C$10*0.001) /10^9</f>
        <v>42.110730305066035</v>
      </c>
      <c r="I170" s="40">
        <f>E170*Assumptions!$C$47/(Assumptions!$C$10*0.001) /10^9</f>
        <v>4.4767404352223421</v>
      </c>
      <c r="J170" s="40">
        <f>D170*Assumptions!$C$57/(Assumptions!$C$10*0.001) /10^9</f>
        <v>7.6569895233178498</v>
      </c>
      <c r="K170" s="40">
        <f>F170*Assumptions!$C$66/(Assumptions!$C$10*0.001) /10^9</f>
        <v>7.0467210554425748</v>
      </c>
      <c r="L170" s="47">
        <f>4</f>
        <v>4</v>
      </c>
      <c r="M170" s="39">
        <v>14.98</v>
      </c>
      <c r="N170" s="39">
        <v>81</v>
      </c>
      <c r="O170" s="44">
        <f>N170*Assumptions!$C$98/(Assumptions!$G$10*0.001) /10^9*M170/100</f>
        <v>10.998895629466155</v>
      </c>
      <c r="P170" s="48">
        <f>Assumptions!$C$114*Assumptions!$C$113/(Assumptions!$G$14*0.001) /10^9</f>
        <v>0.69300342293188655</v>
      </c>
      <c r="Q170" s="42">
        <f>SUM(G170:L170)+O170+P170</f>
        <v>89.816861241012063</v>
      </c>
      <c r="S170" s="29" t="str">
        <f t="shared" si="13"/>
        <v>(240,91,60,100,81,0.15)</v>
      </c>
    </row>
    <row r="171" spans="2:19">
      <c r="B171" s="38">
        <v>12</v>
      </c>
      <c r="C171" s="39">
        <v>240</v>
      </c>
      <c r="D171" s="39">
        <v>85</v>
      </c>
      <c r="E171" s="37">
        <v>70</v>
      </c>
      <c r="F171" s="39">
        <v>100</v>
      </c>
      <c r="G171" s="40">
        <f>B171*Assumptions!$C$19*365*24*Assumptions!$D$26*1000/(Assumptions!$C$10*0.001) /10^9</f>
        <v>12.833780869565217</v>
      </c>
      <c r="H171" s="40">
        <f>C171*Assumptions!$C$20*365*24*Assumptions!$D$30*1000/(Assumptions!$C$10*0.001) /10^9</f>
        <v>42.110730305066035</v>
      </c>
      <c r="I171" s="40">
        <f>E171*Assumptions!$C$47/(Assumptions!$C$10*0.001) /10^9</f>
        <v>5.2228638410927326</v>
      </c>
      <c r="J171" s="40">
        <f>D171*Assumptions!$C$57/(Assumptions!$C$10*0.001) /10^9</f>
        <v>7.152133071230959</v>
      </c>
      <c r="K171" s="40">
        <f>F171*Assumptions!$C$66/(Assumptions!$C$10*0.001) /10^9</f>
        <v>7.0467210554425748</v>
      </c>
      <c r="L171" s="47">
        <f>4</f>
        <v>4</v>
      </c>
      <c r="M171" s="39">
        <v>16.829999999999998</v>
      </c>
      <c r="N171" s="39">
        <v>62</v>
      </c>
      <c r="O171" s="44">
        <f>N171*Assumptions!$C$98/(Assumptions!$G$10*0.001) /10^9*M171/100</f>
        <v>9.4586260145401724</v>
      </c>
      <c r="P171" s="48">
        <f>Assumptions!$C$114*Assumptions!$C$113/(Assumptions!$G$14*0.001) /10^9</f>
        <v>0.69300342293188655</v>
      </c>
      <c r="Q171" s="42">
        <f t="shared" ref="Q171:Q188" si="14">SUM(G171:L171)+O171+P171</f>
        <v>88.517858579869568</v>
      </c>
      <c r="S171" s="29" t="str">
        <f t="shared" si="13"/>
        <v>(240,85,70,100,62,0.17)</v>
      </c>
    </row>
    <row r="172" spans="2:19">
      <c r="B172" s="38">
        <v>12</v>
      </c>
      <c r="C172" s="39">
        <v>240</v>
      </c>
      <c r="D172" s="39">
        <v>81</v>
      </c>
      <c r="E172" s="37">
        <v>80</v>
      </c>
      <c r="F172" s="39">
        <v>100</v>
      </c>
      <c r="G172" s="40">
        <f>B172*Assumptions!$C$19*365*24*Assumptions!$D$26*1000/(Assumptions!$C$10*0.001) /10^9</f>
        <v>12.833780869565217</v>
      </c>
      <c r="H172" s="40">
        <f>C172*Assumptions!$C$20*365*24*Assumptions!$D$30*1000/(Assumptions!$C$10*0.001) /10^9</f>
        <v>42.110730305066035</v>
      </c>
      <c r="I172" s="40">
        <f>E172*Assumptions!$C$47/(Assumptions!$C$10*0.001) /10^9</f>
        <v>5.9689872469631231</v>
      </c>
      <c r="J172" s="40">
        <f>D172*Assumptions!$C$57/(Assumptions!$C$10*0.001) /10^9</f>
        <v>6.8155621031730309</v>
      </c>
      <c r="K172" s="40">
        <f>F172*Assumptions!$C$66/(Assumptions!$C$10*0.001) /10^9</f>
        <v>7.0467210554425748</v>
      </c>
      <c r="L172" s="47">
        <f>4</f>
        <v>4</v>
      </c>
      <c r="M172" s="39">
        <v>17.87</v>
      </c>
      <c r="N172" s="39">
        <v>57</v>
      </c>
      <c r="O172" s="44">
        <f>N172*Assumptions!$C$98/(Assumptions!$G$10*0.001) /10^9*M172/100</f>
        <v>9.2331875415928497</v>
      </c>
      <c r="P172" s="48">
        <f>Assumptions!$C$114*Assumptions!$C$113/(Assumptions!$G$14*0.001) /10^9</f>
        <v>0.69300342293188655</v>
      </c>
      <c r="Q172" s="42">
        <f t="shared" si="14"/>
        <v>88.701972544734716</v>
      </c>
      <c r="S172" s="29" t="str">
        <f t="shared" si="13"/>
        <v>(240,81,80,100,57,0.18)</v>
      </c>
    </row>
    <row r="173" spans="2:19">
      <c r="B173" s="38">
        <v>12</v>
      </c>
      <c r="C173" s="39">
        <v>240</v>
      </c>
      <c r="D173" s="39">
        <v>79</v>
      </c>
      <c r="E173" s="37">
        <v>90</v>
      </c>
      <c r="F173" s="39">
        <v>100</v>
      </c>
      <c r="G173" s="40">
        <f>B173*Assumptions!$C$19*365*24*Assumptions!$D$26*1000/(Assumptions!$C$10*0.001) /10^9</f>
        <v>12.833780869565217</v>
      </c>
      <c r="H173" s="40">
        <f>C173*Assumptions!$C$20*365*24*Assumptions!$D$30*1000/(Assumptions!$C$10*0.001) /10^9</f>
        <v>42.110730305066035</v>
      </c>
      <c r="I173" s="40">
        <f>E173*Assumptions!$C$47/(Assumptions!$C$10*0.001) /10^9</f>
        <v>6.7151106528335136</v>
      </c>
      <c r="J173" s="40">
        <f>D173*Assumptions!$C$57/(Assumptions!$C$10*0.001) /10^9</f>
        <v>6.6472766191440682</v>
      </c>
      <c r="K173" s="40">
        <f>F173*Assumptions!$C$66/(Assumptions!$C$10*0.001) /10^9</f>
        <v>7.0467210554425748</v>
      </c>
      <c r="L173" s="47">
        <f>4</f>
        <v>4</v>
      </c>
      <c r="M173" s="39">
        <v>18.489999999999998</v>
      </c>
      <c r="N173" s="39">
        <v>54</v>
      </c>
      <c r="O173" s="44">
        <f>N173*Assumptions!$C$98/(Assumptions!$G$10*0.001) /10^9*M173/100</f>
        <v>9.0507156292313837</v>
      </c>
      <c r="P173" s="48">
        <f>Assumptions!$C$114*Assumptions!$C$113/(Assumptions!$G$14*0.001) /10^9</f>
        <v>0.69300342293188655</v>
      </c>
      <c r="Q173" s="42">
        <f t="shared" si="14"/>
        <v>89.097338554214687</v>
      </c>
      <c r="S173" s="29" t="str">
        <f t="shared" si="13"/>
        <v>(240,79,90,100,54,0.18)</v>
      </c>
    </row>
    <row r="174" spans="2:19">
      <c r="B174" s="38">
        <v>12</v>
      </c>
      <c r="C174" s="39">
        <v>240</v>
      </c>
      <c r="D174" s="39">
        <v>79</v>
      </c>
      <c r="E174" s="37">
        <v>100</v>
      </c>
      <c r="F174" s="39">
        <v>100</v>
      </c>
      <c r="G174" s="40">
        <f>B174*Assumptions!$C$19*365*24*Assumptions!$D$26*1000/(Assumptions!$C$10*0.001) /10^9</f>
        <v>12.833780869565217</v>
      </c>
      <c r="H174" s="40">
        <f>C174*Assumptions!$C$20*365*24*Assumptions!$D$30*1000/(Assumptions!$C$10*0.001) /10^9</f>
        <v>42.110730305066035</v>
      </c>
      <c r="I174" s="40">
        <f>E174*Assumptions!$C$47/(Assumptions!$C$10*0.001) /10^9</f>
        <v>7.4612340587039032</v>
      </c>
      <c r="J174" s="40">
        <f>D174*Assumptions!$C$57/(Assumptions!$C$10*0.001) /10^9</f>
        <v>6.6472766191440682</v>
      </c>
      <c r="K174" s="40">
        <f>F174*Assumptions!$C$66/(Assumptions!$C$10*0.001) /10^9</f>
        <v>7.0467210554425748</v>
      </c>
      <c r="L174" s="47">
        <f>4</f>
        <v>4</v>
      </c>
      <c r="M174" s="39">
        <v>18.73</v>
      </c>
      <c r="N174" s="39">
        <v>53</v>
      </c>
      <c r="O174" s="44">
        <f>N174*Assumptions!$C$98/(Assumptions!$G$10*0.001) /10^9*M174/100</f>
        <v>8.9984124531595686</v>
      </c>
      <c r="P174" s="48">
        <f>Assumptions!$C$114*Assumptions!$C$113/(Assumptions!$G$14*0.001) /10^9</f>
        <v>0.69300342293188655</v>
      </c>
      <c r="Q174" s="42">
        <f t="shared" si="14"/>
        <v>89.791158784013248</v>
      </c>
      <c r="S174" s="29" t="str">
        <f t="shared" si="13"/>
        <v>(240,79,100,100,53,0.19)</v>
      </c>
    </row>
    <row r="175" spans="2:19">
      <c r="B175" s="38">
        <v>12</v>
      </c>
      <c r="C175" s="39">
        <v>250</v>
      </c>
      <c r="D175" s="39">
        <v>84</v>
      </c>
      <c r="E175" s="37">
        <v>40</v>
      </c>
      <c r="F175" s="39">
        <v>100</v>
      </c>
      <c r="G175" s="40">
        <f>B175*Assumptions!$C$19*365*24*Assumptions!$D$26*1000/(Assumptions!$C$10*0.001) /10^9</f>
        <v>12.833780869565217</v>
      </c>
      <c r="H175" s="40">
        <f>C175*Assumptions!$C$20*365*24*Assumptions!$D$30*1000/(Assumptions!$C$10*0.001) /10^9</f>
        <v>43.86534406777713</v>
      </c>
      <c r="I175" s="40">
        <f>E175*Assumptions!$C$47/(Assumptions!$C$10*0.001) /10^9</f>
        <v>2.9844936234815616</v>
      </c>
      <c r="J175" s="40">
        <f>D175*Assumptions!$C$57/(Assumptions!$C$10*0.001) /10^9</f>
        <v>7.0679903292164772</v>
      </c>
      <c r="K175" s="40">
        <f>F175*Assumptions!$C$66/(Assumptions!$C$10*0.001) /10^9</f>
        <v>7.0467210554425748</v>
      </c>
      <c r="L175" s="47">
        <f>4</f>
        <v>4</v>
      </c>
      <c r="M175" s="39">
        <v>13.49</v>
      </c>
      <c r="N175" s="39">
        <v>106</v>
      </c>
      <c r="O175" s="44">
        <f>N175*Assumptions!$C$98/(Assumptions!$G$10*0.001) /10^9*M175/100</f>
        <v>12.961941697076625</v>
      </c>
      <c r="P175" s="48">
        <f>Assumptions!$C$114*Assumptions!$C$113/(Assumptions!$G$14*0.001) /10^9</f>
        <v>0.69300342293188655</v>
      </c>
      <c r="Q175" s="42">
        <f t="shared" si="14"/>
        <v>91.453275065491468</v>
      </c>
      <c r="S175" s="29" t="str">
        <f t="shared" si="13"/>
        <v>(250,84,40,100,106,0.13)</v>
      </c>
    </row>
    <row r="176" spans="2:19">
      <c r="B176" s="38">
        <v>12</v>
      </c>
      <c r="C176" s="39">
        <v>250</v>
      </c>
      <c r="D176" s="39">
        <v>71</v>
      </c>
      <c r="E176" s="37">
        <v>50</v>
      </c>
      <c r="F176" s="39">
        <v>100</v>
      </c>
      <c r="G176" s="40">
        <f>B176*Assumptions!$C$19*365*24*Assumptions!$D$26*1000/(Assumptions!$C$10*0.001) /10^9</f>
        <v>12.833780869565217</v>
      </c>
      <c r="H176" s="40">
        <f>C176*Assumptions!$C$20*365*24*Assumptions!$D$30*1000/(Assumptions!$C$10*0.001) /10^9</f>
        <v>43.86534406777713</v>
      </c>
      <c r="I176" s="40">
        <f>E176*Assumptions!$C$47/(Assumptions!$C$10*0.001) /10^9</f>
        <v>3.7306170293519516</v>
      </c>
      <c r="J176" s="40">
        <f>D176*Assumptions!$C$57/(Assumptions!$C$10*0.001) /10^9</f>
        <v>5.9741346830282129</v>
      </c>
      <c r="K176" s="40">
        <f>F176*Assumptions!$C$66/(Assumptions!$C$10*0.001) /10^9</f>
        <v>7.0467210554425748</v>
      </c>
      <c r="L176" s="47">
        <f>4</f>
        <v>4</v>
      </c>
      <c r="M176" s="39">
        <v>19.02</v>
      </c>
      <c r="N176" s="39">
        <v>50</v>
      </c>
      <c r="O176" s="44">
        <f>N176*Assumptions!$C$98/(Assumptions!$G$10*0.001) /10^9*M176/100</f>
        <v>8.6205061428590497</v>
      </c>
      <c r="P176" s="48">
        <f>Assumptions!$C$114*Assumptions!$C$113/(Assumptions!$G$14*0.001) /10^9</f>
        <v>0.69300342293188655</v>
      </c>
      <c r="Q176" s="42">
        <f t="shared" si="14"/>
        <v>86.764107270956018</v>
      </c>
      <c r="S176" s="29" t="str">
        <f t="shared" si="13"/>
        <v>(250,71,50,100,50,0.19)</v>
      </c>
    </row>
    <row r="177" spans="2:19">
      <c r="B177" s="38">
        <v>12</v>
      </c>
      <c r="C177" s="39">
        <v>250</v>
      </c>
      <c r="D177" s="39">
        <v>69</v>
      </c>
      <c r="E177" s="37">
        <v>60</v>
      </c>
      <c r="F177" s="39">
        <v>100</v>
      </c>
      <c r="G177" s="40">
        <f>B177*Assumptions!$C$19*365*24*Assumptions!$D$26*1000/(Assumptions!$C$10*0.001) /10^9</f>
        <v>12.833780869565217</v>
      </c>
      <c r="H177" s="40">
        <f>C177*Assumptions!$C$20*365*24*Assumptions!$D$30*1000/(Assumptions!$C$10*0.001) /10^9</f>
        <v>43.86534406777713</v>
      </c>
      <c r="I177" s="40">
        <f>E177*Assumptions!$C$47/(Assumptions!$C$10*0.001) /10^9</f>
        <v>4.4767404352223421</v>
      </c>
      <c r="J177" s="40">
        <f>D177*Assumptions!$C$57/(Assumptions!$C$10*0.001) /10^9</f>
        <v>5.8058491989992493</v>
      </c>
      <c r="K177" s="40">
        <f>F177*Assumptions!$C$66/(Assumptions!$C$10*0.001) /10^9</f>
        <v>7.0467210554425748</v>
      </c>
      <c r="L177" s="47">
        <f>4</f>
        <v>4</v>
      </c>
      <c r="M177" s="39">
        <v>22.2</v>
      </c>
      <c r="N177" s="39">
        <v>40</v>
      </c>
      <c r="O177" s="44">
        <f>N177*Assumptions!$C$98/(Assumptions!$G$10*0.001) /10^9*M177/100</f>
        <v>8.049431603426747</v>
      </c>
      <c r="P177" s="48">
        <f>Assumptions!$C$114*Assumptions!$C$113/(Assumptions!$G$14*0.001) /10^9</f>
        <v>0.69300342293188655</v>
      </c>
      <c r="Q177" s="42">
        <f t="shared" si="14"/>
        <v>86.770870653365151</v>
      </c>
      <c r="S177" s="29" t="str">
        <f t="shared" si="13"/>
        <v>(250,69,60,100,40,0.22)</v>
      </c>
    </row>
    <row r="178" spans="2:19">
      <c r="B178" s="38">
        <v>12</v>
      </c>
      <c r="C178" s="39">
        <v>250</v>
      </c>
      <c r="D178" s="39">
        <v>68</v>
      </c>
      <c r="E178" s="37">
        <v>70</v>
      </c>
      <c r="F178" s="39">
        <v>100</v>
      </c>
      <c r="G178" s="40">
        <f>B178*Assumptions!$C$19*365*24*Assumptions!$D$26*1000/(Assumptions!$C$10*0.001) /10^9</f>
        <v>12.833780869565217</v>
      </c>
      <c r="H178" s="40">
        <f>C178*Assumptions!$C$20*365*24*Assumptions!$D$30*1000/(Assumptions!$C$10*0.001) /10^9</f>
        <v>43.86534406777713</v>
      </c>
      <c r="I178" s="40">
        <f>E178*Assumptions!$C$47/(Assumptions!$C$10*0.001) /10^9</f>
        <v>5.2228638410927326</v>
      </c>
      <c r="J178" s="40">
        <f>D178*Assumptions!$C$57/(Assumptions!$C$10*0.001) /10^9</f>
        <v>5.7217064569847667</v>
      </c>
      <c r="K178" s="40">
        <f>F178*Assumptions!$C$66/(Assumptions!$C$10*0.001) /10^9</f>
        <v>7.0467210554425748</v>
      </c>
      <c r="L178" s="47">
        <f>4</f>
        <v>4</v>
      </c>
      <c r="M178" s="39">
        <v>24.08</v>
      </c>
      <c r="N178" s="39">
        <v>36</v>
      </c>
      <c r="O178" s="44">
        <f>N178*Assumptions!$C$98/(Assumptions!$G$10*0.001) /10^9*M178/100</f>
        <v>7.857985662588491</v>
      </c>
      <c r="P178" s="48">
        <f>Assumptions!$C$114*Assumptions!$C$113/(Assumptions!$G$14*0.001) /10^9</f>
        <v>0.69300342293188655</v>
      </c>
      <c r="Q178" s="42">
        <f t="shared" si="14"/>
        <v>87.241405376382787</v>
      </c>
      <c r="S178" s="29" t="str">
        <f t="shared" si="13"/>
        <v>(250,68,70,100,36,0.24)</v>
      </c>
    </row>
    <row r="179" spans="2:19">
      <c r="B179" s="38">
        <v>12</v>
      </c>
      <c r="C179" s="39">
        <v>250</v>
      </c>
      <c r="D179" s="39">
        <v>67</v>
      </c>
      <c r="E179" s="37">
        <v>80</v>
      </c>
      <c r="F179" s="39">
        <v>100</v>
      </c>
      <c r="G179" s="40">
        <f>B179*Assumptions!$C$19*365*24*Assumptions!$D$26*1000/(Assumptions!$C$10*0.001) /10^9</f>
        <v>12.833780869565217</v>
      </c>
      <c r="H179" s="40">
        <f>C179*Assumptions!$C$20*365*24*Assumptions!$D$30*1000/(Assumptions!$C$10*0.001) /10^9</f>
        <v>43.86534406777713</v>
      </c>
      <c r="I179" s="40">
        <f>E179*Assumptions!$C$47/(Assumptions!$C$10*0.001) /10^9</f>
        <v>5.9689872469631231</v>
      </c>
      <c r="J179" s="40">
        <f>D179*Assumptions!$C$57/(Assumptions!$C$10*0.001) /10^9</f>
        <v>5.6375637149702857</v>
      </c>
      <c r="K179" s="40">
        <f>F179*Assumptions!$C$66/(Assumptions!$C$10*0.001) /10^9</f>
        <v>7.0467210554425748</v>
      </c>
      <c r="L179" s="47">
        <f>4</f>
        <v>4</v>
      </c>
      <c r="M179" s="39">
        <v>25.04</v>
      </c>
      <c r="N179" s="39">
        <v>35</v>
      </c>
      <c r="O179" s="44">
        <f>N179*Assumptions!$C$98/(Assumptions!$G$10*0.001) /10^9*M179/100</f>
        <v>7.9442813707693709</v>
      </c>
      <c r="P179" s="48">
        <f>Assumptions!$C$114*Assumptions!$C$113/(Assumptions!$G$14*0.001) /10^9</f>
        <v>0.69300342293188655</v>
      </c>
      <c r="Q179" s="42">
        <f t="shared" si="14"/>
        <v>87.989681748419585</v>
      </c>
      <c r="S179" s="29" t="str">
        <f t="shared" si="13"/>
        <v>(250,67,80,100,35,0.25)</v>
      </c>
    </row>
    <row r="180" spans="2:19">
      <c r="B180" s="38">
        <v>12</v>
      </c>
      <c r="C180" s="39">
        <v>250</v>
      </c>
      <c r="D180" s="39">
        <v>67</v>
      </c>
      <c r="E180" s="37">
        <v>90</v>
      </c>
      <c r="F180" s="39">
        <v>100</v>
      </c>
      <c r="G180" s="40">
        <f>B180*Assumptions!$C$19*365*24*Assumptions!$D$26*1000/(Assumptions!$C$10*0.001) /10^9</f>
        <v>12.833780869565217</v>
      </c>
      <c r="H180" s="40">
        <f>C180*Assumptions!$C$20*365*24*Assumptions!$D$30*1000/(Assumptions!$C$10*0.001) /10^9</f>
        <v>43.86534406777713</v>
      </c>
      <c r="I180" s="40">
        <f>E180*Assumptions!$C$47/(Assumptions!$C$10*0.001) /10^9</f>
        <v>6.7151106528335136</v>
      </c>
      <c r="J180" s="40">
        <f>D180*Assumptions!$C$57/(Assumptions!$C$10*0.001) /10^9</f>
        <v>5.6375637149702857</v>
      </c>
      <c r="K180" s="40">
        <f>F180*Assumptions!$C$66/(Assumptions!$C$10*0.001) /10^9</f>
        <v>7.0467210554425748</v>
      </c>
      <c r="L180" s="47">
        <f>4</f>
        <v>4</v>
      </c>
      <c r="M180" s="39">
        <v>25.64</v>
      </c>
      <c r="N180" s="39">
        <v>34</v>
      </c>
      <c r="O180" s="44">
        <f>N180*Assumptions!$C$98/(Assumptions!$G$10*0.001) /10^9*M180/100</f>
        <v>7.9022212777064196</v>
      </c>
      <c r="P180" s="48">
        <f>Assumptions!$C$114*Assumptions!$C$113/(Assumptions!$G$14*0.001) /10^9</f>
        <v>0.69300342293188655</v>
      </c>
      <c r="Q180" s="42">
        <f t="shared" si="14"/>
        <v>88.69374506122702</v>
      </c>
      <c r="S180" s="29" t="str">
        <f t="shared" si="13"/>
        <v>(250,67,90,100,34,0.26)</v>
      </c>
    </row>
    <row r="181" spans="2:19">
      <c r="B181" s="38">
        <v>12</v>
      </c>
      <c r="C181" s="39">
        <v>250</v>
      </c>
      <c r="D181" s="39">
        <v>67</v>
      </c>
      <c r="E181" s="37">
        <v>100</v>
      </c>
      <c r="F181" s="39">
        <v>100</v>
      </c>
      <c r="G181" s="40">
        <f>B181*Assumptions!$C$19*365*24*Assumptions!$D$26*1000/(Assumptions!$C$10*0.001) /10^9</f>
        <v>12.833780869565217</v>
      </c>
      <c r="H181" s="40">
        <f>C181*Assumptions!$C$20*365*24*Assumptions!$D$30*1000/(Assumptions!$C$10*0.001) /10^9</f>
        <v>43.86534406777713</v>
      </c>
      <c r="I181" s="40">
        <f>E181*Assumptions!$C$47/(Assumptions!$C$10*0.001) /10^9</f>
        <v>7.4612340587039032</v>
      </c>
      <c r="J181" s="40">
        <f>D181*Assumptions!$C$57/(Assumptions!$C$10*0.001) /10^9</f>
        <v>5.6375637149702857</v>
      </c>
      <c r="K181" s="40">
        <f>F181*Assumptions!$C$66/(Assumptions!$C$10*0.001) /10^9</f>
        <v>7.0467210554425748</v>
      </c>
      <c r="L181" s="47">
        <f>4</f>
        <v>4</v>
      </c>
      <c r="M181" s="39">
        <v>26.03</v>
      </c>
      <c r="N181" s="39">
        <v>33</v>
      </c>
      <c r="O181" s="44">
        <f>N181*Assumptions!$C$98/(Assumptions!$G$10*0.001) /10^9*M181/100</f>
        <v>7.7864653750310167</v>
      </c>
      <c r="P181" s="48">
        <f>Assumptions!$C$114*Assumptions!$C$113/(Assumptions!$G$14*0.001) /10^9</f>
        <v>0.69300342293188655</v>
      </c>
      <c r="Q181" s="42">
        <f t="shared" si="14"/>
        <v>89.324112564422009</v>
      </c>
      <c r="S181" s="29" t="str">
        <f t="shared" si="13"/>
        <v>(250,67,100,100,33,0.26)</v>
      </c>
    </row>
    <row r="182" spans="2:19">
      <c r="B182" s="38">
        <v>12</v>
      </c>
      <c r="C182" s="39">
        <v>260</v>
      </c>
      <c r="D182" s="39">
        <v>63</v>
      </c>
      <c r="E182" s="37">
        <v>40</v>
      </c>
      <c r="F182" s="39">
        <v>100</v>
      </c>
      <c r="G182" s="40">
        <f>B182*Assumptions!$C$19*365*24*Assumptions!$D$26*1000/(Assumptions!$C$10*0.001) /10^9</f>
        <v>12.833780869565217</v>
      </c>
      <c r="H182" s="40">
        <f>C182*Assumptions!$C$20*365*24*Assumptions!$D$30*1000/(Assumptions!$C$10*0.001) /10^9</f>
        <v>45.619957830488204</v>
      </c>
      <c r="I182" s="40">
        <f>E182*Assumptions!$C$47/(Assumptions!$C$10*0.001) /10^9</f>
        <v>2.9844936234815616</v>
      </c>
      <c r="J182" s="40">
        <f>D182*Assumptions!$C$57/(Assumptions!$C$10*0.001) /10^9</f>
        <v>5.3009927469123577</v>
      </c>
      <c r="K182" s="40">
        <f>F182*Assumptions!$C$66/(Assumptions!$C$10*0.001) /10^9</f>
        <v>7.0467210554425748</v>
      </c>
      <c r="L182" s="47">
        <f>4</f>
        <v>4</v>
      </c>
      <c r="M182" s="39">
        <v>20.66</v>
      </c>
      <c r="N182" s="39">
        <v>43</v>
      </c>
      <c r="O182" s="44">
        <f>N182*Assumptions!$C$98/(Assumptions!$G$10*0.001) /10^9*M182/100</f>
        <v>8.0528761800137989</v>
      </c>
      <c r="P182" s="48">
        <f>Assumptions!$C$114*Assumptions!$C$113/(Assumptions!$G$14*0.001) /10^9</f>
        <v>0.69300342293188655</v>
      </c>
      <c r="Q182" s="42">
        <f t="shared" si="14"/>
        <v>86.531825728835599</v>
      </c>
      <c r="S182" s="29" t="str">
        <f t="shared" si="13"/>
        <v>(260,63,40,100,43,0.21)</v>
      </c>
    </row>
    <row r="183" spans="2:19">
      <c r="B183" s="38">
        <v>12</v>
      </c>
      <c r="C183" s="39">
        <v>260</v>
      </c>
      <c r="D183" s="39">
        <v>60</v>
      </c>
      <c r="E183" s="37">
        <v>50</v>
      </c>
      <c r="F183" s="39">
        <v>100</v>
      </c>
      <c r="G183" s="40">
        <f>B183*Assumptions!$C$19*365*24*Assumptions!$D$26*1000/(Assumptions!$C$10*0.001) /10^9</f>
        <v>12.833780869565217</v>
      </c>
      <c r="H183" s="40">
        <f>C183*Assumptions!$C$20*365*24*Assumptions!$D$30*1000/(Assumptions!$C$10*0.001) /10^9</f>
        <v>45.619957830488204</v>
      </c>
      <c r="I183" s="40">
        <f>E183*Assumptions!$C$47/(Assumptions!$C$10*0.001) /10^9</f>
        <v>3.7306170293519516</v>
      </c>
      <c r="J183" s="40">
        <f>D183*Assumptions!$C$57/(Assumptions!$C$10*0.001) /10^9</f>
        <v>5.0485645208689114</v>
      </c>
      <c r="K183" s="40">
        <f>F183*Assumptions!$C$66/(Assumptions!$C$10*0.001) /10^9</f>
        <v>7.0467210554425748</v>
      </c>
      <c r="L183" s="47">
        <f>4</f>
        <v>4</v>
      </c>
      <c r="M183" s="39">
        <v>25.81</v>
      </c>
      <c r="N183" s="39">
        <v>33</v>
      </c>
      <c r="O183" s="44">
        <f>N183*Assumptions!$C$98/(Assumptions!$G$10*0.001) /10^9*M183/100</f>
        <v>7.7206558328678652</v>
      </c>
      <c r="P183" s="48">
        <f>Assumptions!$C$114*Assumptions!$C$113/(Assumptions!$G$14*0.001) /10^9</f>
        <v>0.69300342293188655</v>
      </c>
      <c r="Q183" s="42">
        <f t="shared" si="14"/>
        <v>86.693300561516608</v>
      </c>
      <c r="S183" s="29" t="str">
        <f t="shared" si="13"/>
        <v>(260,60,50,100,33,0.26)</v>
      </c>
    </row>
    <row r="184" spans="2:19">
      <c r="B184" s="38">
        <v>12</v>
      </c>
      <c r="C184" s="39">
        <v>260</v>
      </c>
      <c r="D184" s="39">
        <v>58</v>
      </c>
      <c r="E184" s="37">
        <v>60</v>
      </c>
      <c r="F184" s="39">
        <v>100</v>
      </c>
      <c r="G184" s="40">
        <f>B184*Assumptions!$C$19*365*24*Assumptions!$D$26*1000/(Assumptions!$C$10*0.001) /10^9</f>
        <v>12.833780869565217</v>
      </c>
      <c r="H184" s="40">
        <f>C184*Assumptions!$C$20*365*24*Assumptions!$D$30*1000/(Assumptions!$C$10*0.001) /10^9</f>
        <v>45.619957830488204</v>
      </c>
      <c r="I184" s="40">
        <f>E184*Assumptions!$C$47/(Assumptions!$C$10*0.001) /10^9</f>
        <v>4.4767404352223421</v>
      </c>
      <c r="J184" s="40">
        <f>D184*Assumptions!$C$57/(Assumptions!$C$10*0.001) /10^9</f>
        <v>4.8802790368399478</v>
      </c>
      <c r="K184" s="40">
        <f>F184*Assumptions!$C$66/(Assumptions!$C$10*0.001) /10^9</f>
        <v>7.0467210554425748</v>
      </c>
      <c r="L184" s="47">
        <f>4</f>
        <v>4</v>
      </c>
      <c r="M184" s="39">
        <v>28.82</v>
      </c>
      <c r="N184" s="39">
        <v>29</v>
      </c>
      <c r="O184" s="44">
        <f>N184*Assumptions!$C$98/(Assumptions!$G$10*0.001) /10^9*M184/100</f>
        <v>7.5760742629639717</v>
      </c>
      <c r="P184" s="48">
        <f>Assumptions!$C$114*Assumptions!$C$113/(Assumptions!$G$14*0.001) /10^9</f>
        <v>0.69300342293188655</v>
      </c>
      <c r="Q184" s="42">
        <f t="shared" si="14"/>
        <v>87.126556913454138</v>
      </c>
      <c r="S184" s="29" t="str">
        <f t="shared" si="13"/>
        <v>(260,58,60,100,29,0.29)</v>
      </c>
    </row>
    <row r="185" spans="2:19">
      <c r="B185" s="38">
        <v>12</v>
      </c>
      <c r="C185" s="39">
        <v>260</v>
      </c>
      <c r="D185" s="39">
        <v>57</v>
      </c>
      <c r="E185" s="37">
        <v>70</v>
      </c>
      <c r="F185" s="39">
        <v>100</v>
      </c>
      <c r="G185" s="40">
        <f>B185*Assumptions!$C$19*365*24*Assumptions!$D$26*1000/(Assumptions!$C$10*0.001) /10^9</f>
        <v>12.833780869565217</v>
      </c>
      <c r="H185" s="40">
        <f>C185*Assumptions!$C$20*365*24*Assumptions!$D$30*1000/(Assumptions!$C$10*0.001) /10^9</f>
        <v>45.619957830488204</v>
      </c>
      <c r="I185" s="40">
        <f>E185*Assumptions!$C$47/(Assumptions!$C$10*0.001) /10^9</f>
        <v>5.2228638410927326</v>
      </c>
      <c r="J185" s="40">
        <f>D185*Assumptions!$C$57/(Assumptions!$C$10*0.001) /10^9</f>
        <v>4.796136294825466</v>
      </c>
      <c r="K185" s="40">
        <f>F185*Assumptions!$C$66/(Assumptions!$C$10*0.001) /10^9</f>
        <v>7.0467210554425748</v>
      </c>
      <c r="L185" s="47">
        <f>4</f>
        <v>4</v>
      </c>
      <c r="M185" s="39">
        <v>30.61</v>
      </c>
      <c r="N185" s="39">
        <v>27</v>
      </c>
      <c r="O185" s="44">
        <f>N185*Assumptions!$C$98/(Assumptions!$G$10*0.001) /10^9*M185/100</f>
        <v>7.4916821365811987</v>
      </c>
      <c r="P185" s="48">
        <f>Assumptions!$C$114*Assumptions!$C$113/(Assumptions!$G$14*0.001) /10^9</f>
        <v>0.69300342293188655</v>
      </c>
      <c r="Q185" s="42">
        <f t="shared" si="14"/>
        <v>87.704145450927285</v>
      </c>
      <c r="S185" s="29" t="str">
        <f t="shared" si="13"/>
        <v>(260,57,70,100,27,0.31)</v>
      </c>
    </row>
    <row r="186" spans="2:19">
      <c r="B186" s="38">
        <v>12</v>
      </c>
      <c r="C186" s="39">
        <v>260</v>
      </c>
      <c r="D186" s="39">
        <v>56</v>
      </c>
      <c r="E186" s="37">
        <v>80</v>
      </c>
      <c r="F186" s="39">
        <v>100</v>
      </c>
      <c r="G186" s="40">
        <f>B186*Assumptions!$C$19*365*24*Assumptions!$D$26*1000/(Assumptions!$C$10*0.001) /10^9</f>
        <v>12.833780869565217</v>
      </c>
      <c r="H186" s="40">
        <f>C186*Assumptions!$C$20*365*24*Assumptions!$D$30*1000/(Assumptions!$C$10*0.001) /10^9</f>
        <v>45.619957830488204</v>
      </c>
      <c r="I186" s="40">
        <f>E186*Assumptions!$C$47/(Assumptions!$C$10*0.001) /10^9</f>
        <v>5.9689872469631231</v>
      </c>
      <c r="J186" s="40">
        <f>D186*Assumptions!$C$57/(Assumptions!$C$10*0.001) /10^9</f>
        <v>4.7119935528109842</v>
      </c>
      <c r="K186" s="40">
        <f>F186*Assumptions!$C$66/(Assumptions!$C$10*0.001) /10^9</f>
        <v>7.0467210554425748</v>
      </c>
      <c r="L186" s="47">
        <f>4</f>
        <v>4</v>
      </c>
      <c r="M186" s="39">
        <v>31.81</v>
      </c>
      <c r="N186" s="39">
        <v>26</v>
      </c>
      <c r="O186" s="44">
        <f>N186*Assumptions!$C$98/(Assumptions!$G$10*0.001) /10^9*M186/100</f>
        <v>7.4970302949663576</v>
      </c>
      <c r="P186" s="48">
        <f>Assumptions!$C$114*Assumptions!$C$113/(Assumptions!$G$14*0.001) /10^9</f>
        <v>0.69300342293188655</v>
      </c>
      <c r="Q186" s="42">
        <f t="shared" si="14"/>
        <v>88.371474273168346</v>
      </c>
      <c r="S186" s="29" t="str">
        <f t="shared" si="13"/>
        <v>(260,56,80,100,26,0.32)</v>
      </c>
    </row>
    <row r="187" spans="2:19">
      <c r="B187" s="38">
        <v>12</v>
      </c>
      <c r="C187" s="39">
        <v>260</v>
      </c>
      <c r="D187" s="39">
        <v>55</v>
      </c>
      <c r="E187" s="37">
        <v>90</v>
      </c>
      <c r="F187" s="39">
        <v>100</v>
      </c>
      <c r="G187" s="40">
        <f>B187*Assumptions!$C$19*365*24*Assumptions!$D$26*1000/(Assumptions!$C$10*0.001) /10^9</f>
        <v>12.833780869565217</v>
      </c>
      <c r="H187" s="40">
        <f>C187*Assumptions!$C$20*365*24*Assumptions!$D$30*1000/(Assumptions!$C$10*0.001) /10^9</f>
        <v>45.619957830488204</v>
      </c>
      <c r="I187" s="40">
        <f>E187*Assumptions!$C$47/(Assumptions!$C$10*0.001) /10^9</f>
        <v>6.7151106528335136</v>
      </c>
      <c r="J187" s="40">
        <f>D187*Assumptions!$C$57/(Assumptions!$C$10*0.001) /10^9</f>
        <v>4.6278508107965024</v>
      </c>
      <c r="K187" s="40">
        <f>F187*Assumptions!$C$66/(Assumptions!$C$10*0.001) /10^9</f>
        <v>7.0467210554425748</v>
      </c>
      <c r="L187" s="47">
        <f>4</f>
        <v>4</v>
      </c>
      <c r="M187" s="39">
        <v>32.380000000000003</v>
      </c>
      <c r="N187" s="39">
        <v>25</v>
      </c>
      <c r="O187" s="44">
        <f>N187*Assumptions!$C$98/(Assumptions!$G$10*0.001) /10^9*M187/100</f>
        <v>7.3378545979436396</v>
      </c>
      <c r="P187" s="48">
        <f>Assumptions!$C$114*Assumptions!$C$113/(Assumptions!$G$14*0.001) /10^9</f>
        <v>0.69300342293188655</v>
      </c>
      <c r="Q187" s="42">
        <f t="shared" si="14"/>
        <v>88.874279240001542</v>
      </c>
      <c r="S187" s="29" t="str">
        <f t="shared" si="13"/>
        <v>(260,55,90,100,25,0.32)</v>
      </c>
    </row>
    <row r="188" spans="2:19">
      <c r="B188" s="38">
        <v>12</v>
      </c>
      <c r="C188" s="39">
        <v>260</v>
      </c>
      <c r="D188" s="39">
        <v>55</v>
      </c>
      <c r="E188" s="37">
        <v>100</v>
      </c>
      <c r="F188" s="39">
        <v>100</v>
      </c>
      <c r="G188" s="40">
        <f>B188*Assumptions!$C$19*365*24*Assumptions!$D$26*1000/(Assumptions!$C$10*0.001) /10^9</f>
        <v>12.833780869565217</v>
      </c>
      <c r="H188" s="40">
        <f>C188*Assumptions!$C$20*365*24*Assumptions!$D$30*1000/(Assumptions!$C$10*0.001) /10^9</f>
        <v>45.619957830488204</v>
      </c>
      <c r="I188" s="40">
        <f>E188*Assumptions!$C$47/(Assumptions!$C$10*0.001) /10^9</f>
        <v>7.4612340587039032</v>
      </c>
      <c r="J188" s="40">
        <f>D188*Assumptions!$C$57/(Assumptions!$C$10*0.001) /10^9</f>
        <v>4.6278508107965024</v>
      </c>
      <c r="K188" s="40">
        <f>F188*Assumptions!$C$66/(Assumptions!$C$10*0.001) /10^9</f>
        <v>7.0467210554425748</v>
      </c>
      <c r="L188" s="47">
        <f>4</f>
        <v>4</v>
      </c>
      <c r="M188" s="39">
        <v>32.659999999999997</v>
      </c>
      <c r="N188" s="39">
        <v>25</v>
      </c>
      <c r="O188" s="44">
        <f>N188*Assumptions!$C$98/(Assumptions!$G$10*0.001) /10^9*M188/100</f>
        <v>7.4013073245472274</v>
      </c>
      <c r="P188" s="48">
        <f>Assumptions!$C$114*Assumptions!$C$113/(Assumptions!$G$14*0.001) /10^9</f>
        <v>0.69300342293188655</v>
      </c>
      <c r="Q188" s="42">
        <f t="shared" si="14"/>
        <v>89.68385537247552</v>
      </c>
      <c r="S188" s="29" t="str">
        <f t="shared" si="13"/>
        <v>(260,55,100,100,25,0.33)</v>
      </c>
    </row>
  </sheetData>
  <autoFilter ref="B4:N4">
    <sortState ref="B5:N64">
      <sortCondition ref="B4:B64"/>
    </sortState>
  </autoFilter>
  <mergeCells count="2">
    <mergeCell ref="G2:L2"/>
    <mergeCell ref="M2:R2"/>
  </mergeCells>
  <conditionalFormatting sqref="C57:C62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3:C69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0:C7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8:C82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3:C89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0:C9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8:C96">
    <cfRule type="colorScale" priority="57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78:Q96"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6:Q33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:C154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5:C161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2:C169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0:C17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5:C18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2:C188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0:C188">
    <cfRule type="colorScale" priority="1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170:Q18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8:Q12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7:C77">
    <cfRule type="colorScale" priority="58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Q77">
    <cfRule type="colorScale" priority="5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56">
    <cfRule type="colorScale" priority="5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34:Q56"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:C169">
    <cfRule type="colorScale" priority="59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9:Q169">
    <cfRule type="colorScale" priority="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6:C148">
    <cfRule type="colorScale" priority="5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126:Q148"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:Q25">
    <cfRule type="colorScale" priority="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33">
    <cfRule type="colorScale" priority="5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97:Q117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7:C125">
    <cfRule type="colorScale" priority="5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2"/>
  <sheetViews>
    <sheetView tabSelected="1" topLeftCell="H55" zoomScale="85" zoomScaleNormal="85" workbookViewId="0">
      <selection activeCell="X71" sqref="X71"/>
    </sheetView>
  </sheetViews>
  <sheetFormatPr defaultRowHeight="15.6"/>
  <sheetData>
    <row r="1" spans="1:18">
      <c r="A1" s="4">
        <v>12</v>
      </c>
      <c r="B1" s="39">
        <v>230</v>
      </c>
      <c r="C1" s="39">
        <v>121</v>
      </c>
      <c r="D1" s="37">
        <v>60</v>
      </c>
      <c r="E1" s="39">
        <v>100</v>
      </c>
      <c r="F1" s="40">
        <f>A1*Assumptions!$C$19*365*24*Assumptions!$D$26*1000/(Assumptions!$C$10*0.001) /10^9</f>
        <v>12.833780869565217</v>
      </c>
      <c r="G1" s="40">
        <f>B1*Assumptions!$C$20*365*24*Assumptions!$D$30*1000/(Assumptions!$C$10*0.001) /10^9</f>
        <v>40.35611654235494</v>
      </c>
      <c r="H1" s="40">
        <f>D1*Assumptions!$C$46/(Assumptions!$C$10*0.001) /10^9</f>
        <v>2.9597928752721221</v>
      </c>
      <c r="I1" s="40">
        <f>C1*Assumptions!$C$56/(Assumptions!$C$10*0.001) /10^9</f>
        <v>6.731338598428815</v>
      </c>
      <c r="J1" s="40">
        <f>E1*Assumptions!$C$65/(Assumptions!$C$10*0.001) /10^9</f>
        <v>4.6589332295950063</v>
      </c>
      <c r="K1" s="47">
        <f>4</f>
        <v>4</v>
      </c>
      <c r="L1" s="39">
        <v>7.08</v>
      </c>
      <c r="M1" s="39">
        <v>31</v>
      </c>
      <c r="N1" s="44">
        <f>M1*Assumptions!$C$97/(Assumptions!$G$10*0.001) /10^9*L1/100</f>
        <v>1.4508560102142667</v>
      </c>
      <c r="O1" s="48">
        <f>Assumptions!$C$114*Assumptions!$C$113/(Assumptions!$G$10*0.001) /10^9</f>
        <v>0.74469814087879027</v>
      </c>
      <c r="P1" s="42">
        <f t="shared" ref="P1:P6" si="0">SUM(F1:K1)+N1+O1</f>
        <v>73.735516266309162</v>
      </c>
      <c r="R1" s="29" t="str">
        <f t="shared" ref="R1:R6" si="1">CONCATENATE("(",B1,",",C1,",",D1,",",ROUND(M1,0),",",ROUND(L1/100,2),")")</f>
        <v>(230,121,60,31,0.07)</v>
      </c>
    </row>
    <row r="2" spans="1:18">
      <c r="A2" s="4">
        <v>12</v>
      </c>
      <c r="B2" s="39">
        <v>240</v>
      </c>
      <c r="C2" s="39">
        <v>91</v>
      </c>
      <c r="D2" s="37">
        <v>60</v>
      </c>
      <c r="E2" s="39">
        <v>100</v>
      </c>
      <c r="F2" s="40">
        <f>A2*Assumptions!$C$19*365*24*Assumptions!$D$26*1000/(Assumptions!$C$10*0.001) /10^9</f>
        <v>12.833780869565217</v>
      </c>
      <c r="G2" s="40">
        <f>B2*Assumptions!$C$20*365*24*Assumptions!$D$30*1000/(Assumptions!$C$10*0.001) /10^9</f>
        <v>42.110730305066035</v>
      </c>
      <c r="H2" s="40">
        <f>D2*Assumptions!$C$46/(Assumptions!$C$10*0.001) /10^9</f>
        <v>2.9597928752721221</v>
      </c>
      <c r="I2" s="40">
        <f>C2*Assumptions!$C$56/(Assumptions!$C$10*0.001) /10^9</f>
        <v>5.0624116731985298</v>
      </c>
      <c r="J2" s="40">
        <f>E2*Assumptions!$C$65/(Assumptions!$C$10*0.001) /10^9</f>
        <v>4.6589332295950063</v>
      </c>
      <c r="K2" s="47">
        <f>4</f>
        <v>4</v>
      </c>
      <c r="L2" s="39">
        <v>14.98</v>
      </c>
      <c r="M2" s="39">
        <v>14</v>
      </c>
      <c r="N2" s="44">
        <f>M2*Assumptions!$C$97/(Assumptions!$G$10*0.001) /10^9*L2/100</f>
        <v>1.3863382652730818</v>
      </c>
      <c r="O2" s="48">
        <f>Assumptions!$C$114*Assumptions!$C$113/(Assumptions!$G$10*0.001) /10^9</f>
        <v>0.74469814087879027</v>
      </c>
      <c r="P2" s="42">
        <f t="shared" si="0"/>
        <v>73.756685358848785</v>
      </c>
      <c r="R2" s="29" t="str">
        <f t="shared" si="1"/>
        <v>(240,91,60,14,0.15)</v>
      </c>
    </row>
    <row r="3" spans="1:18">
      <c r="A3" s="4">
        <v>12</v>
      </c>
      <c r="B3" s="39">
        <v>250</v>
      </c>
      <c r="C3" s="39">
        <v>69</v>
      </c>
      <c r="D3" s="37">
        <v>60</v>
      </c>
      <c r="E3" s="39">
        <v>100</v>
      </c>
      <c r="F3" s="40">
        <f>A3*Assumptions!$C$19*365*24*Assumptions!$D$26*1000/(Assumptions!$C$10*0.001) /10^9</f>
        <v>12.833780869565217</v>
      </c>
      <c r="G3" s="40">
        <f>B3*Assumptions!$C$20*365*24*Assumptions!$D$30*1000/(Assumptions!$C$10*0.001) /10^9</f>
        <v>43.86534406777713</v>
      </c>
      <c r="H3" s="40">
        <f>D3*Assumptions!$C$46/(Assumptions!$C$10*0.001) /10^9</f>
        <v>2.9597928752721221</v>
      </c>
      <c r="I3" s="40">
        <f>C3*Assumptions!$C$56/(Assumptions!$C$10*0.001) /10^9</f>
        <v>3.8385319280296546</v>
      </c>
      <c r="J3" s="40">
        <f>E3*Assumptions!$C$65/(Assumptions!$C$10*0.001) /10^9</f>
        <v>4.6589332295950063</v>
      </c>
      <c r="K3" s="47">
        <f>4</f>
        <v>4</v>
      </c>
      <c r="L3" s="39">
        <v>22.2</v>
      </c>
      <c r="M3" s="39">
        <v>9</v>
      </c>
      <c r="N3" s="44">
        <f>M3*Assumptions!$C$97/(Assumptions!$G$10*0.001) /10^9*L3/100</f>
        <v>1.3207628523820412</v>
      </c>
      <c r="O3" s="48">
        <f>Assumptions!$C$114*Assumptions!$C$113/(Assumptions!$G$10*0.001) /10^9</f>
        <v>0.74469814087879027</v>
      </c>
      <c r="P3" s="42">
        <f t="shared" si="0"/>
        <v>74.221843963499964</v>
      </c>
      <c r="R3" s="29" t="str">
        <f t="shared" si="1"/>
        <v>(250,69,60,9,0.22)</v>
      </c>
    </row>
    <row r="4" spans="1:18">
      <c r="A4" s="4">
        <v>12</v>
      </c>
      <c r="B4" s="39">
        <v>260</v>
      </c>
      <c r="C4" s="39">
        <v>58</v>
      </c>
      <c r="D4" s="37">
        <v>60</v>
      </c>
      <c r="E4" s="39">
        <v>100</v>
      </c>
      <c r="F4" s="40">
        <f>A4*Assumptions!$C$19*365*24*Assumptions!$D$26*1000/(Assumptions!$C$10*0.001) /10^9</f>
        <v>12.833780869565217</v>
      </c>
      <c r="G4" s="40">
        <f>B4*Assumptions!$C$20*365*24*Assumptions!$D$30*1000/(Assumptions!$C$10*0.001) /10^9</f>
        <v>45.619957830488204</v>
      </c>
      <c r="H4" s="40">
        <f>D4*Assumptions!$C$46/(Assumptions!$C$10*0.001) /10^9</f>
        <v>2.9597928752721221</v>
      </c>
      <c r="I4" s="40">
        <f>C4*Assumptions!$C$56/(Assumptions!$C$10*0.001) /10^9</f>
        <v>3.226592055445217</v>
      </c>
      <c r="J4" s="40">
        <f>E4*Assumptions!$C$65/(Assumptions!$C$10*0.001) /10^9</f>
        <v>4.6589332295950063</v>
      </c>
      <c r="K4" s="47">
        <f>4</f>
        <v>4</v>
      </c>
      <c r="L4" s="39">
        <v>28.82</v>
      </c>
      <c r="M4" s="39">
        <v>7</v>
      </c>
      <c r="N4" s="44">
        <f>M4*Assumptions!$C$97/(Assumptions!$G$10*0.001) /10^9*L4/100</f>
        <v>1.3335870762740389</v>
      </c>
      <c r="O4" s="48">
        <f>Assumptions!$C$114*Assumptions!$C$113/(Assumptions!$G$10*0.001) /10^9</f>
        <v>0.74469814087879027</v>
      </c>
      <c r="P4" s="42">
        <f t="shared" si="0"/>
        <v>75.377342077518605</v>
      </c>
      <c r="R4" s="29" t="str">
        <f t="shared" si="1"/>
        <v>(260,58,60,7,0.29)</v>
      </c>
    </row>
    <row r="5" spans="1:18">
      <c r="A5" s="4">
        <v>12</v>
      </c>
      <c r="B5" s="39">
        <v>270</v>
      </c>
      <c r="C5" s="39">
        <v>47</v>
      </c>
      <c r="D5" s="37">
        <v>60</v>
      </c>
      <c r="E5" s="39">
        <v>100</v>
      </c>
      <c r="F5" s="40">
        <f>A5*Assumptions!$C$19*365*24*Assumptions!$D$26*1000/(Assumptions!$C$10*0.001) /10^9</f>
        <v>12.833780869565217</v>
      </c>
      <c r="G5" s="40">
        <f>B5*Assumptions!$C$20*365*24*Assumptions!$D$30*1000/(Assumptions!$C$10*0.001) /10^9</f>
        <v>47.374571593199285</v>
      </c>
      <c r="H5" s="40">
        <f>D5*Assumptions!$C$46/(Assumptions!$C$10*0.001) /10^9</f>
        <v>2.9597928752721221</v>
      </c>
      <c r="I5" s="40">
        <f>C5*Assumptions!$C$56/(Assumptions!$C$10*0.001) /10^9</f>
        <v>2.6146521828607794</v>
      </c>
      <c r="J5" s="40">
        <f>E5*Assumptions!$C$65/(Assumptions!$C$10*0.001) /10^9</f>
        <v>4.6589332295950063</v>
      </c>
      <c r="K5" s="47">
        <f>4</f>
        <v>4</v>
      </c>
      <c r="L5" s="39">
        <v>34.85</v>
      </c>
      <c r="M5" s="39">
        <v>6</v>
      </c>
      <c r="N5" s="44">
        <f>M5*Assumptions!$C$97/(Assumptions!$G$10*0.001) /10^9*L5/100</f>
        <v>1.3822398019673918</v>
      </c>
      <c r="O5" s="48">
        <f>Assumptions!$C$114*Assumptions!$C$113/(Assumptions!$G$10*0.001) /10^9</f>
        <v>0.74469814087879027</v>
      </c>
      <c r="P5" s="42">
        <f t="shared" si="0"/>
        <v>76.568668693338594</v>
      </c>
      <c r="R5" s="29" t="str">
        <f t="shared" si="1"/>
        <v>(270,47,60,6,0.35)</v>
      </c>
    </row>
    <row r="6" spans="1:18">
      <c r="A6" s="4">
        <v>12</v>
      </c>
      <c r="B6" s="39">
        <v>280</v>
      </c>
      <c r="C6" s="39">
        <v>42</v>
      </c>
      <c r="D6" s="37">
        <v>60</v>
      </c>
      <c r="E6" s="39">
        <v>100</v>
      </c>
      <c r="F6" s="40">
        <f>A6*Assumptions!$C$19*365*24*Assumptions!$D$26*1000/(Assumptions!$C$10*0.001) /10^9</f>
        <v>12.833780869565217</v>
      </c>
      <c r="G6" s="40">
        <f>B6*Assumptions!$C$20*365*24*Assumptions!$D$30*1000/(Assumptions!$C$10*0.001) /10^9</f>
        <v>49.129185355910373</v>
      </c>
      <c r="H6" s="40">
        <f>D6*Assumptions!$C$46/(Assumptions!$C$10*0.001) /10^9</f>
        <v>2.9597928752721221</v>
      </c>
      <c r="I6" s="40">
        <f>C6*Assumptions!$C$56/(Assumptions!$C$10*0.001) /10^9</f>
        <v>2.3364976953223988</v>
      </c>
      <c r="J6" s="40">
        <f>E6*Assumptions!$C$65/(Assumptions!$C$10*0.001) /10^9</f>
        <v>4.6589332295950063</v>
      </c>
      <c r="K6" s="47">
        <f>4</f>
        <v>4</v>
      </c>
      <c r="L6" s="39">
        <v>40.44</v>
      </c>
      <c r="M6" s="39">
        <v>5</v>
      </c>
      <c r="N6" s="44">
        <f>M6*Assumptions!$C$97/(Assumptions!$G$10*0.001) /10^9*L6/100</f>
        <v>1.3366278716298736</v>
      </c>
      <c r="O6" s="48">
        <f>Assumptions!$C$114*Assumptions!$C$113/(Assumptions!$G$10*0.001) /10^9</f>
        <v>0.74469814087879027</v>
      </c>
      <c r="P6" s="42">
        <f t="shared" si="0"/>
        <v>77.99951603817378</v>
      </c>
      <c r="R6" s="29" t="str">
        <f t="shared" si="1"/>
        <v>(280,42,60,5,0.4)</v>
      </c>
    </row>
    <row r="7" spans="1:18">
      <c r="A7" s="4"/>
      <c r="B7" s="39"/>
      <c r="C7" s="39"/>
      <c r="D7" s="37"/>
      <c r="E7" s="39"/>
      <c r="F7" s="40"/>
      <c r="G7" s="40"/>
      <c r="H7" s="40"/>
      <c r="I7" s="40"/>
      <c r="J7" s="40"/>
      <c r="K7" s="47"/>
      <c r="L7" s="39"/>
      <c r="M7" s="39"/>
      <c r="N7" s="44"/>
      <c r="O7" s="48"/>
      <c r="P7" s="42"/>
      <c r="R7" s="29"/>
    </row>
    <row r="8" spans="1:18">
      <c r="A8" s="38">
        <v>12</v>
      </c>
      <c r="B8" s="39">
        <v>240</v>
      </c>
      <c r="C8" s="39">
        <v>91</v>
      </c>
      <c r="D8" s="37">
        <v>60</v>
      </c>
      <c r="E8" s="39">
        <v>100</v>
      </c>
      <c r="F8" s="40">
        <f>A8*Assumptions!$C$19*365*24*Assumptions!$D$26*1000/(Assumptions!$C$10*0.001) /10^9</f>
        <v>12.833780869565217</v>
      </c>
      <c r="G8" s="40">
        <f>B8*Assumptions!$C$20*365*24*Assumptions!$D$30*1000/(Assumptions!$C$10*0.001) /10^9</f>
        <v>42.110730305066035</v>
      </c>
      <c r="H8" s="40">
        <f>D8*Assumptions!$C$46/(Assumptions!$C$10*0.001) /10^9</f>
        <v>2.9597928752721221</v>
      </c>
      <c r="I8" s="40">
        <f>C8*Assumptions!$C$56/(Assumptions!$C$10*0.001) /10^9</f>
        <v>5.0624116731985298</v>
      </c>
      <c r="J8" s="40">
        <f>E8*Assumptions!$C$65/(Assumptions!$C$10*0.001) /10^9</f>
        <v>4.6589332295950063</v>
      </c>
      <c r="K8" s="47">
        <f>4</f>
        <v>4</v>
      </c>
      <c r="L8" s="39">
        <v>14.98</v>
      </c>
      <c r="M8" s="39">
        <v>36</v>
      </c>
      <c r="N8" s="44">
        <f>M8*Assumptions!$C$97/(Assumptions!$G$12*0.001) /10^9*L8/100</f>
        <v>3.4398076491011862</v>
      </c>
      <c r="O8" s="48">
        <f>Assumptions!$C$114*Assumptions!$C$113/(Assumptions!$G$12*0.001) /10^9</f>
        <v>0.71857276338974674</v>
      </c>
      <c r="P8" s="42">
        <f t="shared" ref="P8:P12" si="2">SUM(F8:K8)+N8+O8</f>
        <v>75.784029365187834</v>
      </c>
      <c r="R8" s="29" t="str">
        <f t="shared" ref="R8:R12" si="3">CONCATENATE("(",B8,",",C8,",",D8,",",E8,",",ROUND(M8,0),",",ROUND(L8/100,2),")")</f>
        <v>(240,91,60,100,36,0.15)</v>
      </c>
    </row>
    <row r="9" spans="1:18">
      <c r="A9" s="38">
        <v>12</v>
      </c>
      <c r="B9" s="39">
        <v>250</v>
      </c>
      <c r="C9" s="39">
        <v>69</v>
      </c>
      <c r="D9" s="37">
        <v>60</v>
      </c>
      <c r="E9" s="39">
        <v>100</v>
      </c>
      <c r="F9" s="40">
        <f>A9*Assumptions!$C$19*365*24*Assumptions!$D$26*1000/(Assumptions!$C$10*0.001) /10^9</f>
        <v>12.833780869565217</v>
      </c>
      <c r="G9" s="40">
        <f>B9*Assumptions!$C$20*365*24*Assumptions!$D$30*1000/(Assumptions!$C$10*0.001) /10^9</f>
        <v>43.86534406777713</v>
      </c>
      <c r="H9" s="40">
        <f>D9*Assumptions!$C$46/(Assumptions!$C$10*0.001) /10^9</f>
        <v>2.9597928752721221</v>
      </c>
      <c r="I9" s="40">
        <f>C9*Assumptions!$C$56/(Assumptions!$C$10*0.001) /10^9</f>
        <v>3.8385319280296546</v>
      </c>
      <c r="J9" s="40">
        <f>E9*Assumptions!$C$65/(Assumptions!$C$10*0.001) /10^9</f>
        <v>4.6589332295950063</v>
      </c>
      <c r="K9" s="47">
        <f>4</f>
        <v>4</v>
      </c>
      <c r="L9" s="39">
        <v>22.2</v>
      </c>
      <c r="M9" s="39">
        <v>23</v>
      </c>
      <c r="N9" s="44">
        <f>M9*Assumptions!$C$97/(Assumptions!$G$12*0.001) /10^9*L9/100</f>
        <v>3.2568717282878392</v>
      </c>
      <c r="O9" s="48">
        <f>Assumptions!$C$114*Assumptions!$C$113/(Assumptions!$G$12*0.001) /10^9</f>
        <v>0.71857276338974674</v>
      </c>
      <c r="P9" s="42">
        <f t="shared" si="2"/>
        <v>76.1318274619167</v>
      </c>
      <c r="R9" s="29" t="str">
        <f t="shared" si="3"/>
        <v>(250,69,60,100,23,0.22)</v>
      </c>
    </row>
    <row r="10" spans="1:18">
      <c r="A10" s="38">
        <v>12</v>
      </c>
      <c r="B10" s="39">
        <v>260</v>
      </c>
      <c r="C10" s="39">
        <v>58</v>
      </c>
      <c r="D10" s="37">
        <v>60</v>
      </c>
      <c r="E10" s="39">
        <v>100</v>
      </c>
      <c r="F10" s="40">
        <f>A10*Assumptions!$C$19*365*24*Assumptions!$D$26*1000/(Assumptions!$C$10*0.001) /10^9</f>
        <v>12.833780869565217</v>
      </c>
      <c r="G10" s="40">
        <f>B10*Assumptions!$C$20*365*24*Assumptions!$D$30*1000/(Assumptions!$C$10*0.001) /10^9</f>
        <v>45.619957830488204</v>
      </c>
      <c r="H10" s="40">
        <f>D10*Assumptions!$C$46/(Assumptions!$C$10*0.001) /10^9</f>
        <v>2.9597928752721221</v>
      </c>
      <c r="I10" s="40">
        <f>C10*Assumptions!$C$56/(Assumptions!$C$10*0.001) /10^9</f>
        <v>3.226592055445217</v>
      </c>
      <c r="J10" s="40">
        <f>E10*Assumptions!$C$65/(Assumptions!$C$10*0.001) /10^9</f>
        <v>4.6589332295950063</v>
      </c>
      <c r="K10" s="47">
        <f>4</f>
        <v>4</v>
      </c>
      <c r="L10" s="39">
        <v>28.82</v>
      </c>
      <c r="M10" s="39">
        <v>17</v>
      </c>
      <c r="N10" s="44">
        <f>M10*Assumptions!$C$97/(Assumptions!$G$12*0.001) /10^9*L10/100</f>
        <v>3.1250915287061178</v>
      </c>
      <c r="O10" s="48">
        <f>Assumptions!$C$114*Assumptions!$C$113/(Assumptions!$G$12*0.001) /10^9</f>
        <v>0.71857276338974674</v>
      </c>
      <c r="P10" s="42">
        <f t="shared" si="2"/>
        <v>77.142721152461633</v>
      </c>
      <c r="R10" s="29" t="str">
        <f t="shared" si="3"/>
        <v>(260,58,60,100,17,0.29)</v>
      </c>
    </row>
    <row r="11" spans="1:18">
      <c r="A11" s="38">
        <v>12</v>
      </c>
      <c r="B11" s="39">
        <v>270</v>
      </c>
      <c r="C11" s="39">
        <v>47</v>
      </c>
      <c r="D11" s="37">
        <v>60</v>
      </c>
      <c r="E11" s="39">
        <v>100</v>
      </c>
      <c r="F11" s="40">
        <f>A11*Assumptions!$C$19*365*24*Assumptions!$D$26*1000/(Assumptions!$C$10*0.001) /10^9</f>
        <v>12.833780869565217</v>
      </c>
      <c r="G11" s="40">
        <f>B11*Assumptions!$C$20*365*24*Assumptions!$D$30*1000/(Assumptions!$C$10*0.001) /10^9</f>
        <v>47.374571593199285</v>
      </c>
      <c r="H11" s="40">
        <f>D11*Assumptions!$C$46/(Assumptions!$C$10*0.001) /10^9</f>
        <v>2.9597928752721221</v>
      </c>
      <c r="I11" s="40">
        <f>C11*Assumptions!$C$56/(Assumptions!$C$10*0.001) /10^9</f>
        <v>2.6146521828607794</v>
      </c>
      <c r="J11" s="40">
        <f>E11*Assumptions!$C$65/(Assumptions!$C$10*0.001) /10^9</f>
        <v>4.6589332295950063</v>
      </c>
      <c r="K11" s="47">
        <f>4</f>
        <v>4</v>
      </c>
      <c r="L11" s="39">
        <v>34.85</v>
      </c>
      <c r="M11" s="39">
        <v>14</v>
      </c>
      <c r="N11" s="44">
        <f>M11*Assumptions!$C$97/(Assumptions!$G$12*0.001) /10^9*L11/100</f>
        <v>3.1120793502382238</v>
      </c>
      <c r="O11" s="48">
        <f>Assumptions!$C$114*Assumptions!$C$113/(Assumptions!$G$12*0.001) /10^9</f>
        <v>0.71857276338974674</v>
      </c>
      <c r="P11" s="42">
        <f t="shared" si="2"/>
        <v>78.272382864120374</v>
      </c>
      <c r="R11" s="29" t="str">
        <f t="shared" si="3"/>
        <v>(270,47,60,100,14,0.35)</v>
      </c>
    </row>
    <row r="12" spans="1:18">
      <c r="A12" s="38">
        <v>12</v>
      </c>
      <c r="B12" s="39">
        <v>280</v>
      </c>
      <c r="C12" s="39">
        <v>42</v>
      </c>
      <c r="D12" s="37">
        <v>60</v>
      </c>
      <c r="E12" s="39">
        <v>100</v>
      </c>
      <c r="F12" s="40">
        <f>A12*Assumptions!$C$19*365*24*Assumptions!$D$26*1000/(Assumptions!$C$10*0.001) /10^9</f>
        <v>12.833780869565217</v>
      </c>
      <c r="G12" s="40">
        <f>B12*Assumptions!$C$20*365*24*Assumptions!$D$30*1000/(Assumptions!$C$10*0.001) /10^9</f>
        <v>49.129185355910373</v>
      </c>
      <c r="H12" s="40">
        <f>D12*Assumptions!$C$46/(Assumptions!$C$10*0.001) /10^9</f>
        <v>2.9597928752721221</v>
      </c>
      <c r="I12" s="40">
        <f>C12*Assumptions!$C$56/(Assumptions!$C$10*0.001) /10^9</f>
        <v>2.3364976953223988</v>
      </c>
      <c r="J12" s="40">
        <f>E12*Assumptions!$C$65/(Assumptions!$C$10*0.001) /10^9</f>
        <v>4.6589332295950063</v>
      </c>
      <c r="K12" s="47">
        <f>4</f>
        <v>4</v>
      </c>
      <c r="L12" s="39">
        <v>40.44</v>
      </c>
      <c r="M12" s="39">
        <v>12</v>
      </c>
      <c r="N12" s="44">
        <f>M12*Assumptions!$C$97/(Assumptions!$G$12*0.001) /10^9*L12/100</f>
        <v>3.0953676308333771</v>
      </c>
      <c r="O12" s="48">
        <f>Assumptions!$C$114*Assumptions!$C$113/(Assumptions!$G$12*0.001) /10^9</f>
        <v>0.71857276338974674</v>
      </c>
      <c r="P12" s="42">
        <f t="shared" si="2"/>
        <v>79.732130419888236</v>
      </c>
      <c r="R12" s="29" t="str">
        <f t="shared" si="3"/>
        <v>(280,42,60,100,12,0.4)</v>
      </c>
    </row>
    <row r="13" spans="1:18">
      <c r="A13" s="38"/>
      <c r="B13" s="39"/>
      <c r="C13" s="39"/>
      <c r="D13" s="37"/>
      <c r="E13" s="39"/>
      <c r="F13" s="40"/>
      <c r="G13" s="40"/>
      <c r="H13" s="40"/>
      <c r="I13" s="40"/>
      <c r="J13" s="40"/>
      <c r="K13" s="47"/>
      <c r="L13" s="39"/>
      <c r="M13" s="39"/>
      <c r="N13" s="44"/>
      <c r="O13" s="48"/>
      <c r="P13" s="42"/>
      <c r="R13" s="29"/>
    </row>
    <row r="14" spans="1:18">
      <c r="A14" s="38">
        <v>12</v>
      </c>
      <c r="B14" s="39">
        <v>240</v>
      </c>
      <c r="C14" s="39">
        <v>91</v>
      </c>
      <c r="D14" s="37">
        <v>60</v>
      </c>
      <c r="E14" s="39">
        <v>100</v>
      </c>
      <c r="F14" s="40">
        <f>A14*Assumptions!$C$19*365*24*Assumptions!$D$26*1000/(Assumptions!$C$10*0.001) /10^9</f>
        <v>12.833780869565217</v>
      </c>
      <c r="G14" s="40">
        <f>B14*Assumptions!$C$20*365*24*Assumptions!$D$30*1000/(Assumptions!$C$10*0.001) /10^9</f>
        <v>42.110730305066035</v>
      </c>
      <c r="H14" s="40">
        <f>D14*Assumptions!$C$46/(Assumptions!$C$10*0.001) /10^9</f>
        <v>2.9597928752721221</v>
      </c>
      <c r="I14" s="40">
        <f>C14*Assumptions!$C$56/(Assumptions!$C$10*0.001) /10^9</f>
        <v>5.0624116731985298</v>
      </c>
      <c r="J14" s="40">
        <f>E14*Assumptions!$C$65/(Assumptions!$C$10*0.001) /10^9</f>
        <v>4.6589332295950063</v>
      </c>
      <c r="K14" s="47">
        <f>4</f>
        <v>4</v>
      </c>
      <c r="L14" s="39">
        <v>14.98</v>
      </c>
      <c r="M14" s="39">
        <v>81</v>
      </c>
      <c r="N14" s="44">
        <f>M14*Assumptions!$C$97/(Assumptions!$G$14*0.001) /10^9*L14/100</f>
        <v>7.4641662502914583</v>
      </c>
      <c r="O14" s="48">
        <f>Assumptions!$C$114*Assumptions!$C$113/(Assumptions!$G$14*0.001) /10^9</f>
        <v>0.69300342293188655</v>
      </c>
      <c r="P14" s="42">
        <f>SUM(F14:K14)+N14+O14</f>
        <v>79.782818625920243</v>
      </c>
      <c r="R14" s="29" t="str">
        <f>CONCATENATE("(",B14,",",C14,",",D14,",",E14,",",ROUND(M14,0),",",ROUND(L14/100,2),")")</f>
        <v>(240,91,60,100,81,0.15)</v>
      </c>
    </row>
    <row r="15" spans="1:18">
      <c r="A15" s="38">
        <v>12</v>
      </c>
      <c r="B15" s="39">
        <v>250</v>
      </c>
      <c r="C15" s="39">
        <v>69</v>
      </c>
      <c r="D15" s="37">
        <v>60</v>
      </c>
      <c r="E15" s="39">
        <v>100</v>
      </c>
      <c r="F15" s="40">
        <f>A15*Assumptions!$C$19*365*24*Assumptions!$D$26*1000/(Assumptions!$C$10*0.001) /10^9</f>
        <v>12.833780869565217</v>
      </c>
      <c r="G15" s="40">
        <f>B15*Assumptions!$C$20*365*24*Assumptions!$D$30*1000/(Assumptions!$C$10*0.001) /10^9</f>
        <v>43.86534406777713</v>
      </c>
      <c r="H15" s="40">
        <f>D15*Assumptions!$C$46/(Assumptions!$C$10*0.001) /10^9</f>
        <v>2.9597928752721221</v>
      </c>
      <c r="I15" s="40">
        <f>C15*Assumptions!$C$56/(Assumptions!$C$10*0.001) /10^9</f>
        <v>3.8385319280296546</v>
      </c>
      <c r="J15" s="40">
        <f>E15*Assumptions!$C$65/(Assumptions!$C$10*0.001) /10^9</f>
        <v>4.6589332295950063</v>
      </c>
      <c r="K15" s="47">
        <f>4</f>
        <v>4</v>
      </c>
      <c r="L15" s="39">
        <v>22.2</v>
      </c>
      <c r="M15" s="39">
        <v>40</v>
      </c>
      <c r="N15" s="44">
        <f>M15*Assumptions!$C$97/(Assumptions!$G$14*0.001) /10^9*L15/100</f>
        <v>5.4625753105035653</v>
      </c>
      <c r="O15" s="48">
        <f>Assumptions!$C$114*Assumptions!$C$113/(Assumptions!$G$14*0.001) /10^9</f>
        <v>0.69300342293188655</v>
      </c>
      <c r="P15" s="42">
        <f t="shared" ref="P15:P18" si="4">SUM(F15:K15)+N15+O15</f>
        <v>78.311961703674569</v>
      </c>
      <c r="R15" s="29" t="str">
        <f t="shared" ref="R15:R18" si="5">CONCATENATE("(",B15,",",C15,",",D15,",",E15,",",ROUND(M15,0),",",ROUND(L15/100,2),")")</f>
        <v>(250,69,60,100,40,0.22)</v>
      </c>
    </row>
    <row r="16" spans="1:18">
      <c r="A16" s="38">
        <v>12</v>
      </c>
      <c r="B16" s="39">
        <v>260</v>
      </c>
      <c r="C16" s="39">
        <v>58</v>
      </c>
      <c r="D16" s="37">
        <v>60</v>
      </c>
      <c r="E16" s="39">
        <v>100</v>
      </c>
      <c r="F16" s="40">
        <f>A16*Assumptions!$C$19*365*24*Assumptions!$D$26*1000/(Assumptions!$C$10*0.001) /10^9</f>
        <v>12.833780869565217</v>
      </c>
      <c r="G16" s="40">
        <f>B16*Assumptions!$C$20*365*24*Assumptions!$D$30*1000/(Assumptions!$C$10*0.001) /10^9</f>
        <v>45.619957830488204</v>
      </c>
      <c r="H16" s="40">
        <f>D16*Assumptions!$C$46/(Assumptions!$C$10*0.001) /10^9</f>
        <v>2.9597928752721221</v>
      </c>
      <c r="I16" s="40">
        <f>C16*Assumptions!$C$56/(Assumptions!$C$10*0.001) /10^9</f>
        <v>3.226592055445217</v>
      </c>
      <c r="J16" s="40">
        <f>E16*Assumptions!$C$65/(Assumptions!$C$10*0.001) /10^9</f>
        <v>4.6589332295950063</v>
      </c>
      <c r="K16" s="47">
        <f>4</f>
        <v>4</v>
      </c>
      <c r="L16" s="39">
        <v>28.82</v>
      </c>
      <c r="M16" s="39">
        <v>29</v>
      </c>
      <c r="N16" s="44">
        <f>M16*Assumptions!$C$97/(Assumptions!$G$14*0.001) /10^9*L16/100</f>
        <v>5.1413414335728271</v>
      </c>
      <c r="O16" s="48">
        <f>Assumptions!$C$114*Assumptions!$C$113/(Assumptions!$G$14*0.001) /10^9</f>
        <v>0.69300342293188655</v>
      </c>
      <c r="P16" s="42">
        <f t="shared" si="4"/>
        <v>79.13340171687048</v>
      </c>
      <c r="R16" s="29" t="str">
        <f t="shared" si="5"/>
        <v>(260,58,60,100,29,0.29)</v>
      </c>
    </row>
    <row r="17" spans="1:18">
      <c r="A17" s="38">
        <v>12</v>
      </c>
      <c r="B17" s="39">
        <v>270</v>
      </c>
      <c r="C17" s="39">
        <v>47</v>
      </c>
      <c r="D17" s="37">
        <v>60</v>
      </c>
      <c r="E17" s="39">
        <v>100</v>
      </c>
      <c r="F17" s="40">
        <f>A17*Assumptions!$C$19*365*24*Assumptions!$D$26*1000/(Assumptions!$C$10*0.001) /10^9</f>
        <v>12.833780869565217</v>
      </c>
      <c r="G17" s="40">
        <f>B17*Assumptions!$C$20*365*24*Assumptions!$D$30*1000/(Assumptions!$C$10*0.001) /10^9</f>
        <v>47.374571593199285</v>
      </c>
      <c r="H17" s="40">
        <f>D17*Assumptions!$C$46/(Assumptions!$C$10*0.001) /10^9</f>
        <v>2.9597928752721221</v>
      </c>
      <c r="I17" s="40">
        <f>C17*Assumptions!$C$56/(Assumptions!$C$10*0.001) /10^9</f>
        <v>2.6146521828607794</v>
      </c>
      <c r="J17" s="40">
        <f>E17*Assumptions!$C$65/(Assumptions!$C$10*0.001) /10^9</f>
        <v>4.6589332295950063</v>
      </c>
      <c r="K17" s="47">
        <f>4</f>
        <v>4</v>
      </c>
      <c r="L17" s="39">
        <v>34.85</v>
      </c>
      <c r="M17" s="39">
        <v>23</v>
      </c>
      <c r="N17" s="44">
        <f>M17*Assumptions!$C$97/(Assumptions!$G$14*0.001) /10^9*L17/100</f>
        <v>4.9307739190699689</v>
      </c>
      <c r="O17" s="48">
        <f>Assumptions!$C$114*Assumptions!$C$113/(Assumptions!$G$14*0.001) /10^9</f>
        <v>0.69300342293188655</v>
      </c>
      <c r="P17" s="42">
        <f t="shared" si="4"/>
        <v>80.065508092494255</v>
      </c>
      <c r="R17" s="29" t="str">
        <f t="shared" si="5"/>
        <v>(270,47,60,100,23,0.35)</v>
      </c>
    </row>
    <row r="18" spans="1:18">
      <c r="A18" s="38">
        <v>12</v>
      </c>
      <c r="B18" s="39">
        <v>280</v>
      </c>
      <c r="C18" s="39">
        <v>42</v>
      </c>
      <c r="D18" s="37">
        <v>60</v>
      </c>
      <c r="E18" s="39">
        <v>100</v>
      </c>
      <c r="F18" s="40">
        <f>A18*Assumptions!$C$19*365*24*Assumptions!$D$26*1000/(Assumptions!$C$10*0.001) /10^9</f>
        <v>12.833780869565217</v>
      </c>
      <c r="G18" s="40">
        <f>B18*Assumptions!$C$20*365*24*Assumptions!$D$30*1000/(Assumptions!$C$10*0.001) /10^9</f>
        <v>49.129185355910373</v>
      </c>
      <c r="H18" s="40">
        <f>D18*Assumptions!$C$46/(Assumptions!$C$10*0.001) /10^9</f>
        <v>2.9597928752721221</v>
      </c>
      <c r="I18" s="40">
        <f>C18*Assumptions!$C$56/(Assumptions!$C$10*0.001) /10^9</f>
        <v>2.3364976953223988</v>
      </c>
      <c r="J18" s="40">
        <f>E18*Assumptions!$C$65/(Assumptions!$C$10*0.001) /10^9</f>
        <v>4.6589332295950063</v>
      </c>
      <c r="K18" s="47">
        <f>4</f>
        <v>4</v>
      </c>
      <c r="L18" s="39">
        <v>40.44</v>
      </c>
      <c r="M18" s="39">
        <v>20</v>
      </c>
      <c r="N18" s="44">
        <f>M18*Assumptions!$C$97/(Assumptions!$G$14*0.001) /10^9*L18/100</f>
        <v>4.9753726476748685</v>
      </c>
      <c r="O18" s="48">
        <f>Assumptions!$C$114*Assumptions!$C$113/(Assumptions!$G$14*0.001) /10^9</f>
        <v>0.69300342293188655</v>
      </c>
      <c r="P18" s="42">
        <f t="shared" si="4"/>
        <v>81.586566096271866</v>
      </c>
      <c r="R18" s="29" t="str">
        <f t="shared" si="5"/>
        <v>(280,42,60,100,20,0.4)</v>
      </c>
    </row>
    <row r="46" spans="1:18">
      <c r="A46" t="s">
        <v>83</v>
      </c>
      <c r="B46" t="s">
        <v>87</v>
      </c>
      <c r="C46" t="s">
        <v>89</v>
      </c>
      <c r="D46" t="s">
        <v>88</v>
      </c>
      <c r="E46">
        <v>101</v>
      </c>
    </row>
    <row r="47" spans="1:18">
      <c r="A47" s="38">
        <v>12</v>
      </c>
      <c r="B47" s="39">
        <v>230</v>
      </c>
      <c r="C47" s="39">
        <v>121</v>
      </c>
      <c r="D47" s="37">
        <v>60</v>
      </c>
      <c r="E47" s="39">
        <v>100</v>
      </c>
      <c r="F47" s="40">
        <f>A47*[1]Assumptions!$C$19*365*24*[1]Assumptions!$D$26*1000/([1]Assumptions!$C$10*0.001) /10^9</f>
        <v>12.833780869565217</v>
      </c>
      <c r="G47" s="40">
        <f>B47*[1]Assumptions!$C$20*365*24*[1]Assumptions!$D$30*1000/([1]Assumptions!$C$10*0.001) /10^9</f>
        <v>40.35611654235494</v>
      </c>
      <c r="H47" s="40">
        <f>D47*[1]Assumptions!$C$46/([1]Assumptions!$C$10*0.001) /10^9</f>
        <v>2.9597928752721221</v>
      </c>
      <c r="I47" s="40">
        <f>C47*[1]Assumptions!$C$56/([1]Assumptions!$C$10*0.001) /10^9</f>
        <v>6.731338598428815</v>
      </c>
      <c r="J47" s="40">
        <f>E47*[1]Assumptions!$C$65/([1]Assumptions!$C$10*0.001) /10^9</f>
        <v>4.6589332295950063</v>
      </c>
      <c r="K47" s="54">
        <v>4</v>
      </c>
      <c r="L47">
        <v>0</v>
      </c>
      <c r="M47">
        <v>0</v>
      </c>
      <c r="N47">
        <v>0</v>
      </c>
      <c r="O47">
        <v>0</v>
      </c>
      <c r="P47" s="42">
        <f t="shared" ref="P47:P54" si="6">SUM(F47:K47)+N47+O47</f>
        <v>71.539962115216099</v>
      </c>
      <c r="R47" s="29" t="str">
        <f t="shared" ref="R47:R48" si="7">CONCATENATE("(",B47,",",C47,",",D47,",",ROUND(M47,0),",",ROUND(L47/100,2),")")</f>
        <v>(230,121,60,0,0)</v>
      </c>
    </row>
    <row r="48" spans="1:18">
      <c r="A48" s="4">
        <v>12</v>
      </c>
      <c r="B48" s="39">
        <v>240</v>
      </c>
      <c r="C48" s="39">
        <v>99</v>
      </c>
      <c r="D48" s="37">
        <v>50</v>
      </c>
      <c r="E48" s="39">
        <v>100</v>
      </c>
      <c r="F48" s="40">
        <f>A48*Assumptions!$C$19*365*24*Assumptions!$D$26*1000/(Assumptions!$C$10*0.001) /10^9</f>
        <v>12.833780869565217</v>
      </c>
      <c r="G48" s="40">
        <f>B48*Assumptions!$C$20*365*24*Assumptions!$D$30*1000/(Assumptions!$C$10*0.001) /10^9</f>
        <v>42.110730305066035</v>
      </c>
      <c r="H48" s="40">
        <f>D48*Assumptions!$C$46/(Assumptions!$C$10*0.001) /10^9</f>
        <v>2.4664940627267682</v>
      </c>
      <c r="I48" s="40">
        <f>C48*Assumptions!$C$56/(Assumptions!$C$10*0.001) /10^9</f>
        <v>5.5074588532599389</v>
      </c>
      <c r="J48" s="40">
        <f>E48*Assumptions!$C$65/(Assumptions!$C$10*0.001) /10^9</f>
        <v>4.6589332295950063</v>
      </c>
      <c r="K48" s="47">
        <f>4</f>
        <v>4</v>
      </c>
      <c r="L48" s="39">
        <v>11.44</v>
      </c>
      <c r="M48" s="39">
        <v>18</v>
      </c>
      <c r="N48" s="44">
        <f>M48*Assumptions!$C$97/(Assumptions!$G$10*0.001) /10^9*L48/100</f>
        <v>1.3612186514640137</v>
      </c>
      <c r="O48" s="48">
        <f>Assumptions!$C$114*Assumptions!$C$113/(Assumptions!$G$10*0.001) /10^9</f>
        <v>0.74469814087879027</v>
      </c>
      <c r="P48" s="42">
        <f t="shared" si="6"/>
        <v>73.683314112555777</v>
      </c>
      <c r="R48" s="29" t="str">
        <f t="shared" si="7"/>
        <v>(240,99,50,18,0.11)</v>
      </c>
    </row>
    <row r="49" spans="1:18">
      <c r="A49" s="38">
        <v>12</v>
      </c>
      <c r="B49" s="39">
        <v>250</v>
      </c>
      <c r="C49" s="39">
        <v>71</v>
      </c>
      <c r="D49" s="37">
        <v>50</v>
      </c>
      <c r="E49" s="39">
        <v>100</v>
      </c>
      <c r="F49" s="40">
        <f>A49*Assumptions!$C$19*365*24*Assumptions!$D$26*1000/(Assumptions!$C$10*0.001) /10^9</f>
        <v>12.833780869565217</v>
      </c>
      <c r="G49" s="40">
        <f>B49*Assumptions!$C$20*365*24*Assumptions!$D$30*1000/(Assumptions!$C$10*0.001) /10^9</f>
        <v>43.86534406777713</v>
      </c>
      <c r="H49" s="40">
        <f>D49*Assumptions!$C$46/(Assumptions!$C$10*0.001) /10^9</f>
        <v>2.4664940627267682</v>
      </c>
      <c r="I49" s="40">
        <f>C49*Assumptions!$C$56/(Assumptions!$C$10*0.001) /10^9</f>
        <v>3.9497937230450071</v>
      </c>
      <c r="J49" s="40">
        <f>E49*Assumptions!$C$65/(Assumptions!$C$10*0.001) /10^9</f>
        <v>4.6589332295950063</v>
      </c>
      <c r="K49" s="47">
        <f>4</f>
        <v>4</v>
      </c>
      <c r="L49" s="39">
        <v>19.02</v>
      </c>
      <c r="M49" s="39">
        <v>27</v>
      </c>
      <c r="N49" s="44">
        <f>M49*Assumptions!$C$97/(Assumptions!$G$12*0.001) /10^9*L49/100</f>
        <v>3.2756245737268643</v>
      </c>
      <c r="O49" s="48">
        <f>Assumptions!$C$114*Assumptions!$C$113/(Assumptions!$G$12*0.001) /10^9</f>
        <v>0.71857276338974674</v>
      </c>
      <c r="P49" s="42">
        <f t="shared" si="6"/>
        <v>75.768543289825729</v>
      </c>
      <c r="R49" s="29" t="str">
        <f>CONCATENATE("(",B49,",",C49,",",D49,",",ROUND(M49,0),",",ROUND(L49/100,2),")")</f>
        <v>(250,71,50,27,0.19)</v>
      </c>
    </row>
    <row r="50" spans="1:18">
      <c r="A50" s="38">
        <v>12</v>
      </c>
      <c r="B50" s="39">
        <v>250</v>
      </c>
      <c r="C50" s="39">
        <v>69</v>
      </c>
      <c r="D50" s="37">
        <v>60</v>
      </c>
      <c r="E50" s="39">
        <v>100</v>
      </c>
      <c r="F50" s="40">
        <f>A50*Assumptions!$C$19*365*24*Assumptions!$D$26*1000/(Assumptions!$C$10*0.001) /10^9</f>
        <v>12.833780869565217</v>
      </c>
      <c r="G50" s="40">
        <f>B50*Assumptions!$C$20*365*24*Assumptions!$D$30*1000/(Assumptions!$C$10*0.001) /10^9</f>
        <v>43.86534406777713</v>
      </c>
      <c r="H50" s="40">
        <f>D50*Assumptions!$C$46/(Assumptions!$C$10*0.001) /10^9</f>
        <v>2.9597928752721221</v>
      </c>
      <c r="I50" s="40">
        <f>C50*Assumptions!$C$56/(Assumptions!$C$10*0.001) /10^9</f>
        <v>3.8385319280296546</v>
      </c>
      <c r="J50" s="40">
        <f>E50*Assumptions!$C$65/(Assumptions!$C$10*0.001) /10^9</f>
        <v>4.6589332295950063</v>
      </c>
      <c r="K50" s="47">
        <f>4</f>
        <v>4</v>
      </c>
      <c r="L50" s="39">
        <v>22.2</v>
      </c>
      <c r="M50" s="39">
        <v>40</v>
      </c>
      <c r="N50" s="44">
        <f>M50*Assumptions!$C$97/(Assumptions!$G$14*0.001) /10^9*L50/100</f>
        <v>5.4625753105035653</v>
      </c>
      <c r="O50" s="48">
        <f>Assumptions!$C$114*Assumptions!$C$113/(Assumptions!$G$14*0.001) /10^9</f>
        <v>0.69300342293188655</v>
      </c>
      <c r="P50" s="42">
        <f t="shared" si="6"/>
        <v>78.311961703674569</v>
      </c>
      <c r="R50" s="29" t="str">
        <f>CONCATENATE("(",B50,",",C50,",",D50,",",ROUND(M50,0),",",ROUND(L50/100,2),")")</f>
        <v>(250,69,60,40,0.22)</v>
      </c>
    </row>
    <row r="51" spans="1:18">
      <c r="A51" s="38">
        <v>12</v>
      </c>
      <c r="B51" s="39">
        <v>280</v>
      </c>
      <c r="C51" s="39">
        <v>42</v>
      </c>
      <c r="D51" s="37">
        <v>60</v>
      </c>
      <c r="E51" s="39">
        <v>100</v>
      </c>
      <c r="F51" s="40">
        <f>A51*Assumptions!$C$19*365*24*Assumptions!$D$26*1000/(Assumptions!$G$10*0.001) /10^9</f>
        <v>12.360421353028176</v>
      </c>
      <c r="G51" s="40">
        <f>B51*Assumptions!$C$20*365*24*Assumptions!$D$30*1000/(Assumptions!$G$10*0.001) /10^9</f>
        <v>47.317110826643422</v>
      </c>
      <c r="H51" s="40">
        <f>D51*Assumptions!$C$46/(Assumptions!$G$10*0.001) /10^9</f>
        <v>2.8506242570194043</v>
      </c>
      <c r="I51" s="40">
        <f>C51*Assumptions!$C$56/(Assumptions!$G$10*0.001) /10^9</f>
        <v>2.2503186160091024</v>
      </c>
      <c r="J51" s="40">
        <f>E51*Assumptions!$C$65/(Assumptions!$G$10*0.001) /10^9</f>
        <v>4.4870937379009144</v>
      </c>
      <c r="K51" s="47">
        <f>4*Assumptions!$C$10/Assumptions!$G$10</f>
        <v>3.8524645164669762</v>
      </c>
      <c r="L51" s="39">
        <v>40.44</v>
      </c>
      <c r="M51" s="39">
        <v>70</v>
      </c>
      <c r="N51" s="44">
        <f>M51*Assumptions!$C$97/(Assumptions!$G$11*0.001) /10^9*L51/100</f>
        <v>14.049501329393737</v>
      </c>
      <c r="O51" s="48">
        <f>Assumptions!$C$115*Assumptions!$C$113/(Assumptions!$G$11*0.001) /10^9</f>
        <v>5.5904146014630776</v>
      </c>
      <c r="P51" s="42">
        <f t="shared" si="6"/>
        <v>92.757949237924819</v>
      </c>
      <c r="R51" s="29" t="str">
        <f t="shared" ref="R51:R54" si="8">CONCATENATE("(",B51,",",C51,",",D51,",",ROUND(M51,0),",",ROUND(L51/100,2),")")</f>
        <v>(280,42,60,70,0.4)</v>
      </c>
    </row>
    <row r="52" spans="1:18">
      <c r="A52" s="38">
        <v>12</v>
      </c>
      <c r="B52" s="39">
        <v>370</v>
      </c>
      <c r="C52" s="39">
        <v>34</v>
      </c>
      <c r="D52" s="39">
        <v>40</v>
      </c>
      <c r="E52" s="39">
        <v>100</v>
      </c>
      <c r="F52" s="40">
        <f>A52*Assumptions!$C$19*365*24*Assumptions!$D$26*1000/(Assumptions!$G$12*0.001) /10^9</f>
        <v>11.926795087504766</v>
      </c>
      <c r="G52" s="40">
        <f>B52*Assumptions!$C$20*365*24*Assumptions!$D$30*1000/(Assumptions!$G$12*0.001) /10^9</f>
        <v>60.332648942318421</v>
      </c>
      <c r="H52" s="40">
        <f>D52*Assumptions!$C$46/(Assumptions!$G$12*0.001) /10^9</f>
        <v>1.8337460843172952</v>
      </c>
      <c r="I52" s="40">
        <f>C52*Assumptions!$C$56/(Assumptions!$G$12*0.001) /10^9</f>
        <v>1.7577783930510089</v>
      </c>
      <c r="J52" s="40">
        <f>E52*Assumptions!$C$65/(Assumptions!$G$12*0.001) /10^9</f>
        <v>4.3296782546380586</v>
      </c>
      <c r="K52" s="47">
        <f>4*Assumptions!$C$10/Assumptions!$G$12</f>
        <v>3.717312990995091</v>
      </c>
      <c r="L52" s="45">
        <v>69.209999999999994</v>
      </c>
      <c r="M52" s="39">
        <v>99</v>
      </c>
      <c r="N52" s="44">
        <f>M52*Assumptions!$C$97/(Assumptions!$G$13*0.001) /10^9*L52/100</f>
        <v>26.714701367905981</v>
      </c>
      <c r="O52" s="48">
        <f>Assumptions!$C$115*Assumptions!$C$113/(Assumptions!$G$13*0.001) /10^9</f>
        <v>4.3917597561181276</v>
      </c>
      <c r="P52" s="42">
        <f t="shared" si="6"/>
        <v>115.00442087684876</v>
      </c>
      <c r="R52" s="29" t="str">
        <f t="shared" si="8"/>
        <v>(370,34,40,99,0.69)</v>
      </c>
    </row>
    <row r="53" spans="1:18">
      <c r="A53" s="38">
        <v>12</v>
      </c>
      <c r="B53">
        <v>460</v>
      </c>
      <c r="C53" s="39">
        <v>30</v>
      </c>
      <c r="D53">
        <v>50</v>
      </c>
      <c r="E53" s="39">
        <v>100</v>
      </c>
      <c r="F53" s="40">
        <f>A53*Assumptions!$C$19*365*24*Assumptions!$D$26*1000/(Assumptions!$G$14*0.001) /10^9</f>
        <v>11.502397866094725</v>
      </c>
      <c r="G53" s="40">
        <f>B53*Assumptions!$C$20*365*24*Assumptions!$D$30*1000/(Assumptions!$G$14*0.001) /10^9</f>
        <v>72.339104667349574</v>
      </c>
      <c r="H53" s="40">
        <f>D53*Assumptions!$C$46/(Assumptions!$G$14*0.001) /10^9</f>
        <v>2.2106187048216932</v>
      </c>
      <c r="I53" s="40">
        <f>C53*Assumptions!$C$56/(Assumptions!$G$14*0.001) /10^9</f>
        <v>1.4957915908445147</v>
      </c>
      <c r="J53" s="40">
        <f>E53*Assumptions!$C$65/(Assumptions!$G$14*0.001) /10^9</f>
        <v>4.1756131091076423</v>
      </c>
      <c r="K53" s="47">
        <f>4*Assumptions!$C$10/Assumptions!$G$14</f>
        <v>3.5850379503898764</v>
      </c>
      <c r="L53" s="46">
        <v>85.78</v>
      </c>
      <c r="M53">
        <v>128</v>
      </c>
      <c r="N53" s="44">
        <f>M53*Assumptions!$C$97/(Assumptions!$G$15*0.001) /10^9*L53/100</f>
        <v>34.932364089322398</v>
      </c>
      <c r="O53" s="48">
        <f>Assumptions!$C$115*Assumptions!$C$113/(Assumptions!$G$15*0.001) /10^9</f>
        <v>3.5836390578944357</v>
      </c>
      <c r="P53" s="42">
        <f t="shared" si="6"/>
        <v>133.82456703582486</v>
      </c>
      <c r="R53" s="29" t="str">
        <f t="shared" si="8"/>
        <v>(460,30,50,128,0.86)</v>
      </c>
    </row>
    <row r="54" spans="1:18">
      <c r="A54" s="38">
        <v>12</v>
      </c>
      <c r="B54" s="39">
        <v>360</v>
      </c>
      <c r="C54" s="39">
        <v>35</v>
      </c>
      <c r="D54" s="39">
        <v>40</v>
      </c>
      <c r="E54" s="39">
        <v>100</v>
      </c>
      <c r="F54" s="40">
        <f>A54*Assumptions!$C$19*365*24*Assumptions!$D$26*1000/(Assumptions!$G$14*0.001) /10^9</f>
        <v>11.502397866094725</v>
      </c>
      <c r="G54" s="40">
        <f>B54*Assumptions!$C$20*365*24*Assumptions!$D$30*1000/(Assumptions!$G$14*0.001) /10^9</f>
        <v>56.613212348360541</v>
      </c>
      <c r="H54" s="40">
        <f>D54*Assumptions!$C$46/(Assumptions!$G$14*0.001) /10^9</f>
        <v>1.7684949638573544</v>
      </c>
      <c r="I54" s="40">
        <f>C54*Assumptions!$C$56/(Assumptions!$G$14*0.001) /10^9</f>
        <v>1.7450901893186006</v>
      </c>
      <c r="J54" s="40">
        <f>E54*Assumptions!$C$65/(Assumptions!$G$14*0.001) /10^9</f>
        <v>4.1756131091076423</v>
      </c>
      <c r="K54" s="47">
        <f>4*Assumptions!$C$10/Assumptions!$G$14</f>
        <v>3.5850379503898764</v>
      </c>
      <c r="L54" s="45">
        <v>66.7</v>
      </c>
      <c r="M54" s="39">
        <v>86</v>
      </c>
      <c r="N54" s="44">
        <f>M54*Assumptions!$C$97/(Assumptions!$G$16*0.001) /10^9*L54/100</f>
        <v>24.121233562822198</v>
      </c>
      <c r="O54" s="48">
        <f>Assumptions!$C$116*Assumptions!$C$113/(Assumptions!$G$16*0.001) /10^9</f>
        <v>2.6088428438793594</v>
      </c>
      <c r="P54" s="42">
        <f t="shared" si="6"/>
        <v>106.1199228338303</v>
      </c>
      <c r="R54" s="29" t="str">
        <f t="shared" si="8"/>
        <v>(360,35,40,86,0.67)</v>
      </c>
    </row>
    <row r="90" spans="1:18">
      <c r="A90" t="s">
        <v>90</v>
      </c>
    </row>
    <row r="91" spans="1:18">
      <c r="A91" s="38">
        <v>12</v>
      </c>
      <c r="B91" s="39">
        <v>340</v>
      </c>
      <c r="C91" s="39">
        <v>37</v>
      </c>
      <c r="D91" s="39">
        <v>60</v>
      </c>
      <c r="E91" s="39">
        <v>100</v>
      </c>
      <c r="F91" s="40">
        <f>A91*Assumptions!$C$19*365*24*Assumptions!$D$26*1000/(Assumptions!$G$12*0.001) /10^9</f>
        <v>11.926795087504766</v>
      </c>
      <c r="G91" s="40">
        <f>B91*Assumptions!$C$20*365*24*Assumptions!$D$30*1000/(Assumptions!$G$12*0.001) /10^9</f>
        <v>55.440812541589899</v>
      </c>
      <c r="H91" s="40">
        <f>D91*Assumptions!$C$46/(Assumptions!$G$12*0.001) /10^9</f>
        <v>2.7506191264759434</v>
      </c>
      <c r="I91" s="40">
        <f>C91*Assumptions!$C$56/(Assumptions!$G$12*0.001) /10^9</f>
        <v>1.9128764865555095</v>
      </c>
      <c r="J91" s="40">
        <f>E91*Assumptions!$C$65/(Assumptions!$G$12*0.001) /10^9</f>
        <v>4.3296782546380586</v>
      </c>
      <c r="K91" s="47">
        <f>4*Assumptions!$C$10/Assumptions!$G$12</f>
        <v>3.717312990995091</v>
      </c>
      <c r="L91" s="45">
        <v>64.2</v>
      </c>
      <c r="M91" s="39">
        <v>150</v>
      </c>
      <c r="N91" s="44">
        <f>M91*Assumptions!$C$97/(Assumptions!$G$13*0.001) /10^9*L91/100</f>
        <v>37.546768679853677</v>
      </c>
      <c r="O91" s="48">
        <f>Assumptions!$C$115*Assumptions!$C$113/(Assumptions!$G$13*0.001) /10^9</f>
        <v>4.3917597561181276</v>
      </c>
      <c r="P91" s="42">
        <f>SUM(F91:K91)+N91+O91</f>
        <v>122.01662292373108</v>
      </c>
      <c r="R91" s="29" t="str">
        <f>CONCATENATE("(",B91,",",C91,",",D91,",",E91,",",ROUND(M91,0),",",ROUND(L91/100,2),")")</f>
        <v>(340,37,60,100,150,0.64)</v>
      </c>
    </row>
    <row r="92" spans="1:18">
      <c r="A92" s="38">
        <v>12</v>
      </c>
      <c r="B92" s="39">
        <v>370</v>
      </c>
      <c r="C92" s="39">
        <v>34</v>
      </c>
      <c r="D92" s="39">
        <v>40</v>
      </c>
      <c r="E92" s="39">
        <v>100</v>
      </c>
      <c r="F92" s="40">
        <f>A92*Assumptions!$C$19*365*24*Assumptions!$D$26*1000/(Assumptions!$G$12*0.001) /10^9</f>
        <v>11.926795087504766</v>
      </c>
      <c r="G92" s="40">
        <f>B92*Assumptions!$C$20*365*24*Assumptions!$D$30*1000/(Assumptions!$G$12*0.001) /10^9</f>
        <v>60.332648942318421</v>
      </c>
      <c r="H92" s="40">
        <f>D92*Assumptions!$C$46/(Assumptions!$G$12*0.001) /10^9</f>
        <v>1.8337460843172952</v>
      </c>
      <c r="I92" s="40">
        <f>C92*Assumptions!$C$56/(Assumptions!$G$12*0.001) /10^9</f>
        <v>1.7577783930510089</v>
      </c>
      <c r="J92" s="40">
        <f>E92*Assumptions!$C$65/(Assumptions!$G$12*0.001) /10^9</f>
        <v>4.3296782546380586</v>
      </c>
      <c r="K92" s="47">
        <f>4*Assumptions!$C$10/Assumptions!$G$12</f>
        <v>3.717312990995091</v>
      </c>
      <c r="L92" s="45">
        <v>69.209999999999994</v>
      </c>
      <c r="M92" s="39">
        <v>99</v>
      </c>
      <c r="N92" s="44">
        <f>M92*Assumptions!$C$97/(Assumptions!$G$13*0.001) /10^9*L92/100</f>
        <v>26.714701367905981</v>
      </c>
      <c r="O92" s="48">
        <f>Assumptions!$C$115*Assumptions!$C$113/(Assumptions!$G$13*0.001) /10^9</f>
        <v>4.3917597561181276</v>
      </c>
      <c r="P92" s="42">
        <f t="shared" ref="P92" si="9">SUM(F92:K92)+N92+O92</f>
        <v>115.00442087684876</v>
      </c>
      <c r="R92" s="29" t="str">
        <f t="shared" ref="R92" si="10">CONCATENATE("(",B92,",",C92,",",D92,",",E92,",",ROUND(M92,0),",",ROUND(L92/100,2),")")</f>
        <v>(370,34,40,100,99,0.69)</v>
      </c>
    </row>
  </sheetData>
  <conditionalFormatting sqref="B1:B7">
    <cfRule type="colorScale" priority="4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1:P7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4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9">
    <cfRule type="colorScale" priority="5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0">
    <cfRule type="colorScale" priority="5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B13">
    <cfRule type="colorScale" priority="5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B13">
    <cfRule type="colorScale" priority="52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:P13">
    <cfRule type="colorScale" priority="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olorScale" priority="5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">
    <cfRule type="colorScale" priority="5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6">
    <cfRule type="colorScale" priority="5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">
    <cfRule type="colorScale" priority="5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8">
    <cfRule type="colorScale" priority="5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4:B18">
    <cfRule type="colorScale" priority="550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P14:P18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8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47:P48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9">
    <cfRule type="colorScale" priority="4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olorScale" priority="38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5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olorScale" priority="32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51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olorScale" priority="27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8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29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5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olorScale" priority="25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P5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olorScale" priority="20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1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22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54">
    <cfRule type="colorScale" priority="19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B92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P9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P68"/>
  <sheetViews>
    <sheetView showGridLines="0" zoomScale="85" zoomScaleNormal="85" workbookViewId="0">
      <pane ySplit="4" topLeftCell="A5" activePane="bottomLeft" state="frozen"/>
      <selection pane="bottomLeft" activeCell="L9" sqref="B9:L9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</cols>
  <sheetData>
    <row r="1" spans="2:16">
      <c r="H1" s="25"/>
      <c r="I1" s="25"/>
      <c r="J1" s="25"/>
      <c r="K1" s="25"/>
      <c r="L1" s="25"/>
      <c r="M1" s="25"/>
    </row>
    <row r="2" spans="2:16">
      <c r="G2" s="55" t="s">
        <v>54</v>
      </c>
      <c r="H2" s="55"/>
      <c r="I2" s="55"/>
      <c r="J2" s="55"/>
      <c r="K2" s="55"/>
      <c r="L2" s="55"/>
      <c r="M2" s="49"/>
    </row>
    <row r="4" spans="2:16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27" t="s">
        <v>64</v>
      </c>
      <c r="N4" s="23" t="s">
        <v>65</v>
      </c>
      <c r="P4" s="4" t="s">
        <v>84</v>
      </c>
    </row>
    <row r="5" spans="2:16">
      <c r="B5" s="38">
        <v>12</v>
      </c>
      <c r="C5" s="39">
        <v>220</v>
      </c>
      <c r="D5" s="39">
        <v>165</v>
      </c>
      <c r="E5" s="37">
        <v>80</v>
      </c>
      <c r="F5" s="39">
        <v>100</v>
      </c>
      <c r="G5" s="40">
        <f>B5*[1]Assumptions!$C$19*365*24*[1]Assumptions!$D$26*1000/([1]Assumptions!$C$10*0.001) /10^9</f>
        <v>12.833780869565217</v>
      </c>
      <c r="H5" s="40">
        <f>C5*[1]Assumptions!$C$20*365*24*[1]Assumptions!$D$30*1000/([1]Assumptions!$C$10*0.001) /10^9</f>
        <v>38.601502779643866</v>
      </c>
      <c r="I5" s="40">
        <f>E5*[1]Assumptions!$C$46/([1]Assumptions!$C$10*0.001) /10^9</f>
        <v>3.9463905003628286</v>
      </c>
      <c r="J5" s="40">
        <f>D5*[1]Assumptions!$C$56/([1]Assumptions!$C$10*0.001) /10^9</f>
        <v>9.1790980887665672</v>
      </c>
      <c r="K5" s="40">
        <f>F5*[1]Assumptions!$C$65/([1]Assumptions!$C$10*0.001) /10^9</f>
        <v>4.6589332295950063</v>
      </c>
      <c r="L5" s="50">
        <f>[1]Assumptions!$C$69</f>
        <v>4</v>
      </c>
      <c r="M5" s="51">
        <f>SUM(G5:L5)</f>
        <v>73.219705467933494</v>
      </c>
      <c r="N5" s="29" t="str">
        <f>CONCATENATE("(",C5,",",D5,",",ROUND(E5,0),")")</f>
        <v>(220,165,80)</v>
      </c>
      <c r="P5" s="52">
        <f>SUM(I5:K5)/M5</f>
        <v>0.24289119582040761</v>
      </c>
    </row>
    <row r="6" spans="2:16">
      <c r="B6" s="38">
        <v>12</v>
      </c>
      <c r="C6" s="39">
        <v>220</v>
      </c>
      <c r="D6" s="39">
        <v>160</v>
      </c>
      <c r="E6" s="37">
        <v>90</v>
      </c>
      <c r="F6" s="39">
        <v>100</v>
      </c>
      <c r="G6" s="40">
        <f>B6*[1]Assumptions!$C$19*365*24*[1]Assumptions!$D$26*1000/([1]Assumptions!$C$10*0.001) /10^9</f>
        <v>12.833780869565217</v>
      </c>
      <c r="H6" s="40">
        <f>C6*[1]Assumptions!$C$20*365*24*[1]Assumptions!$D$30*1000/([1]Assumptions!$C$10*0.001) /10^9</f>
        <v>38.601502779643866</v>
      </c>
      <c r="I6" s="40">
        <f>E6*[1]Assumptions!$C$46/([1]Assumptions!$C$10*0.001) /10^9</f>
        <v>4.4396893129081834</v>
      </c>
      <c r="J6" s="40">
        <f>D6*[1]Assumptions!$C$56/([1]Assumptions!$C$10*0.001) /10^9</f>
        <v>8.9009436012281853</v>
      </c>
      <c r="K6" s="40">
        <f>F6*[1]Assumptions!$C$65/([1]Assumptions!$C$10*0.001) /10^9</f>
        <v>4.6589332295950063</v>
      </c>
      <c r="L6" s="50">
        <f>[1]Assumptions!$C$69</f>
        <v>4</v>
      </c>
      <c r="M6" s="51">
        <f t="shared" ref="M6:M68" si="0">SUM(G6:L6)</f>
        <v>73.434849792940454</v>
      </c>
      <c r="N6" s="29" t="str">
        <f t="shared" ref="N6:N68" si="1">CONCATENATE("(",C6,",",D6,",",ROUND(E6,0),")")</f>
        <v>(220,160,90)</v>
      </c>
      <c r="P6" s="52">
        <f t="shared" ref="P6:P68" si="2">SUM(I6:K6)/M6</f>
        <v>0.24510932063568727</v>
      </c>
    </row>
    <row r="7" spans="2:16">
      <c r="B7" s="38">
        <v>12</v>
      </c>
      <c r="C7" s="39">
        <v>220</v>
      </c>
      <c r="D7" s="39">
        <v>159</v>
      </c>
      <c r="E7" s="37">
        <v>100</v>
      </c>
      <c r="F7" s="39">
        <v>100</v>
      </c>
      <c r="G7" s="40">
        <f>B7*[1]Assumptions!$C$19*365*24*[1]Assumptions!$D$26*1000/([1]Assumptions!$C$10*0.001) /10^9</f>
        <v>12.833780869565217</v>
      </c>
      <c r="H7" s="40">
        <f>C7*[1]Assumptions!$C$20*365*24*[1]Assumptions!$D$30*1000/([1]Assumptions!$C$10*0.001) /10^9</f>
        <v>38.601502779643866</v>
      </c>
      <c r="I7" s="40">
        <f>E7*[1]Assumptions!$C$46/([1]Assumptions!$C$10*0.001) /10^9</f>
        <v>4.9329881254535364</v>
      </c>
      <c r="J7" s="40">
        <f>D7*[1]Assumptions!$C$56/([1]Assumptions!$C$10*0.001) /10^9</f>
        <v>8.845312703720511</v>
      </c>
      <c r="K7" s="40">
        <f>F7*[1]Assumptions!$C$65/([1]Assumptions!$C$10*0.001) /10^9</f>
        <v>4.6589332295950063</v>
      </c>
      <c r="L7" s="50">
        <f>[1]Assumptions!$C$69</f>
        <v>4</v>
      </c>
      <c r="M7" s="51">
        <f t="shared" si="0"/>
        <v>73.872517707978133</v>
      </c>
      <c r="N7" s="29" t="str">
        <f t="shared" si="1"/>
        <v>(220,159,100)</v>
      </c>
      <c r="P7" s="52">
        <f t="shared" si="2"/>
        <v>0.24958177453288366</v>
      </c>
    </row>
    <row r="8" spans="2:16">
      <c r="B8" s="38">
        <v>12</v>
      </c>
      <c r="C8" s="39">
        <v>230</v>
      </c>
      <c r="D8" s="39">
        <v>136</v>
      </c>
      <c r="E8" s="37">
        <v>50</v>
      </c>
      <c r="F8" s="39">
        <v>100</v>
      </c>
      <c r="G8" s="40">
        <f>B8*[1]Assumptions!$C$19*365*24*[1]Assumptions!$D$26*1000/([1]Assumptions!$C$10*0.001) /10^9</f>
        <v>12.833780869565217</v>
      </c>
      <c r="H8" s="40">
        <f>C8*[1]Assumptions!$C$20*365*24*[1]Assumptions!$D$30*1000/([1]Assumptions!$C$10*0.001) /10^9</f>
        <v>40.35611654235494</v>
      </c>
      <c r="I8" s="40">
        <f>E8*[1]Assumptions!$C$46/([1]Assumptions!$C$10*0.001) /10^9</f>
        <v>2.4664940627267682</v>
      </c>
      <c r="J8" s="40">
        <f>D8*[1]Assumptions!$C$56/([1]Assumptions!$C$10*0.001) /10^9</f>
        <v>7.565802061043958</v>
      </c>
      <c r="K8" s="40">
        <f>F8*[1]Assumptions!$C$65/([1]Assumptions!$C$10*0.001) /10^9</f>
        <v>4.6589332295950063</v>
      </c>
      <c r="L8" s="50">
        <f>[1]Assumptions!$C$69</f>
        <v>4</v>
      </c>
      <c r="M8" s="51">
        <f t="shared" si="0"/>
        <v>71.881126765285885</v>
      </c>
      <c r="N8" s="29" t="str">
        <f t="shared" si="1"/>
        <v>(230,136,50)</v>
      </c>
      <c r="P8" s="52">
        <f t="shared" si="2"/>
        <v>0.2043822907970981</v>
      </c>
    </row>
    <row r="9" spans="2:16">
      <c r="B9" s="38">
        <v>12</v>
      </c>
      <c r="C9" s="39">
        <v>230</v>
      </c>
      <c r="D9" s="39">
        <v>121</v>
      </c>
      <c r="E9" s="37">
        <v>60</v>
      </c>
      <c r="F9" s="39">
        <v>100</v>
      </c>
      <c r="G9" s="40">
        <f>B9*[1]Assumptions!$C$19*365*24*[1]Assumptions!$D$26*1000/([1]Assumptions!$C$10*0.001) /10^9</f>
        <v>12.833780869565217</v>
      </c>
      <c r="H9" s="40">
        <f>C9*[1]Assumptions!$C$20*365*24*[1]Assumptions!$D$30*1000/([1]Assumptions!$C$10*0.001) /10^9</f>
        <v>40.35611654235494</v>
      </c>
      <c r="I9" s="40">
        <f>E9*[1]Assumptions!$C$46/([1]Assumptions!$C$10*0.001) /10^9</f>
        <v>2.9597928752721221</v>
      </c>
      <c r="J9" s="40">
        <f>D9*[1]Assumptions!$C$56/([1]Assumptions!$C$10*0.001) /10^9</f>
        <v>6.731338598428815</v>
      </c>
      <c r="K9" s="40">
        <f>F9*[1]Assumptions!$C$65/([1]Assumptions!$C$10*0.001) /10^9</f>
        <v>4.6589332295950063</v>
      </c>
      <c r="L9" s="50">
        <f>[1]Assumptions!$C$69</f>
        <v>4</v>
      </c>
      <c r="M9" s="51">
        <f t="shared" si="0"/>
        <v>71.539962115216099</v>
      </c>
      <c r="N9" s="29" t="str">
        <f t="shared" si="1"/>
        <v>(230,121,60)</v>
      </c>
      <c r="P9" s="52">
        <f t="shared" si="2"/>
        <v>0.20058809480755616</v>
      </c>
    </row>
    <row r="10" spans="2:16">
      <c r="B10" s="38">
        <v>12</v>
      </c>
      <c r="C10" s="39">
        <v>230</v>
      </c>
      <c r="D10" s="39">
        <v>116</v>
      </c>
      <c r="E10" s="37">
        <v>70</v>
      </c>
      <c r="F10" s="39">
        <v>100</v>
      </c>
      <c r="G10" s="40">
        <f>B10*[1]Assumptions!$C$19*365*24*[1]Assumptions!$D$26*1000/([1]Assumptions!$C$10*0.001) /10^9</f>
        <v>12.833780869565217</v>
      </c>
      <c r="H10" s="40">
        <f>C10*[1]Assumptions!$C$20*365*24*[1]Assumptions!$D$30*1000/([1]Assumptions!$C$10*0.001) /10^9</f>
        <v>40.35611654235494</v>
      </c>
      <c r="I10" s="40">
        <f>E10*[1]Assumptions!$C$46/([1]Assumptions!$C$10*0.001) /10^9</f>
        <v>3.4530916878174751</v>
      </c>
      <c r="J10" s="40">
        <f>D10*[1]Assumptions!$C$56/([1]Assumptions!$C$10*0.001) /10^9</f>
        <v>6.453184110890434</v>
      </c>
      <c r="K10" s="40">
        <f>F10*[1]Assumptions!$C$65/([1]Assumptions!$C$10*0.001) /10^9</f>
        <v>4.6589332295950063</v>
      </c>
      <c r="L10" s="50">
        <f>[1]Assumptions!$C$69</f>
        <v>4</v>
      </c>
      <c r="M10" s="51">
        <f t="shared" si="0"/>
        <v>71.755106440223074</v>
      </c>
      <c r="N10" s="29" t="str">
        <f t="shared" si="1"/>
        <v>(230,116,70)</v>
      </c>
      <c r="P10" s="52">
        <f t="shared" si="2"/>
        <v>0.20298498254527342</v>
      </c>
    </row>
    <row r="11" spans="2:16">
      <c r="B11" s="38">
        <v>12</v>
      </c>
      <c r="C11" s="39">
        <v>230</v>
      </c>
      <c r="D11" s="39">
        <v>114</v>
      </c>
      <c r="E11" s="37">
        <v>80</v>
      </c>
      <c r="F11" s="39">
        <v>100</v>
      </c>
      <c r="G11" s="40">
        <f>B11*[1]Assumptions!$C$19*365*24*[1]Assumptions!$D$26*1000/([1]Assumptions!$C$10*0.001) /10^9</f>
        <v>12.833780869565217</v>
      </c>
      <c r="H11" s="40">
        <f>C11*[1]Assumptions!$C$20*365*24*[1]Assumptions!$D$30*1000/([1]Assumptions!$C$10*0.001) /10^9</f>
        <v>40.35611654235494</v>
      </c>
      <c r="I11" s="40">
        <f>E11*[1]Assumptions!$C$46/([1]Assumptions!$C$10*0.001) /10^9</f>
        <v>3.9463905003628286</v>
      </c>
      <c r="J11" s="40">
        <f>D11*[1]Assumptions!$C$56/([1]Assumptions!$C$10*0.001) /10^9</f>
        <v>6.3419223158750819</v>
      </c>
      <c r="K11" s="40">
        <f>F11*[1]Assumptions!$C$65/([1]Assumptions!$C$10*0.001) /10^9</f>
        <v>4.6589332295950063</v>
      </c>
      <c r="L11" s="50">
        <f>[1]Assumptions!$C$69</f>
        <v>4</v>
      </c>
      <c r="M11" s="51">
        <f t="shared" si="0"/>
        <v>72.137143457753069</v>
      </c>
      <c r="N11" s="29" t="str">
        <f t="shared" si="1"/>
        <v>(230,114,80)</v>
      </c>
      <c r="P11" s="52">
        <f t="shared" si="2"/>
        <v>0.20720595977835929</v>
      </c>
    </row>
    <row r="12" spans="2:16" ht="16.95" customHeight="1">
      <c r="B12" s="38">
        <v>12</v>
      </c>
      <c r="C12" s="39">
        <v>230</v>
      </c>
      <c r="D12" s="39">
        <v>111</v>
      </c>
      <c r="E12" s="37">
        <v>90</v>
      </c>
      <c r="F12" s="39">
        <v>100</v>
      </c>
      <c r="G12" s="40">
        <f>B12*[1]Assumptions!$C$19*365*24*[1]Assumptions!$D$26*1000/([1]Assumptions!$C$10*0.001) /10^9</f>
        <v>12.833780869565217</v>
      </c>
      <c r="H12" s="40">
        <f>C12*[1]Assumptions!$C$20*365*24*[1]Assumptions!$D$30*1000/([1]Assumptions!$C$10*0.001) /10^9</f>
        <v>40.35611654235494</v>
      </c>
      <c r="I12" s="40">
        <f>E12*[1]Assumptions!$C$46/([1]Assumptions!$C$10*0.001) /10^9</f>
        <v>4.4396893129081834</v>
      </c>
      <c r="J12" s="40">
        <f>D12*[1]Assumptions!$C$56/([1]Assumptions!$C$10*0.001) /10^9</f>
        <v>6.1750296233520539</v>
      </c>
      <c r="K12" s="40">
        <f>F12*[1]Assumptions!$C$65/([1]Assumptions!$C$10*0.001) /10^9</f>
        <v>4.6589332295950063</v>
      </c>
      <c r="L12" s="50">
        <f>[1]Assumptions!$C$69</f>
        <v>4</v>
      </c>
      <c r="M12" s="51">
        <f t="shared" si="0"/>
        <v>72.463549577775396</v>
      </c>
      <c r="N12" s="29" t="str">
        <f t="shared" si="1"/>
        <v>(230,111,90)</v>
      </c>
      <c r="P12" s="52">
        <f t="shared" si="2"/>
        <v>0.21077703555581381</v>
      </c>
    </row>
    <row r="13" spans="2:16">
      <c r="B13" s="38">
        <v>12</v>
      </c>
      <c r="C13" s="39">
        <v>230</v>
      </c>
      <c r="D13" s="39">
        <v>110</v>
      </c>
      <c r="E13" s="37">
        <v>100</v>
      </c>
      <c r="F13" s="39">
        <v>100</v>
      </c>
      <c r="G13" s="40">
        <f>B13*[1]Assumptions!$C$19*365*24*[1]Assumptions!$D$26*1000/([1]Assumptions!$C$10*0.001) /10^9</f>
        <v>12.833780869565217</v>
      </c>
      <c r="H13" s="40">
        <f>C13*[1]Assumptions!$C$20*365*24*[1]Assumptions!$D$30*1000/([1]Assumptions!$C$10*0.001) /10^9</f>
        <v>40.35611654235494</v>
      </c>
      <c r="I13" s="40">
        <f>E13*[1]Assumptions!$C$46/([1]Assumptions!$C$10*0.001) /10^9</f>
        <v>4.9329881254535364</v>
      </c>
      <c r="J13" s="40">
        <f>D13*[1]Assumptions!$C$56/([1]Assumptions!$C$10*0.001) /10^9</f>
        <v>6.1193987258443778</v>
      </c>
      <c r="K13" s="40">
        <f>F13*[1]Assumptions!$C$65/([1]Assumptions!$C$10*0.001) /10^9</f>
        <v>4.6589332295950063</v>
      </c>
      <c r="L13" s="50">
        <f>[1]Assumptions!$C$69</f>
        <v>4</v>
      </c>
      <c r="M13" s="51">
        <f t="shared" si="0"/>
        <v>72.901217492813075</v>
      </c>
      <c r="N13" s="29" t="str">
        <f t="shared" si="1"/>
        <v>(230,110,100)</v>
      </c>
      <c r="P13" s="52">
        <f t="shared" si="2"/>
        <v>0.21551519468713692</v>
      </c>
    </row>
    <row r="14" spans="2:16">
      <c r="B14" s="38">
        <v>12</v>
      </c>
      <c r="C14" s="39">
        <v>240</v>
      </c>
      <c r="D14" s="39">
        <v>114</v>
      </c>
      <c r="E14" s="37">
        <v>40</v>
      </c>
      <c r="F14" s="39">
        <v>100</v>
      </c>
      <c r="G14" s="40">
        <f>B14*[1]Assumptions!$C$19*365*24*[1]Assumptions!$D$26*1000/([1]Assumptions!$C$10*0.001) /10^9</f>
        <v>12.833780869565217</v>
      </c>
      <c r="H14" s="40">
        <f>C14*[1]Assumptions!$C$20*365*24*[1]Assumptions!$D$30*1000/([1]Assumptions!$C$10*0.001) /10^9</f>
        <v>42.110730305066035</v>
      </c>
      <c r="I14" s="40">
        <f>E14*[1]Assumptions!$C$46/([1]Assumptions!$C$10*0.001) /10^9</f>
        <v>1.9731952501814143</v>
      </c>
      <c r="J14" s="40">
        <f>D14*[1]Assumptions!$C$56/([1]Assumptions!$C$10*0.001) /10^9</f>
        <v>6.3419223158750819</v>
      </c>
      <c r="K14" s="40">
        <f>F14*[1]Assumptions!$C$65/([1]Assumptions!$C$10*0.001) /10^9</f>
        <v>4.6589332295950063</v>
      </c>
      <c r="L14" s="50">
        <f>[1]Assumptions!$C$69</f>
        <v>4</v>
      </c>
      <c r="M14" s="51">
        <f t="shared" si="0"/>
        <v>71.918561970282752</v>
      </c>
      <c r="N14" s="29" t="str">
        <f t="shared" si="1"/>
        <v>(240,114,40)</v>
      </c>
      <c r="P14" s="52">
        <f t="shared" si="2"/>
        <v>0.18039919653861367</v>
      </c>
    </row>
    <row r="15" spans="2:16" ht="16.95" customHeight="1">
      <c r="B15" s="38">
        <v>12</v>
      </c>
      <c r="C15" s="39">
        <v>240</v>
      </c>
      <c r="D15" s="39">
        <v>99</v>
      </c>
      <c r="E15" s="37">
        <v>50</v>
      </c>
      <c r="F15" s="39">
        <v>100</v>
      </c>
      <c r="G15" s="40">
        <f>B15*[1]Assumptions!$C$19*365*24*[1]Assumptions!$D$26*1000/([1]Assumptions!$C$10*0.001) /10^9</f>
        <v>12.833780869565217</v>
      </c>
      <c r="H15" s="40">
        <f>C15*[1]Assumptions!$C$20*365*24*[1]Assumptions!$D$30*1000/([1]Assumptions!$C$10*0.001) /10^9</f>
        <v>42.110730305066035</v>
      </c>
      <c r="I15" s="40">
        <f>E15*[1]Assumptions!$C$46/([1]Assumptions!$C$10*0.001) /10^9</f>
        <v>2.4664940627267682</v>
      </c>
      <c r="J15" s="40">
        <f>D15*[1]Assumptions!$C$56/([1]Assumptions!$C$10*0.001) /10^9</f>
        <v>5.5074588532599389</v>
      </c>
      <c r="K15" s="40">
        <f>F15*[1]Assumptions!$C$65/([1]Assumptions!$C$10*0.001) /10^9</f>
        <v>4.6589332295950063</v>
      </c>
      <c r="L15" s="50">
        <f>[1]Assumptions!$C$69</f>
        <v>4</v>
      </c>
      <c r="M15" s="51">
        <f t="shared" si="0"/>
        <v>71.577397320212967</v>
      </c>
      <c r="N15" s="29" t="str">
        <f t="shared" si="1"/>
        <v>(240,99,50)</v>
      </c>
      <c r="P15" s="52">
        <f t="shared" si="2"/>
        <v>0.17649267252714529</v>
      </c>
    </row>
    <row r="16" spans="2:16" ht="16.95" customHeight="1">
      <c r="B16" s="38">
        <v>12</v>
      </c>
      <c r="C16" s="39">
        <v>240</v>
      </c>
      <c r="D16" s="39">
        <v>91</v>
      </c>
      <c r="E16" s="37">
        <v>60</v>
      </c>
      <c r="F16" s="39">
        <v>100</v>
      </c>
      <c r="G16" s="40">
        <f>B16*[1]Assumptions!$C$19*365*24*[1]Assumptions!$D$26*1000/([1]Assumptions!$C$10*0.001) /10^9</f>
        <v>12.833780869565217</v>
      </c>
      <c r="H16" s="40">
        <f>C16*[1]Assumptions!$C$20*365*24*[1]Assumptions!$D$30*1000/([1]Assumptions!$C$10*0.001) /10^9</f>
        <v>42.110730305066035</v>
      </c>
      <c r="I16" s="40">
        <f>E16*[1]Assumptions!$C$46/([1]Assumptions!$C$10*0.001) /10^9</f>
        <v>2.9597928752721221</v>
      </c>
      <c r="J16" s="40">
        <f>D16*[1]Assumptions!$C$56/([1]Assumptions!$C$10*0.001) /10^9</f>
        <v>5.0624116731985298</v>
      </c>
      <c r="K16" s="40">
        <f>F16*[1]Assumptions!$C$65/([1]Assumptions!$C$10*0.001) /10^9</f>
        <v>4.6589332295950063</v>
      </c>
      <c r="L16" s="50">
        <f>[1]Assumptions!$C$69</f>
        <v>4</v>
      </c>
      <c r="M16" s="51">
        <f t="shared" si="0"/>
        <v>71.625648952696906</v>
      </c>
      <c r="N16" s="29" t="str">
        <f t="shared" si="1"/>
        <v>(240,91,60)</v>
      </c>
      <c r="P16" s="52">
        <f t="shared" si="2"/>
        <v>0.1770474398974109</v>
      </c>
    </row>
    <row r="17" spans="2:16" ht="16.95" customHeight="1">
      <c r="B17" s="38">
        <v>12</v>
      </c>
      <c r="C17" s="39">
        <v>240</v>
      </c>
      <c r="D17" s="39">
        <v>85</v>
      </c>
      <c r="E17" s="37">
        <v>70</v>
      </c>
      <c r="F17" s="39">
        <v>100</v>
      </c>
      <c r="G17" s="40">
        <f>B17*[1]Assumptions!$C$19*365*24*[1]Assumptions!$D$26*1000/([1]Assumptions!$C$10*0.001) /10^9</f>
        <v>12.833780869565217</v>
      </c>
      <c r="H17" s="40">
        <f>C17*[1]Assumptions!$C$20*365*24*[1]Assumptions!$D$30*1000/([1]Assumptions!$C$10*0.001) /10^9</f>
        <v>42.110730305066035</v>
      </c>
      <c r="I17" s="40">
        <f>E17*[1]Assumptions!$C$46/([1]Assumptions!$C$10*0.001) /10^9</f>
        <v>3.4530916878174751</v>
      </c>
      <c r="J17" s="40">
        <f>D17*[1]Assumptions!$C$56/([1]Assumptions!$C$10*0.001) /10^9</f>
        <v>4.7286262881524737</v>
      </c>
      <c r="K17" s="40">
        <f>F17*[1]Assumptions!$C$65/([1]Assumptions!$C$10*0.001) /10^9</f>
        <v>4.6589332295950063</v>
      </c>
      <c r="L17" s="50">
        <f>[1]Assumptions!$C$69</f>
        <v>4</v>
      </c>
      <c r="M17" s="51">
        <f t="shared" si="0"/>
        <v>71.785162380196212</v>
      </c>
      <c r="N17" s="29" t="str">
        <f t="shared" si="1"/>
        <v>(240,85,70)</v>
      </c>
      <c r="P17" s="52">
        <f t="shared" si="2"/>
        <v>0.17887611840392495</v>
      </c>
    </row>
    <row r="18" spans="2:16" ht="16.95" customHeight="1">
      <c r="B18" s="38">
        <v>12</v>
      </c>
      <c r="C18" s="39">
        <v>240</v>
      </c>
      <c r="D18" s="39">
        <v>81</v>
      </c>
      <c r="E18" s="37">
        <v>80</v>
      </c>
      <c r="F18" s="39">
        <v>100</v>
      </c>
      <c r="G18" s="40">
        <f>B18*[1]Assumptions!$C$19*365*24*[1]Assumptions!$D$26*1000/([1]Assumptions!$C$10*0.001) /10^9</f>
        <v>12.833780869565217</v>
      </c>
      <c r="H18" s="40">
        <f>C18*[1]Assumptions!$C$20*365*24*[1]Assumptions!$D$30*1000/([1]Assumptions!$C$10*0.001) /10^9</f>
        <v>42.110730305066035</v>
      </c>
      <c r="I18" s="40">
        <f>E18*[1]Assumptions!$C$46/([1]Assumptions!$C$10*0.001) /10^9</f>
        <v>3.9463905003628286</v>
      </c>
      <c r="J18" s="40">
        <f>D18*[1]Assumptions!$C$56/([1]Assumptions!$C$10*0.001) /10^9</f>
        <v>4.5061026981217687</v>
      </c>
      <c r="K18" s="40">
        <f>F18*[1]Assumptions!$C$65/([1]Assumptions!$C$10*0.001) /10^9</f>
        <v>4.6589332295950063</v>
      </c>
      <c r="L18" s="50">
        <f>[1]Assumptions!$C$69</f>
        <v>4</v>
      </c>
      <c r="M18" s="51">
        <f t="shared" si="0"/>
        <v>72.055937602710856</v>
      </c>
      <c r="N18" s="29" t="str">
        <f t="shared" si="1"/>
        <v>(240,81,80)</v>
      </c>
      <c r="P18" s="52">
        <f t="shared" si="2"/>
        <v>0.18196177670147104</v>
      </c>
    </row>
    <row r="19" spans="2:16">
      <c r="B19" s="38">
        <v>12</v>
      </c>
      <c r="C19" s="39">
        <v>240</v>
      </c>
      <c r="D19" s="39">
        <v>79</v>
      </c>
      <c r="E19" s="37">
        <v>90</v>
      </c>
      <c r="F19" s="39">
        <v>100</v>
      </c>
      <c r="G19" s="40">
        <f>B19*[1]Assumptions!$C$19*365*24*[1]Assumptions!$D$26*1000/([1]Assumptions!$C$10*0.001) /10^9</f>
        <v>12.833780869565217</v>
      </c>
      <c r="H19" s="40">
        <f>C19*[1]Assumptions!$C$20*365*24*[1]Assumptions!$D$30*1000/([1]Assumptions!$C$10*0.001) /10^9</f>
        <v>42.110730305066035</v>
      </c>
      <c r="I19" s="40">
        <f>E19*[1]Assumptions!$C$46/([1]Assumptions!$C$10*0.001) /10^9</f>
        <v>4.4396893129081834</v>
      </c>
      <c r="J19" s="40">
        <f>D19*[1]Assumptions!$C$56/([1]Assumptions!$C$10*0.001) /10^9</f>
        <v>4.3948409031064157</v>
      </c>
      <c r="K19" s="40">
        <f>F19*[1]Assumptions!$C$65/([1]Assumptions!$C$10*0.001) /10^9</f>
        <v>4.6589332295950063</v>
      </c>
      <c r="L19" s="50">
        <f>[1]Assumptions!$C$69</f>
        <v>4</v>
      </c>
      <c r="M19" s="51">
        <f t="shared" si="0"/>
        <v>72.437974620240851</v>
      </c>
      <c r="N19" s="29" t="str">
        <f t="shared" si="1"/>
        <v>(240,79,90)</v>
      </c>
      <c r="P19" s="52">
        <f t="shared" si="2"/>
        <v>0.1862761005722435</v>
      </c>
    </row>
    <row r="20" spans="2:16">
      <c r="B20" s="38">
        <v>12</v>
      </c>
      <c r="C20" s="39">
        <v>240</v>
      </c>
      <c r="D20" s="39">
        <v>79</v>
      </c>
      <c r="E20" s="37">
        <v>100</v>
      </c>
      <c r="F20" s="39">
        <v>100</v>
      </c>
      <c r="G20" s="40">
        <f>B20*[1]Assumptions!$C$19*365*24*[1]Assumptions!$D$26*1000/([1]Assumptions!$C$10*0.001) /10^9</f>
        <v>12.833780869565217</v>
      </c>
      <c r="H20" s="40">
        <f>C20*[1]Assumptions!$C$20*365*24*[1]Assumptions!$D$30*1000/([1]Assumptions!$C$10*0.001) /10^9</f>
        <v>42.110730305066035</v>
      </c>
      <c r="I20" s="40">
        <f>E20*[1]Assumptions!$C$46/([1]Assumptions!$C$10*0.001) /10^9</f>
        <v>4.9329881254535364</v>
      </c>
      <c r="J20" s="40">
        <f>D20*[1]Assumptions!$C$56/([1]Assumptions!$C$10*0.001) /10^9</f>
        <v>4.3948409031064157</v>
      </c>
      <c r="K20" s="40">
        <f>F20*[1]Assumptions!$C$65/([1]Assumptions!$C$10*0.001) /10^9</f>
        <v>4.6589332295950063</v>
      </c>
      <c r="L20" s="50">
        <f>[1]Assumptions!$C$69</f>
        <v>4</v>
      </c>
      <c r="M20" s="51">
        <f t="shared" si="0"/>
        <v>72.931273432786213</v>
      </c>
      <c r="N20" s="29" t="str">
        <f t="shared" si="1"/>
        <v>(240,79,100)</v>
      </c>
      <c r="P20" s="52">
        <f t="shared" si="2"/>
        <v>0.1917800361877024</v>
      </c>
    </row>
    <row r="21" spans="2:16">
      <c r="B21" s="38">
        <v>12</v>
      </c>
      <c r="C21" s="39">
        <v>250</v>
      </c>
      <c r="D21" s="39">
        <v>111</v>
      </c>
      <c r="E21" s="37">
        <v>30</v>
      </c>
      <c r="F21" s="39">
        <v>100</v>
      </c>
      <c r="G21" s="40">
        <f>B21*[1]Assumptions!$C$19*365*24*[1]Assumptions!$D$26*1000/([1]Assumptions!$C$10*0.001) /10^9</f>
        <v>12.833780869565217</v>
      </c>
      <c r="H21" s="40">
        <f>C21*[1]Assumptions!$C$20*365*24*[1]Assumptions!$D$30*1000/([1]Assumptions!$C$10*0.001) /10^9</f>
        <v>43.86534406777713</v>
      </c>
      <c r="I21" s="40">
        <f>E21*[1]Assumptions!$C$46/([1]Assumptions!$C$10*0.001) /10^9</f>
        <v>1.479896437636061</v>
      </c>
      <c r="J21" s="40">
        <f>D21*[1]Assumptions!$C$56/([1]Assumptions!$C$10*0.001) /10^9</f>
        <v>6.1750296233520539</v>
      </c>
      <c r="K21" s="40">
        <f>F21*[1]Assumptions!$C$65/([1]Assumptions!$C$10*0.001) /10^9</f>
        <v>4.6589332295950063</v>
      </c>
      <c r="L21" s="50">
        <f>[1]Assumptions!$C$69</f>
        <v>4</v>
      </c>
      <c r="M21" s="51">
        <f t="shared" si="0"/>
        <v>73.012984227925472</v>
      </c>
      <c r="N21" s="29" t="str">
        <f t="shared" si="1"/>
        <v>(250,111,30)</v>
      </c>
      <c r="P21" s="52">
        <f t="shared" si="2"/>
        <v>0.16865300632203725</v>
      </c>
    </row>
    <row r="22" spans="2:16">
      <c r="B22" s="38">
        <v>12</v>
      </c>
      <c r="C22" s="39">
        <v>250</v>
      </c>
      <c r="D22" s="39">
        <v>84</v>
      </c>
      <c r="E22" s="37">
        <v>40</v>
      </c>
      <c r="F22" s="39">
        <v>100</v>
      </c>
      <c r="G22" s="40">
        <f>B22*[1]Assumptions!$C$19*365*24*[1]Assumptions!$D$26*1000/([1]Assumptions!$C$10*0.001) /10^9</f>
        <v>12.833780869565217</v>
      </c>
      <c r="H22" s="40">
        <f>C22*[1]Assumptions!$C$20*365*24*[1]Assumptions!$D$30*1000/([1]Assumptions!$C$10*0.001) /10^9</f>
        <v>43.86534406777713</v>
      </c>
      <c r="I22" s="40">
        <f>E22*[1]Assumptions!$C$46/([1]Assumptions!$C$10*0.001) /10^9</f>
        <v>1.9731952501814143</v>
      </c>
      <c r="J22" s="40">
        <f>D22*[1]Assumptions!$C$56/([1]Assumptions!$C$10*0.001) /10^9</f>
        <v>4.6729953906447976</v>
      </c>
      <c r="K22" s="40">
        <f>F22*[1]Assumptions!$C$65/([1]Assumptions!$C$10*0.001) /10^9</f>
        <v>4.6589332295950063</v>
      </c>
      <c r="L22" s="50">
        <f>[1]Assumptions!$C$69</f>
        <v>4</v>
      </c>
      <c r="M22" s="51">
        <f t="shared" si="0"/>
        <v>72.00424880776356</v>
      </c>
      <c r="N22" s="29" t="str">
        <f t="shared" si="1"/>
        <v>(250,84,40)</v>
      </c>
      <c r="P22" s="52">
        <f t="shared" si="2"/>
        <v>0.15700634417565498</v>
      </c>
    </row>
    <row r="23" spans="2:16">
      <c r="B23" s="38">
        <v>12</v>
      </c>
      <c r="C23" s="39">
        <v>250</v>
      </c>
      <c r="D23" s="39">
        <v>71</v>
      </c>
      <c r="E23" s="37">
        <v>50</v>
      </c>
      <c r="F23" s="39">
        <v>100</v>
      </c>
      <c r="G23" s="40">
        <f>B23*[1]Assumptions!$C$19*365*24*[1]Assumptions!$D$26*1000/([1]Assumptions!$C$10*0.001) /10^9</f>
        <v>12.833780869565217</v>
      </c>
      <c r="H23" s="40">
        <f>C23*[1]Assumptions!$C$20*365*24*[1]Assumptions!$D$30*1000/([1]Assumptions!$C$10*0.001) /10^9</f>
        <v>43.86534406777713</v>
      </c>
      <c r="I23" s="40">
        <f>E23*[1]Assumptions!$C$46/([1]Assumptions!$C$10*0.001) /10^9</f>
        <v>2.4664940627267682</v>
      </c>
      <c r="J23" s="40">
        <f>D23*[1]Assumptions!$C$56/([1]Assumptions!$C$10*0.001) /10^9</f>
        <v>3.9497937230450071</v>
      </c>
      <c r="K23" s="40">
        <f>F23*[1]Assumptions!$C$65/([1]Assumptions!$C$10*0.001) /10^9</f>
        <v>4.6589332295950063</v>
      </c>
      <c r="L23" s="50">
        <f>[1]Assumptions!$C$69</f>
        <v>4</v>
      </c>
      <c r="M23" s="51">
        <f t="shared" si="0"/>
        <v>71.774345952709126</v>
      </c>
      <c r="N23" s="29" t="str">
        <f t="shared" si="1"/>
        <v>(250,71,50)</v>
      </c>
      <c r="P23" s="52">
        <f t="shared" si="2"/>
        <v>0.15430612245027009</v>
      </c>
    </row>
    <row r="24" spans="2:16">
      <c r="B24" s="38">
        <v>12</v>
      </c>
      <c r="C24" s="39">
        <v>250</v>
      </c>
      <c r="D24" s="39">
        <v>69</v>
      </c>
      <c r="E24" s="37">
        <v>60</v>
      </c>
      <c r="F24" s="39">
        <v>100</v>
      </c>
      <c r="G24" s="40">
        <f>B24*[1]Assumptions!$C$19*365*24*[1]Assumptions!$D$26*1000/([1]Assumptions!$C$10*0.001) /10^9</f>
        <v>12.833780869565217</v>
      </c>
      <c r="H24" s="40">
        <f>C24*[1]Assumptions!$C$20*365*24*[1]Assumptions!$D$30*1000/([1]Assumptions!$C$10*0.001) /10^9</f>
        <v>43.86534406777713</v>
      </c>
      <c r="I24" s="40">
        <f>E24*[1]Assumptions!$C$46/([1]Assumptions!$C$10*0.001) /10^9</f>
        <v>2.9597928752721221</v>
      </c>
      <c r="J24" s="40">
        <f>D24*[1]Assumptions!$C$56/([1]Assumptions!$C$10*0.001) /10^9</f>
        <v>3.8385319280296546</v>
      </c>
      <c r="K24" s="40">
        <f>F24*[1]Assumptions!$C$65/([1]Assumptions!$C$10*0.001) /10^9</f>
        <v>4.6589332295950063</v>
      </c>
      <c r="L24" s="50">
        <f>[1]Assumptions!$C$69</f>
        <v>4</v>
      </c>
      <c r="M24" s="51">
        <f t="shared" si="0"/>
        <v>72.156382970239122</v>
      </c>
      <c r="N24" s="29" t="str">
        <f t="shared" si="1"/>
        <v>(250,69,60)</v>
      </c>
      <c r="P24" s="52">
        <f t="shared" si="2"/>
        <v>0.15878370784774959</v>
      </c>
    </row>
    <row r="25" spans="2:16">
      <c r="B25" s="38">
        <v>12</v>
      </c>
      <c r="C25" s="39">
        <v>250</v>
      </c>
      <c r="D25" s="39">
        <v>68</v>
      </c>
      <c r="E25" s="37">
        <v>70</v>
      </c>
      <c r="F25" s="39">
        <v>100</v>
      </c>
      <c r="G25" s="40">
        <f>B25*[1]Assumptions!$C$19*365*24*[1]Assumptions!$D$26*1000/([1]Assumptions!$C$10*0.001) /10^9</f>
        <v>12.833780869565217</v>
      </c>
      <c r="H25" s="40">
        <f>C25*[1]Assumptions!$C$20*365*24*[1]Assumptions!$D$30*1000/([1]Assumptions!$C$10*0.001) /10^9</f>
        <v>43.86534406777713</v>
      </c>
      <c r="I25" s="40">
        <f>E25*[1]Assumptions!$C$46/([1]Assumptions!$C$10*0.001) /10^9</f>
        <v>3.4530916878174751</v>
      </c>
      <c r="J25" s="40">
        <f>D25*[1]Assumptions!$C$56/([1]Assumptions!$C$10*0.001) /10^9</f>
        <v>3.782901030521979</v>
      </c>
      <c r="K25" s="40">
        <f>F25*[1]Assumptions!$C$65/([1]Assumptions!$C$10*0.001) /10^9</f>
        <v>4.6589332295950063</v>
      </c>
      <c r="L25" s="50">
        <f>[1]Assumptions!$C$69</f>
        <v>4</v>
      </c>
      <c r="M25" s="51">
        <f t="shared" si="0"/>
        <v>72.5940508852768</v>
      </c>
      <c r="N25" s="29" t="str">
        <f t="shared" si="1"/>
        <v>(250,68,70)</v>
      </c>
      <c r="P25" s="52">
        <f t="shared" si="2"/>
        <v>0.16385538212673204</v>
      </c>
    </row>
    <row r="26" spans="2:16">
      <c r="B26" s="38">
        <v>12</v>
      </c>
      <c r="C26" s="39">
        <v>250</v>
      </c>
      <c r="D26" s="39">
        <v>67</v>
      </c>
      <c r="E26" s="37">
        <v>80</v>
      </c>
      <c r="F26" s="39">
        <v>100</v>
      </c>
      <c r="G26" s="40">
        <f>B26*[1]Assumptions!$C$19*365*24*[1]Assumptions!$D$26*1000/([1]Assumptions!$C$10*0.001) /10^9</f>
        <v>12.833780869565217</v>
      </c>
      <c r="H26" s="40">
        <f>C26*[1]Assumptions!$C$20*365*24*[1]Assumptions!$D$30*1000/([1]Assumptions!$C$10*0.001) /10^9</f>
        <v>43.86534406777713</v>
      </c>
      <c r="I26" s="40">
        <f>E26*[1]Assumptions!$C$46/([1]Assumptions!$C$10*0.001) /10^9</f>
        <v>3.9463905003628286</v>
      </c>
      <c r="J26" s="40">
        <f>D26*[1]Assumptions!$C$56/([1]Assumptions!$C$10*0.001) /10^9</f>
        <v>3.7272701330143021</v>
      </c>
      <c r="K26" s="40">
        <f>F26*[1]Assumptions!$C$65/([1]Assumptions!$C$10*0.001) /10^9</f>
        <v>4.6589332295950063</v>
      </c>
      <c r="L26" s="50">
        <f>[1]Assumptions!$C$69</f>
        <v>4</v>
      </c>
      <c r="M26" s="51">
        <f t="shared" si="0"/>
        <v>73.031718800314493</v>
      </c>
      <c r="N26" s="29" t="str">
        <f t="shared" si="1"/>
        <v>(250,67,80)</v>
      </c>
      <c r="P26" s="52">
        <f t="shared" si="2"/>
        <v>0.16886626886999992</v>
      </c>
    </row>
    <row r="27" spans="2:16">
      <c r="B27" s="38">
        <v>12</v>
      </c>
      <c r="C27" s="39">
        <v>250</v>
      </c>
      <c r="D27" s="39">
        <v>67</v>
      </c>
      <c r="E27" s="37">
        <v>90</v>
      </c>
      <c r="F27" s="39">
        <v>100</v>
      </c>
      <c r="G27" s="40">
        <f>B27*[1]Assumptions!$C$19*365*24*[1]Assumptions!$D$26*1000/([1]Assumptions!$C$10*0.001) /10^9</f>
        <v>12.833780869565217</v>
      </c>
      <c r="H27" s="40">
        <f>C27*[1]Assumptions!$C$20*365*24*[1]Assumptions!$D$30*1000/([1]Assumptions!$C$10*0.001) /10^9</f>
        <v>43.86534406777713</v>
      </c>
      <c r="I27" s="40">
        <f>E27*[1]Assumptions!$C$46/([1]Assumptions!$C$10*0.001) /10^9</f>
        <v>4.4396893129081834</v>
      </c>
      <c r="J27" s="40">
        <f>D27*[1]Assumptions!$C$56/([1]Assumptions!$C$10*0.001) /10^9</f>
        <v>3.7272701330143021</v>
      </c>
      <c r="K27" s="40">
        <f>F27*[1]Assumptions!$C$65/([1]Assumptions!$C$10*0.001) /10^9</f>
        <v>4.6589332295950063</v>
      </c>
      <c r="L27" s="50">
        <f>[1]Assumptions!$C$69</f>
        <v>4</v>
      </c>
      <c r="M27" s="51">
        <f t="shared" si="0"/>
        <v>73.525017612859841</v>
      </c>
      <c r="N27" s="29" t="str">
        <f t="shared" si="1"/>
        <v>(250,67,90)</v>
      </c>
      <c r="P27" s="52">
        <f t="shared" si="2"/>
        <v>0.1744425651558659</v>
      </c>
    </row>
    <row r="28" spans="2:16">
      <c r="B28" s="38">
        <v>12</v>
      </c>
      <c r="C28" s="39">
        <v>250</v>
      </c>
      <c r="D28" s="39">
        <v>67</v>
      </c>
      <c r="E28" s="37">
        <v>100</v>
      </c>
      <c r="F28" s="39">
        <v>100</v>
      </c>
      <c r="G28" s="40">
        <f>B28*[1]Assumptions!$C$19*365*24*[1]Assumptions!$D$26*1000/([1]Assumptions!$C$10*0.001) /10^9</f>
        <v>12.833780869565217</v>
      </c>
      <c r="H28" s="40">
        <f>C28*[1]Assumptions!$C$20*365*24*[1]Assumptions!$D$30*1000/([1]Assumptions!$C$10*0.001) /10^9</f>
        <v>43.86534406777713</v>
      </c>
      <c r="I28" s="40">
        <f>E28*[1]Assumptions!$C$46/([1]Assumptions!$C$10*0.001) /10^9</f>
        <v>4.9329881254535364</v>
      </c>
      <c r="J28" s="40">
        <f>D28*[1]Assumptions!$C$56/([1]Assumptions!$C$10*0.001) /10^9</f>
        <v>3.7272701330143021</v>
      </c>
      <c r="K28" s="40">
        <f>F28*[1]Assumptions!$C$65/([1]Assumptions!$C$10*0.001) /10^9</f>
        <v>4.6589332295950063</v>
      </c>
      <c r="L28" s="50">
        <f>[1]Assumptions!$C$69</f>
        <v>4</v>
      </c>
      <c r="M28" s="51">
        <f t="shared" si="0"/>
        <v>74.018316425405189</v>
      </c>
      <c r="N28" s="29" t="str">
        <f t="shared" si="1"/>
        <v>(250,67,100)</v>
      </c>
      <c r="P28" s="52">
        <f t="shared" si="2"/>
        <v>0.17994453442460792</v>
      </c>
    </row>
    <row r="29" spans="2:16">
      <c r="B29" s="38">
        <v>12</v>
      </c>
      <c r="C29" s="39">
        <v>260</v>
      </c>
      <c r="D29" s="39">
        <v>81</v>
      </c>
      <c r="E29" s="37">
        <v>30</v>
      </c>
      <c r="F29" s="39">
        <v>100</v>
      </c>
      <c r="G29" s="40">
        <f>B29*[1]Assumptions!$C$19*365*24*[1]Assumptions!$D$26*1000/([1]Assumptions!$C$10*0.001) /10^9</f>
        <v>12.833780869565217</v>
      </c>
      <c r="H29" s="40">
        <f>C29*[1]Assumptions!$C$20*365*24*[1]Assumptions!$D$30*1000/([1]Assumptions!$C$10*0.001) /10^9</f>
        <v>45.619957830488204</v>
      </c>
      <c r="I29" s="40">
        <f>E29*[1]Assumptions!$C$46/([1]Assumptions!$C$10*0.001) /10^9</f>
        <v>1.479896437636061</v>
      </c>
      <c r="J29" s="40">
        <f>D29*[1]Assumptions!$C$56/([1]Assumptions!$C$10*0.001) /10^9</f>
        <v>4.5061026981217687</v>
      </c>
      <c r="K29" s="40">
        <f>F29*[1]Assumptions!$C$65/([1]Assumptions!$C$10*0.001) /10^9</f>
        <v>4.6589332295950063</v>
      </c>
      <c r="L29" s="50">
        <f>[1]Assumptions!$C$69</f>
        <v>4</v>
      </c>
      <c r="M29" s="51">
        <f t="shared" si="0"/>
        <v>73.098671065406265</v>
      </c>
      <c r="N29" s="29" t="str">
        <f t="shared" si="1"/>
        <v>(260,81,30)</v>
      </c>
      <c r="P29" s="52">
        <f t="shared" si="2"/>
        <v>0.14562415718649802</v>
      </c>
    </row>
    <row r="30" spans="2:16">
      <c r="B30" s="38">
        <v>12</v>
      </c>
      <c r="C30" s="39">
        <v>260</v>
      </c>
      <c r="D30" s="39">
        <v>63</v>
      </c>
      <c r="E30" s="37">
        <v>40</v>
      </c>
      <c r="F30" s="39">
        <v>100</v>
      </c>
      <c r="G30" s="40">
        <f>B30*[1]Assumptions!$C$19*365*24*[1]Assumptions!$D$26*1000/([1]Assumptions!$C$10*0.001) /10^9</f>
        <v>12.833780869565217</v>
      </c>
      <c r="H30" s="40">
        <f>C30*[1]Assumptions!$C$20*365*24*[1]Assumptions!$D$30*1000/([1]Assumptions!$C$10*0.001) /10^9</f>
        <v>45.619957830488204</v>
      </c>
      <c r="I30" s="40">
        <f>E30*[1]Assumptions!$C$46/([1]Assumptions!$C$10*0.001) /10^9</f>
        <v>1.9731952501814143</v>
      </c>
      <c r="J30" s="40">
        <f>D30*[1]Assumptions!$C$56/([1]Assumptions!$C$10*0.001) /10^9</f>
        <v>3.5047465429835976</v>
      </c>
      <c r="K30" s="40">
        <f>F30*[1]Assumptions!$C$65/([1]Assumptions!$C$10*0.001) /10^9</f>
        <v>4.6589332295950063</v>
      </c>
      <c r="L30" s="50">
        <f>[1]Assumptions!$C$69</f>
        <v>4</v>
      </c>
      <c r="M30" s="51">
        <f t="shared" si="0"/>
        <v>72.59061372281343</v>
      </c>
      <c r="N30" s="29" t="str">
        <f t="shared" si="1"/>
        <v>(260,63,40)</v>
      </c>
      <c r="P30" s="52">
        <f t="shared" si="2"/>
        <v>0.13964443201248553</v>
      </c>
    </row>
    <row r="31" spans="2:16">
      <c r="B31" s="38">
        <v>12</v>
      </c>
      <c r="C31" s="39">
        <v>260</v>
      </c>
      <c r="D31" s="39">
        <v>60</v>
      </c>
      <c r="E31" s="37">
        <v>50</v>
      </c>
      <c r="F31" s="39">
        <v>100</v>
      </c>
      <c r="G31" s="40">
        <f>B31*[1]Assumptions!$C$19*365*24*[1]Assumptions!$D$26*1000/([1]Assumptions!$C$10*0.001) /10^9</f>
        <v>12.833780869565217</v>
      </c>
      <c r="H31" s="40">
        <f>C31*[1]Assumptions!$C$20*365*24*[1]Assumptions!$D$30*1000/([1]Assumptions!$C$10*0.001) /10^9</f>
        <v>45.619957830488204</v>
      </c>
      <c r="I31" s="40">
        <f>E31*[1]Assumptions!$C$46/([1]Assumptions!$C$10*0.001) /10^9</f>
        <v>2.4664940627267682</v>
      </c>
      <c r="J31" s="40">
        <f>D31*[1]Assumptions!$C$56/([1]Assumptions!$C$10*0.001) /10^9</f>
        <v>3.3378538504605695</v>
      </c>
      <c r="K31" s="40">
        <f>F31*[1]Assumptions!$C$65/([1]Assumptions!$C$10*0.001) /10^9</f>
        <v>4.6589332295950063</v>
      </c>
      <c r="L31" s="50">
        <f>[1]Assumptions!$C$69</f>
        <v>4</v>
      </c>
      <c r="M31" s="51">
        <f t="shared" si="0"/>
        <v>72.917019842835771</v>
      </c>
      <c r="N31" s="29" t="str">
        <f t="shared" si="1"/>
        <v>(260,60,50)</v>
      </c>
      <c r="P31" s="52">
        <f t="shared" si="2"/>
        <v>0.14349573207098615</v>
      </c>
    </row>
    <row r="32" spans="2:16">
      <c r="B32" s="38">
        <v>12</v>
      </c>
      <c r="C32" s="39">
        <v>260</v>
      </c>
      <c r="D32" s="39">
        <v>58</v>
      </c>
      <c r="E32" s="37">
        <v>60</v>
      </c>
      <c r="F32" s="39">
        <v>100</v>
      </c>
      <c r="G32" s="40">
        <f>B32*[1]Assumptions!$C$19*365*24*[1]Assumptions!$D$26*1000/([1]Assumptions!$C$10*0.001) /10^9</f>
        <v>12.833780869565217</v>
      </c>
      <c r="H32" s="40">
        <f>C32*[1]Assumptions!$C$20*365*24*[1]Assumptions!$D$30*1000/([1]Assumptions!$C$10*0.001) /10^9</f>
        <v>45.619957830488204</v>
      </c>
      <c r="I32" s="40">
        <f>E32*[1]Assumptions!$C$46/([1]Assumptions!$C$10*0.001) /10^9</f>
        <v>2.9597928752721221</v>
      </c>
      <c r="J32" s="40">
        <f>D32*[1]Assumptions!$C$56/([1]Assumptions!$C$10*0.001) /10^9</f>
        <v>3.226592055445217</v>
      </c>
      <c r="K32" s="40">
        <f>F32*[1]Assumptions!$C$65/([1]Assumptions!$C$10*0.001) /10^9</f>
        <v>4.6589332295950063</v>
      </c>
      <c r="L32" s="50">
        <f>[1]Assumptions!$C$69</f>
        <v>4</v>
      </c>
      <c r="M32" s="51">
        <f t="shared" si="0"/>
        <v>73.299056860365766</v>
      </c>
      <c r="N32" s="29" t="str">
        <f t="shared" si="1"/>
        <v>(260,58,60)</v>
      </c>
      <c r="P32" s="52">
        <f t="shared" si="2"/>
        <v>0.14795985957872018</v>
      </c>
    </row>
    <row r="33" spans="2:16">
      <c r="B33" s="38">
        <v>12</v>
      </c>
      <c r="C33" s="39">
        <v>260</v>
      </c>
      <c r="D33" s="39">
        <v>57</v>
      </c>
      <c r="E33" s="37">
        <v>70</v>
      </c>
      <c r="F33" s="39">
        <v>100</v>
      </c>
      <c r="G33" s="40">
        <f>B33*[1]Assumptions!$C$19*365*24*[1]Assumptions!$D$26*1000/([1]Assumptions!$C$10*0.001) /10^9</f>
        <v>12.833780869565217</v>
      </c>
      <c r="H33" s="40">
        <f>C33*[1]Assumptions!$C$20*365*24*[1]Assumptions!$D$30*1000/([1]Assumptions!$C$10*0.001) /10^9</f>
        <v>45.619957830488204</v>
      </c>
      <c r="I33" s="40">
        <f>E33*[1]Assumptions!$C$46/([1]Assumptions!$C$10*0.001) /10^9</f>
        <v>3.4530916878174751</v>
      </c>
      <c r="J33" s="40">
        <f>D33*[1]Assumptions!$C$56/([1]Assumptions!$C$10*0.001) /10^9</f>
        <v>3.170961157937541</v>
      </c>
      <c r="K33" s="40">
        <f>F33*[1]Assumptions!$C$65/([1]Assumptions!$C$10*0.001) /10^9</f>
        <v>4.6589332295950063</v>
      </c>
      <c r="L33" s="50">
        <f>[1]Assumptions!$C$69</f>
        <v>4</v>
      </c>
      <c r="M33" s="51">
        <f t="shared" si="0"/>
        <v>73.736724775403445</v>
      </c>
      <c r="N33" s="29" t="str">
        <f t="shared" si="1"/>
        <v>(260,57,70)</v>
      </c>
      <c r="P33" s="52">
        <f t="shared" si="2"/>
        <v>0.15301718525900296</v>
      </c>
    </row>
    <row r="34" spans="2:16">
      <c r="B34" s="38">
        <v>12</v>
      </c>
      <c r="C34" s="39">
        <v>260</v>
      </c>
      <c r="D34" s="39">
        <v>56</v>
      </c>
      <c r="E34" s="37">
        <v>80</v>
      </c>
      <c r="F34" s="39">
        <v>100</v>
      </c>
      <c r="G34" s="40">
        <f>B34*[1]Assumptions!$C$19*365*24*[1]Assumptions!$D$26*1000/([1]Assumptions!$C$10*0.001) /10^9</f>
        <v>12.833780869565217</v>
      </c>
      <c r="H34" s="40">
        <f>C34*[1]Assumptions!$C$20*365*24*[1]Assumptions!$D$30*1000/([1]Assumptions!$C$10*0.001) /10^9</f>
        <v>45.619957830488204</v>
      </c>
      <c r="I34" s="40">
        <f>E34*[1]Assumptions!$C$46/([1]Assumptions!$C$10*0.001) /10^9</f>
        <v>3.9463905003628286</v>
      </c>
      <c r="J34" s="40">
        <f>D34*[1]Assumptions!$C$56/([1]Assumptions!$C$10*0.001) /10^9</f>
        <v>3.1153302604298649</v>
      </c>
      <c r="K34" s="40">
        <f>F34*[1]Assumptions!$C$65/([1]Assumptions!$C$10*0.001) /10^9</f>
        <v>4.6589332295950063</v>
      </c>
      <c r="L34" s="50">
        <f>[1]Assumptions!$C$69</f>
        <v>4</v>
      </c>
      <c r="M34" s="51">
        <f t="shared" si="0"/>
        <v>74.174392690441124</v>
      </c>
      <c r="N34" s="29" t="str">
        <f t="shared" si="1"/>
        <v>(260,56,80)</v>
      </c>
      <c r="P34" s="52">
        <f t="shared" si="2"/>
        <v>0.15801482917834719</v>
      </c>
    </row>
    <row r="35" spans="2:16">
      <c r="B35" s="38">
        <v>12</v>
      </c>
      <c r="C35" s="39">
        <v>260</v>
      </c>
      <c r="D35" s="39">
        <v>55</v>
      </c>
      <c r="E35" s="37">
        <v>90</v>
      </c>
      <c r="F35" s="39">
        <v>100</v>
      </c>
      <c r="G35" s="40">
        <f>B35*[1]Assumptions!$C$19*365*24*[1]Assumptions!$D$26*1000/([1]Assumptions!$C$10*0.001) /10^9</f>
        <v>12.833780869565217</v>
      </c>
      <c r="H35" s="40">
        <f>C35*[1]Assumptions!$C$20*365*24*[1]Assumptions!$D$30*1000/([1]Assumptions!$C$10*0.001) /10^9</f>
        <v>45.619957830488204</v>
      </c>
      <c r="I35" s="40">
        <f>E35*[1]Assumptions!$C$46/([1]Assumptions!$C$10*0.001) /10^9</f>
        <v>4.4396893129081834</v>
      </c>
      <c r="J35" s="40">
        <f>D35*[1]Assumptions!$C$56/([1]Assumptions!$C$10*0.001) /10^9</f>
        <v>3.0596993629221889</v>
      </c>
      <c r="K35" s="40">
        <f>F35*[1]Assumptions!$C$65/([1]Assumptions!$C$10*0.001) /10^9</f>
        <v>4.6589332295950063</v>
      </c>
      <c r="L35" s="50">
        <f>[1]Assumptions!$C$69</f>
        <v>4</v>
      </c>
      <c r="M35" s="51">
        <f t="shared" si="0"/>
        <v>74.612060605478803</v>
      </c>
      <c r="N35" s="29" t="str">
        <f t="shared" si="1"/>
        <v>(260,55,90)</v>
      </c>
      <c r="P35" s="52">
        <f t="shared" si="2"/>
        <v>0.16295384160094603</v>
      </c>
    </row>
    <row r="36" spans="2:16">
      <c r="B36" s="38">
        <v>12</v>
      </c>
      <c r="C36" s="39">
        <v>260</v>
      </c>
      <c r="D36" s="39">
        <v>55</v>
      </c>
      <c r="E36" s="37">
        <v>100</v>
      </c>
      <c r="F36" s="39">
        <v>100</v>
      </c>
      <c r="G36" s="40">
        <f>B36*[1]Assumptions!$C$19*365*24*[1]Assumptions!$D$26*1000/([1]Assumptions!$C$10*0.001) /10^9</f>
        <v>12.833780869565217</v>
      </c>
      <c r="H36" s="40">
        <f>C36*[1]Assumptions!$C$20*365*24*[1]Assumptions!$D$30*1000/([1]Assumptions!$C$10*0.001) /10^9</f>
        <v>45.619957830488204</v>
      </c>
      <c r="I36" s="40">
        <f>E36*[1]Assumptions!$C$46/([1]Assumptions!$C$10*0.001) /10^9</f>
        <v>4.9329881254535364</v>
      </c>
      <c r="J36" s="40">
        <f>D36*[1]Assumptions!$C$56/([1]Assumptions!$C$10*0.001) /10^9</f>
        <v>3.0596993629221889</v>
      </c>
      <c r="K36" s="40">
        <f>F36*[1]Assumptions!$C$65/([1]Assumptions!$C$10*0.001) /10^9</f>
        <v>4.6589332295950063</v>
      </c>
      <c r="L36" s="50">
        <f>[1]Assumptions!$C$69</f>
        <v>4</v>
      </c>
      <c r="M36" s="51">
        <f t="shared" si="0"/>
        <v>75.10535941802415</v>
      </c>
      <c r="N36" s="29" t="str">
        <f t="shared" si="1"/>
        <v>(260,55,100)</v>
      </c>
      <c r="P36" s="52">
        <f t="shared" si="2"/>
        <v>0.16845163668752161</v>
      </c>
    </row>
    <row r="37" spans="2:16">
      <c r="B37" s="38">
        <v>12</v>
      </c>
      <c r="C37" s="39">
        <v>270</v>
      </c>
      <c r="D37" s="39">
        <v>61</v>
      </c>
      <c r="E37" s="37">
        <v>30</v>
      </c>
      <c r="F37" s="39">
        <v>100</v>
      </c>
      <c r="G37" s="40">
        <f>B37*[1]Assumptions!$C$19*365*24*[1]Assumptions!$D$26*1000/([1]Assumptions!$C$10*0.001) /10^9</f>
        <v>12.833780869565217</v>
      </c>
      <c r="H37" s="40">
        <f>C37*[1]Assumptions!$C$20*365*24*[1]Assumptions!$D$30*1000/([1]Assumptions!$C$10*0.001) /10^9</f>
        <v>47.374571593199285</v>
      </c>
      <c r="I37" s="40">
        <f>E37*[1]Assumptions!$C$46/([1]Assumptions!$C$10*0.001) /10^9</f>
        <v>1.479896437636061</v>
      </c>
      <c r="J37" s="40">
        <f>D37*[1]Assumptions!$C$56/([1]Assumptions!$C$10*0.001) /10^9</f>
        <v>3.393484747968246</v>
      </c>
      <c r="K37" s="40">
        <f>F37*[1]Assumptions!$C$65/([1]Assumptions!$C$10*0.001) /10^9</f>
        <v>4.6589332295950063</v>
      </c>
      <c r="L37" s="50">
        <f>[1]Assumptions!$C$69</f>
        <v>4</v>
      </c>
      <c r="M37" s="51">
        <f t="shared" si="0"/>
        <v>73.740666877963818</v>
      </c>
      <c r="N37" s="29" t="str">
        <f t="shared" si="1"/>
        <v>(270,61,30)</v>
      </c>
      <c r="P37" s="52">
        <f t="shared" si="2"/>
        <v>0.12926807986391953</v>
      </c>
    </row>
    <row r="38" spans="2:16">
      <c r="B38" s="38">
        <v>12</v>
      </c>
      <c r="C38" s="39">
        <v>270</v>
      </c>
      <c r="D38" s="39">
        <v>53</v>
      </c>
      <c r="E38" s="37">
        <v>40</v>
      </c>
      <c r="F38" s="39">
        <v>100</v>
      </c>
      <c r="G38" s="40">
        <f>B38*[1]Assumptions!$C$19*365*24*[1]Assumptions!$D$26*1000/([1]Assumptions!$C$10*0.001) /10^9</f>
        <v>12.833780869565217</v>
      </c>
      <c r="H38" s="40">
        <f>C38*[1]Assumptions!$C$20*365*24*[1]Assumptions!$D$30*1000/([1]Assumptions!$C$10*0.001) /10^9</f>
        <v>47.374571593199285</v>
      </c>
      <c r="I38" s="40">
        <f>E38*[1]Assumptions!$C$46/([1]Assumptions!$C$10*0.001) /10^9</f>
        <v>1.9731952501814143</v>
      </c>
      <c r="J38" s="40">
        <f>D38*[1]Assumptions!$C$56/([1]Assumptions!$C$10*0.001) /10^9</f>
        <v>2.9484375679068364</v>
      </c>
      <c r="K38" s="40">
        <f>F38*[1]Assumptions!$C$65/([1]Assumptions!$C$10*0.001) /10^9</f>
        <v>4.6589332295950063</v>
      </c>
      <c r="L38" s="50">
        <f>[1]Assumptions!$C$69</f>
        <v>4</v>
      </c>
      <c r="M38" s="51">
        <f t="shared" si="0"/>
        <v>73.788918510447758</v>
      </c>
      <c r="N38" s="29" t="str">
        <f t="shared" si="1"/>
        <v>(270,53,40)</v>
      </c>
      <c r="P38" s="52">
        <f t="shared" si="2"/>
        <v>0.12983746395912749</v>
      </c>
    </row>
    <row r="39" spans="2:16">
      <c r="B39" s="38">
        <v>12</v>
      </c>
      <c r="C39" s="39">
        <v>270</v>
      </c>
      <c r="D39" s="39">
        <v>50</v>
      </c>
      <c r="E39" s="37">
        <v>50</v>
      </c>
      <c r="F39" s="39">
        <v>100</v>
      </c>
      <c r="G39" s="40">
        <f>B39*[1]Assumptions!$C$19*365*24*[1]Assumptions!$D$26*1000/([1]Assumptions!$C$10*0.001) /10^9</f>
        <v>12.833780869565217</v>
      </c>
      <c r="H39" s="40">
        <f>C39*[1]Assumptions!$C$20*365*24*[1]Assumptions!$D$30*1000/([1]Assumptions!$C$10*0.001) /10^9</f>
        <v>47.374571593199285</v>
      </c>
      <c r="I39" s="40">
        <f>E39*[1]Assumptions!$C$46/([1]Assumptions!$C$10*0.001) /10^9</f>
        <v>2.4664940627267682</v>
      </c>
      <c r="J39" s="40">
        <f>D39*[1]Assumptions!$C$56/([1]Assumptions!$C$10*0.001) /10^9</f>
        <v>2.7815448753838083</v>
      </c>
      <c r="K39" s="40">
        <f>F39*[1]Assumptions!$C$65/([1]Assumptions!$C$10*0.001) /10^9</f>
        <v>4.6589332295950063</v>
      </c>
      <c r="L39" s="50">
        <f>[1]Assumptions!$C$69</f>
        <v>4</v>
      </c>
      <c r="M39" s="51">
        <f t="shared" si="0"/>
        <v>74.115324630470084</v>
      </c>
      <c r="N39" s="29" t="str">
        <f t="shared" si="1"/>
        <v>(270,50,50)</v>
      </c>
      <c r="P39" s="52">
        <f t="shared" si="2"/>
        <v>0.13366968595362066</v>
      </c>
    </row>
    <row r="40" spans="2:16">
      <c r="B40" s="38">
        <v>12</v>
      </c>
      <c r="C40" s="39">
        <v>270</v>
      </c>
      <c r="D40" s="39">
        <v>47</v>
      </c>
      <c r="E40" s="37">
        <v>60</v>
      </c>
      <c r="F40" s="39">
        <v>100</v>
      </c>
      <c r="G40" s="40">
        <f>B40*[1]Assumptions!$C$19*365*24*[1]Assumptions!$D$26*1000/([1]Assumptions!$C$10*0.001) /10^9</f>
        <v>12.833780869565217</v>
      </c>
      <c r="H40" s="40">
        <f>C40*[1]Assumptions!$C$20*365*24*[1]Assumptions!$D$30*1000/([1]Assumptions!$C$10*0.001) /10^9</f>
        <v>47.374571593199285</v>
      </c>
      <c r="I40" s="40">
        <f>E40*[1]Assumptions!$C$46/([1]Assumptions!$C$10*0.001) /10^9</f>
        <v>2.9597928752721221</v>
      </c>
      <c r="J40" s="40">
        <f>D40*[1]Assumptions!$C$56/([1]Assumptions!$C$10*0.001) /10^9</f>
        <v>2.6146521828607794</v>
      </c>
      <c r="K40" s="40">
        <f>F40*[1]Assumptions!$C$65/([1]Assumptions!$C$10*0.001) /10^9</f>
        <v>4.6589332295950063</v>
      </c>
      <c r="L40" s="50">
        <f>[1]Assumptions!$C$69</f>
        <v>4</v>
      </c>
      <c r="M40" s="51">
        <f t="shared" si="0"/>
        <v>74.441730750492411</v>
      </c>
      <c r="N40" s="29" t="str">
        <f t="shared" si="1"/>
        <v>(270,47,60)</v>
      </c>
      <c r="P40" s="52">
        <f t="shared" si="2"/>
        <v>0.13746830150990569</v>
      </c>
    </row>
    <row r="41" spans="2:16">
      <c r="B41" s="38">
        <v>12</v>
      </c>
      <c r="C41" s="39">
        <v>270</v>
      </c>
      <c r="D41" s="39">
        <v>46</v>
      </c>
      <c r="E41" s="37">
        <v>70</v>
      </c>
      <c r="F41" s="39">
        <v>100</v>
      </c>
      <c r="G41" s="40">
        <f>B41*[1]Assumptions!$C$19*365*24*[1]Assumptions!$D$26*1000/([1]Assumptions!$C$10*0.001) /10^9</f>
        <v>12.833780869565217</v>
      </c>
      <c r="H41" s="40">
        <f>C41*[1]Assumptions!$C$20*365*24*[1]Assumptions!$D$30*1000/([1]Assumptions!$C$10*0.001) /10^9</f>
        <v>47.374571593199285</v>
      </c>
      <c r="I41" s="40">
        <f>E41*[1]Assumptions!$C$46/([1]Assumptions!$C$10*0.001) /10^9</f>
        <v>3.4530916878174751</v>
      </c>
      <c r="J41" s="40">
        <f>D41*[1]Assumptions!$C$56/([1]Assumptions!$C$10*0.001) /10^9</f>
        <v>2.5590212853531038</v>
      </c>
      <c r="K41" s="40">
        <f>F41*[1]Assumptions!$C$65/([1]Assumptions!$C$10*0.001) /10^9</f>
        <v>4.6589332295950063</v>
      </c>
      <c r="L41" s="50">
        <f>[1]Assumptions!$C$69</f>
        <v>4</v>
      </c>
      <c r="M41" s="51">
        <f t="shared" si="0"/>
        <v>74.87939866553009</v>
      </c>
      <c r="N41" s="29" t="str">
        <f t="shared" si="1"/>
        <v>(270,46,70)</v>
      </c>
      <c r="P41" s="52">
        <f t="shared" si="2"/>
        <v>0.14250977428959888</v>
      </c>
    </row>
    <row r="42" spans="2:16">
      <c r="B42" s="38">
        <v>12</v>
      </c>
      <c r="C42" s="39">
        <v>270</v>
      </c>
      <c r="D42" s="39">
        <v>45</v>
      </c>
      <c r="E42" s="37">
        <v>80</v>
      </c>
      <c r="F42" s="39">
        <v>100</v>
      </c>
      <c r="G42" s="40">
        <f>B42*[1]Assumptions!$C$19*365*24*[1]Assumptions!$D$26*1000/([1]Assumptions!$C$10*0.001) /10^9</f>
        <v>12.833780869565217</v>
      </c>
      <c r="H42" s="40">
        <f>C42*[1]Assumptions!$C$20*365*24*[1]Assumptions!$D$30*1000/([1]Assumptions!$C$10*0.001) /10^9</f>
        <v>47.374571593199285</v>
      </c>
      <c r="I42" s="40">
        <f>E42*[1]Assumptions!$C$46/([1]Assumptions!$C$10*0.001) /10^9</f>
        <v>3.9463905003628286</v>
      </c>
      <c r="J42" s="40">
        <f>D42*[1]Assumptions!$C$56/([1]Assumptions!$C$10*0.001) /10^9</f>
        <v>2.5033903878454269</v>
      </c>
      <c r="K42" s="40">
        <f>F42*[1]Assumptions!$C$65/([1]Assumptions!$C$10*0.001) /10^9</f>
        <v>4.6589332295950063</v>
      </c>
      <c r="L42" s="50">
        <f>[1]Assumptions!$C$69</f>
        <v>4</v>
      </c>
      <c r="M42" s="51">
        <f t="shared" si="0"/>
        <v>75.317066580567769</v>
      </c>
      <c r="N42" s="29" t="str">
        <f t="shared" si="1"/>
        <v>(270,45,80)</v>
      </c>
      <c r="P42" s="52">
        <f t="shared" si="2"/>
        <v>0.14749265501358991</v>
      </c>
    </row>
    <row r="43" spans="2:16">
      <c r="B43" s="38">
        <v>12</v>
      </c>
      <c r="C43" s="39">
        <v>270</v>
      </c>
      <c r="D43" s="39">
        <v>44</v>
      </c>
      <c r="E43" s="37">
        <v>90</v>
      </c>
      <c r="F43" s="39">
        <v>100</v>
      </c>
      <c r="G43" s="40">
        <f>B43*[1]Assumptions!$C$19*365*24*[1]Assumptions!$D$26*1000/([1]Assumptions!$C$10*0.001) /10^9</f>
        <v>12.833780869565217</v>
      </c>
      <c r="H43" s="40">
        <f>C43*[1]Assumptions!$C$20*365*24*[1]Assumptions!$D$30*1000/([1]Assumptions!$C$10*0.001) /10^9</f>
        <v>47.374571593199285</v>
      </c>
      <c r="I43" s="40">
        <f>E43*[1]Assumptions!$C$46/([1]Assumptions!$C$10*0.001) /10^9</f>
        <v>4.4396893129081834</v>
      </c>
      <c r="J43" s="40">
        <f>D43*[1]Assumptions!$C$56/([1]Assumptions!$C$10*0.001) /10^9</f>
        <v>2.4477594903377509</v>
      </c>
      <c r="K43" s="40">
        <f>F43*[1]Assumptions!$C$65/([1]Assumptions!$C$10*0.001) /10^9</f>
        <v>4.6589332295950063</v>
      </c>
      <c r="L43" s="50">
        <f>[1]Assumptions!$C$69</f>
        <v>4</v>
      </c>
      <c r="M43" s="51">
        <f t="shared" si="0"/>
        <v>75.754734495605433</v>
      </c>
      <c r="N43" s="29" t="str">
        <f t="shared" si="1"/>
        <v>(270,44,90)</v>
      </c>
      <c r="P43" s="52">
        <f t="shared" si="2"/>
        <v>0.15241795921693518</v>
      </c>
    </row>
    <row r="44" spans="2:16">
      <c r="B44" s="38">
        <v>12</v>
      </c>
      <c r="C44" s="39">
        <v>270</v>
      </c>
      <c r="D44" s="39">
        <v>44</v>
      </c>
      <c r="E44" s="37">
        <v>100</v>
      </c>
      <c r="F44" s="39">
        <v>100</v>
      </c>
      <c r="G44" s="40">
        <f>B44*[1]Assumptions!$C$19*365*24*[1]Assumptions!$D$26*1000/([1]Assumptions!$C$10*0.001) /10^9</f>
        <v>12.833780869565217</v>
      </c>
      <c r="H44" s="40">
        <f>C44*[1]Assumptions!$C$20*365*24*[1]Assumptions!$D$30*1000/([1]Assumptions!$C$10*0.001) /10^9</f>
        <v>47.374571593199285</v>
      </c>
      <c r="I44" s="40">
        <f>E44*[1]Assumptions!$C$46/([1]Assumptions!$C$10*0.001) /10^9</f>
        <v>4.9329881254535364</v>
      </c>
      <c r="J44" s="40">
        <f>D44*[1]Assumptions!$C$56/([1]Assumptions!$C$10*0.001) /10^9</f>
        <v>2.4477594903377509</v>
      </c>
      <c r="K44" s="40">
        <f>F44*[1]Assumptions!$C$65/([1]Assumptions!$C$10*0.001) /10^9</f>
        <v>4.6589332295950063</v>
      </c>
      <c r="L44" s="50">
        <f>[1]Assumptions!$C$69</f>
        <v>4</v>
      </c>
      <c r="M44" s="51">
        <f t="shared" si="0"/>
        <v>76.248033308150795</v>
      </c>
      <c r="N44" s="29" t="str">
        <f t="shared" si="1"/>
        <v>(270,44,100)</v>
      </c>
      <c r="P44" s="52">
        <f t="shared" si="2"/>
        <v>0.15790152641352481</v>
      </c>
    </row>
    <row r="45" spans="2:16">
      <c r="B45" s="38">
        <v>12</v>
      </c>
      <c r="C45" s="39">
        <v>280</v>
      </c>
      <c r="D45" s="39">
        <v>52</v>
      </c>
      <c r="E45" s="37">
        <v>30</v>
      </c>
      <c r="F45" s="39">
        <v>100</v>
      </c>
      <c r="G45" s="40">
        <f>B45*[1]Assumptions!$C$19*365*24*[1]Assumptions!$D$26*1000/([1]Assumptions!$C$10*0.001) /10^9</f>
        <v>12.833780869565217</v>
      </c>
      <c r="H45" s="40">
        <f>C45*[1]Assumptions!$C$20*365*24*[1]Assumptions!$D$30*1000/([1]Assumptions!$C$10*0.001) /10^9</f>
        <v>49.129185355910373</v>
      </c>
      <c r="I45" s="40">
        <f>E45*[1]Assumptions!$C$46/([1]Assumptions!$C$10*0.001) /10^9</f>
        <v>1.479896437636061</v>
      </c>
      <c r="J45" s="40">
        <f>D45*[1]Assumptions!$C$56/([1]Assumptions!$C$10*0.001) /10^9</f>
        <v>2.89280667039916</v>
      </c>
      <c r="K45" s="40">
        <f>F45*[1]Assumptions!$C$65/([1]Assumptions!$C$10*0.001) /10^9</f>
        <v>4.6589332295950063</v>
      </c>
      <c r="L45" s="50">
        <f>[1]Assumptions!$C$69</f>
        <v>4</v>
      </c>
      <c r="M45" s="51">
        <f t="shared" si="0"/>
        <v>74.994602563105815</v>
      </c>
      <c r="N45" s="29" t="str">
        <f t="shared" si="1"/>
        <v>(280,52,30)</v>
      </c>
      <c r="P45" s="52">
        <f t="shared" si="2"/>
        <v>0.12043048471428813</v>
      </c>
    </row>
    <row r="46" spans="2:16">
      <c r="B46" s="38">
        <v>12</v>
      </c>
      <c r="C46" s="39">
        <v>280</v>
      </c>
      <c r="D46" s="39">
        <v>44</v>
      </c>
      <c r="E46" s="37">
        <v>40</v>
      </c>
      <c r="F46" s="39">
        <v>100</v>
      </c>
      <c r="G46" s="40">
        <f>B46*[1]Assumptions!$C$19*365*24*[1]Assumptions!$D$26*1000/([1]Assumptions!$C$10*0.001) /10^9</f>
        <v>12.833780869565217</v>
      </c>
      <c r="H46" s="40">
        <f>C46*[1]Assumptions!$C$20*365*24*[1]Assumptions!$D$30*1000/([1]Assumptions!$C$10*0.001) /10^9</f>
        <v>49.129185355910373</v>
      </c>
      <c r="I46" s="40">
        <f>E46*[1]Assumptions!$C$46/([1]Assumptions!$C$10*0.001) /10^9</f>
        <v>1.9731952501814143</v>
      </c>
      <c r="J46" s="40">
        <f>D46*[1]Assumptions!$C$56/([1]Assumptions!$C$10*0.001) /10^9</f>
        <v>2.4477594903377509</v>
      </c>
      <c r="K46" s="40">
        <f>F46*[1]Assumptions!$C$65/([1]Assumptions!$C$10*0.001) /10^9</f>
        <v>4.6589332295950063</v>
      </c>
      <c r="L46" s="50">
        <f>[1]Assumptions!$C$69</f>
        <v>4</v>
      </c>
      <c r="M46" s="51">
        <f t="shared" si="0"/>
        <v>75.042854195589754</v>
      </c>
      <c r="N46" s="29" t="str">
        <f t="shared" si="1"/>
        <v>(280,44,40)</v>
      </c>
      <c r="P46" s="52">
        <f t="shared" si="2"/>
        <v>0.12099603709699776</v>
      </c>
    </row>
    <row r="47" spans="2:16">
      <c r="B47" s="38">
        <v>12</v>
      </c>
      <c r="C47" s="39">
        <v>280</v>
      </c>
      <c r="D47" s="39">
        <v>42</v>
      </c>
      <c r="E47" s="37">
        <v>50</v>
      </c>
      <c r="F47" s="39">
        <v>100</v>
      </c>
      <c r="G47" s="40">
        <f>B47*[1]Assumptions!$C$19*365*24*[1]Assumptions!$D$26*1000/([1]Assumptions!$C$10*0.001) /10^9</f>
        <v>12.833780869565217</v>
      </c>
      <c r="H47" s="40">
        <f>C47*[1]Assumptions!$C$20*365*24*[1]Assumptions!$D$30*1000/([1]Assumptions!$C$10*0.001) /10^9</f>
        <v>49.129185355910373</v>
      </c>
      <c r="I47" s="40">
        <f>E47*[1]Assumptions!$C$46/([1]Assumptions!$C$10*0.001) /10^9</f>
        <v>2.4664940627267682</v>
      </c>
      <c r="J47" s="40">
        <f>D47*[1]Assumptions!$C$56/([1]Assumptions!$C$10*0.001) /10^9</f>
        <v>2.3364976953223988</v>
      </c>
      <c r="K47" s="40">
        <f>F47*[1]Assumptions!$C$65/([1]Assumptions!$C$10*0.001) /10^9</f>
        <v>4.6589332295950063</v>
      </c>
      <c r="L47" s="50">
        <f>[1]Assumptions!$C$69</f>
        <v>4</v>
      </c>
      <c r="M47" s="51">
        <f t="shared" si="0"/>
        <v>75.424891213119764</v>
      </c>
      <c r="N47" s="29" t="str">
        <f t="shared" si="1"/>
        <v>(280,42,50)</v>
      </c>
      <c r="P47" s="52">
        <f t="shared" si="2"/>
        <v>0.12544830805136545</v>
      </c>
    </row>
    <row r="48" spans="2:16">
      <c r="B48" s="38">
        <v>12</v>
      </c>
      <c r="C48" s="39">
        <v>280</v>
      </c>
      <c r="D48" s="39">
        <v>42</v>
      </c>
      <c r="E48" s="37">
        <v>60</v>
      </c>
      <c r="F48" s="39">
        <v>100</v>
      </c>
      <c r="G48" s="40">
        <f>B48*[1]Assumptions!$C$19*365*24*[1]Assumptions!$D$26*1000/([1]Assumptions!$C$10*0.001) /10^9</f>
        <v>12.833780869565217</v>
      </c>
      <c r="H48" s="40">
        <f>C48*[1]Assumptions!$C$20*365*24*[1]Assumptions!$D$30*1000/([1]Assumptions!$C$10*0.001) /10^9</f>
        <v>49.129185355910373</v>
      </c>
      <c r="I48" s="40">
        <f>E48*[1]Assumptions!$C$46/([1]Assumptions!$C$10*0.001) /10^9</f>
        <v>2.9597928752721221</v>
      </c>
      <c r="J48" s="40">
        <f>D48*[1]Assumptions!$C$56/([1]Assumptions!$C$10*0.001) /10^9</f>
        <v>2.3364976953223988</v>
      </c>
      <c r="K48" s="40">
        <f>F48*[1]Assumptions!$C$65/([1]Assumptions!$C$10*0.001) /10^9</f>
        <v>4.6589332295950063</v>
      </c>
      <c r="L48" s="50">
        <f>[1]Assumptions!$C$69</f>
        <v>4</v>
      </c>
      <c r="M48" s="51">
        <f t="shared" si="0"/>
        <v>75.918190025665112</v>
      </c>
      <c r="N48" s="29" t="str">
        <f t="shared" si="1"/>
        <v>(280,42,60)</v>
      </c>
      <c r="P48" s="52">
        <f t="shared" si="2"/>
        <v>0.13113094235813627</v>
      </c>
    </row>
    <row r="49" spans="2:16">
      <c r="B49" s="38">
        <v>12</v>
      </c>
      <c r="C49" s="39">
        <v>280</v>
      </c>
      <c r="D49" s="39">
        <v>42</v>
      </c>
      <c r="E49" s="37">
        <v>70</v>
      </c>
      <c r="F49" s="39">
        <v>100</v>
      </c>
      <c r="G49" s="40">
        <f>B49*[1]Assumptions!$C$19*365*24*[1]Assumptions!$D$26*1000/([1]Assumptions!$C$10*0.001) /10^9</f>
        <v>12.833780869565217</v>
      </c>
      <c r="H49" s="40">
        <f>C49*[1]Assumptions!$C$20*365*24*[1]Assumptions!$D$30*1000/([1]Assumptions!$C$10*0.001) /10^9</f>
        <v>49.129185355910373</v>
      </c>
      <c r="I49" s="40">
        <f>E49*[1]Assumptions!$C$46/([1]Assumptions!$C$10*0.001) /10^9</f>
        <v>3.4530916878174751</v>
      </c>
      <c r="J49" s="40">
        <f>D49*[1]Assumptions!$C$56/([1]Assumptions!$C$10*0.001) /10^9</f>
        <v>2.3364976953223988</v>
      </c>
      <c r="K49" s="40">
        <f>F49*[1]Assumptions!$C$65/([1]Assumptions!$C$10*0.001) /10^9</f>
        <v>4.6589332295950063</v>
      </c>
      <c r="L49" s="50">
        <f>[1]Assumptions!$C$69</f>
        <v>4</v>
      </c>
      <c r="M49" s="51">
        <f t="shared" si="0"/>
        <v>76.41148883821046</v>
      </c>
      <c r="N49" s="29" t="str">
        <f t="shared" si="1"/>
        <v>(280,42,70)</v>
      </c>
      <c r="P49" s="52">
        <f t="shared" si="2"/>
        <v>0.13674020453727861</v>
      </c>
    </row>
    <row r="50" spans="2:16">
      <c r="B50" s="38">
        <v>12</v>
      </c>
      <c r="C50" s="39">
        <v>280</v>
      </c>
      <c r="D50" s="39">
        <v>42</v>
      </c>
      <c r="E50" s="37">
        <v>80</v>
      </c>
      <c r="F50" s="39">
        <v>100</v>
      </c>
      <c r="G50" s="40">
        <f>B50*[1]Assumptions!$C$19*365*24*[1]Assumptions!$D$26*1000/([1]Assumptions!$C$10*0.001) /10^9</f>
        <v>12.833780869565217</v>
      </c>
      <c r="H50" s="40">
        <f>C50*[1]Assumptions!$C$20*365*24*[1]Assumptions!$D$30*1000/([1]Assumptions!$C$10*0.001) /10^9</f>
        <v>49.129185355910373</v>
      </c>
      <c r="I50" s="40">
        <f>E50*[1]Assumptions!$C$46/([1]Assumptions!$C$10*0.001) /10^9</f>
        <v>3.9463905003628286</v>
      </c>
      <c r="J50" s="40">
        <f>D50*[1]Assumptions!$C$56/([1]Assumptions!$C$10*0.001) /10^9</f>
        <v>2.3364976953223988</v>
      </c>
      <c r="K50" s="40">
        <f>F50*[1]Assumptions!$C$65/([1]Assumptions!$C$10*0.001) /10^9</f>
        <v>4.6589332295950063</v>
      </c>
      <c r="L50" s="50">
        <f>[1]Assumptions!$C$69</f>
        <v>4</v>
      </c>
      <c r="M50" s="51">
        <f t="shared" si="0"/>
        <v>76.904787650755821</v>
      </c>
      <c r="N50" s="29" t="str">
        <f t="shared" si="1"/>
        <v>(280,42,80)</v>
      </c>
      <c r="P50" s="52">
        <f t="shared" si="2"/>
        <v>0.14227750650544443</v>
      </c>
    </row>
    <row r="51" spans="2:16">
      <c r="B51" s="38">
        <v>12</v>
      </c>
      <c r="C51" s="39">
        <v>280</v>
      </c>
      <c r="D51" s="39">
        <v>42</v>
      </c>
      <c r="E51" s="37">
        <v>90</v>
      </c>
      <c r="F51" s="39">
        <v>100</v>
      </c>
      <c r="G51" s="40">
        <f>B51*[1]Assumptions!$C$19*365*24*[1]Assumptions!$D$26*1000/([1]Assumptions!$C$10*0.001) /10^9</f>
        <v>12.833780869565217</v>
      </c>
      <c r="H51" s="40">
        <f>C51*[1]Assumptions!$C$20*365*24*[1]Assumptions!$D$30*1000/([1]Assumptions!$C$10*0.001) /10^9</f>
        <v>49.129185355910373</v>
      </c>
      <c r="I51" s="40">
        <f>E51*[1]Assumptions!$C$46/([1]Assumptions!$C$10*0.001) /10^9</f>
        <v>4.4396893129081834</v>
      </c>
      <c r="J51" s="40">
        <f>D51*[1]Assumptions!$C$56/([1]Assumptions!$C$10*0.001) /10^9</f>
        <v>2.3364976953223988</v>
      </c>
      <c r="K51" s="40">
        <f>F51*[1]Assumptions!$C$65/([1]Assumptions!$C$10*0.001) /10^9</f>
        <v>4.6589332295950063</v>
      </c>
      <c r="L51" s="50">
        <f>[1]Assumptions!$C$69</f>
        <v>4</v>
      </c>
      <c r="M51" s="51">
        <f t="shared" si="0"/>
        <v>77.398086463301169</v>
      </c>
      <c r="N51" s="29" t="str">
        <f t="shared" si="1"/>
        <v>(280,42,90)</v>
      </c>
      <c r="P51" s="52">
        <f t="shared" si="2"/>
        <v>0.14774422418372876</v>
      </c>
    </row>
    <row r="52" spans="2:16">
      <c r="B52" s="38">
        <v>12</v>
      </c>
      <c r="C52" s="39">
        <v>280</v>
      </c>
      <c r="D52" s="39">
        <v>42</v>
      </c>
      <c r="E52" s="37">
        <v>100</v>
      </c>
      <c r="F52" s="39">
        <v>100</v>
      </c>
      <c r="G52" s="40">
        <f>B52*[1]Assumptions!$C$19*365*24*[1]Assumptions!$D$26*1000/([1]Assumptions!$C$10*0.001) /10^9</f>
        <v>12.833780869565217</v>
      </c>
      <c r="H52" s="40">
        <f>C52*[1]Assumptions!$C$20*365*24*[1]Assumptions!$D$30*1000/([1]Assumptions!$C$10*0.001) /10^9</f>
        <v>49.129185355910373</v>
      </c>
      <c r="I52" s="40">
        <f>E52*[1]Assumptions!$C$46/([1]Assumptions!$C$10*0.001) /10^9</f>
        <v>4.9329881254535364</v>
      </c>
      <c r="J52" s="40">
        <f>D52*[1]Assumptions!$C$56/([1]Assumptions!$C$10*0.001) /10^9</f>
        <v>2.3364976953223988</v>
      </c>
      <c r="K52" s="40">
        <f>F52*[1]Assumptions!$C$65/([1]Assumptions!$C$10*0.001) /10^9</f>
        <v>4.6589332295950063</v>
      </c>
      <c r="L52" s="50">
        <f>[1]Assumptions!$C$69</f>
        <v>4</v>
      </c>
      <c r="M52" s="51">
        <f t="shared" si="0"/>
        <v>77.891385275846531</v>
      </c>
      <c r="N52" s="29" t="str">
        <f t="shared" si="1"/>
        <v>(280,42,100)</v>
      </c>
      <c r="P52" s="52">
        <f t="shared" si="2"/>
        <v>0.15314169863749805</v>
      </c>
    </row>
    <row r="53" spans="2:16">
      <c r="B53" s="38">
        <v>12</v>
      </c>
      <c r="C53" s="39">
        <v>290</v>
      </c>
      <c r="D53" s="39">
        <v>46</v>
      </c>
      <c r="E53" s="37">
        <v>30</v>
      </c>
      <c r="F53" s="39">
        <v>100</v>
      </c>
      <c r="G53" s="40">
        <f>B53*[1]Assumptions!$C$19*365*24*[1]Assumptions!$D$26*1000/([1]Assumptions!$C$10*0.001) /10^9</f>
        <v>12.833780869565217</v>
      </c>
      <c r="H53" s="40">
        <f>C53*[1]Assumptions!$C$20*365*24*[1]Assumptions!$D$30*1000/([1]Assumptions!$C$10*0.001) /10^9</f>
        <v>50.883799118621454</v>
      </c>
      <c r="I53" s="40">
        <f>E53*[1]Assumptions!$C$46/([1]Assumptions!$C$10*0.001) /10^9</f>
        <v>1.479896437636061</v>
      </c>
      <c r="J53" s="40">
        <f>D53*[1]Assumptions!$C$56/([1]Assumptions!$C$10*0.001) /10^9</f>
        <v>2.5590212853531038</v>
      </c>
      <c r="K53" s="40">
        <f>F53*[1]Assumptions!$C$65/([1]Assumptions!$C$10*0.001) /10^9</f>
        <v>4.6589332295950063</v>
      </c>
      <c r="L53" s="50">
        <f>[1]Assumptions!$C$69</f>
        <v>4</v>
      </c>
      <c r="M53" s="51">
        <f t="shared" si="0"/>
        <v>76.415430940770833</v>
      </c>
      <c r="N53" s="29" t="str">
        <f t="shared" si="1"/>
        <v>(290,46,30)</v>
      </c>
      <c r="P53" s="52">
        <f t="shared" si="2"/>
        <v>0.11382322713492027</v>
      </c>
    </row>
    <row r="54" spans="2:16">
      <c r="B54" s="38">
        <v>12</v>
      </c>
      <c r="C54" s="39">
        <v>290</v>
      </c>
      <c r="D54" s="39">
        <v>41</v>
      </c>
      <c r="E54" s="37">
        <v>40</v>
      </c>
      <c r="F54" s="39">
        <v>100</v>
      </c>
      <c r="G54" s="40">
        <f>B54*[1]Assumptions!$C$19*365*24*[1]Assumptions!$D$26*1000/([1]Assumptions!$C$10*0.001) /10^9</f>
        <v>12.833780869565217</v>
      </c>
      <c r="H54" s="40">
        <f>C54*[1]Assumptions!$C$20*365*24*[1]Assumptions!$D$30*1000/([1]Assumptions!$C$10*0.001) /10^9</f>
        <v>50.883799118621454</v>
      </c>
      <c r="I54" s="40">
        <f>E54*[1]Assumptions!$C$46/([1]Assumptions!$C$10*0.001) /10^9</f>
        <v>1.9731952501814143</v>
      </c>
      <c r="J54" s="40">
        <f>D54*[1]Assumptions!$C$56/([1]Assumptions!$C$10*0.001) /10^9</f>
        <v>2.2808667978147223</v>
      </c>
      <c r="K54" s="40">
        <f>F54*[1]Assumptions!$C$65/([1]Assumptions!$C$10*0.001) /10^9</f>
        <v>4.6589332295950063</v>
      </c>
      <c r="L54" s="50">
        <f>[1]Assumptions!$C$69</f>
        <v>4</v>
      </c>
      <c r="M54" s="51">
        <f t="shared" si="0"/>
        <v>76.630575265777821</v>
      </c>
      <c r="N54" s="29" t="str">
        <f t="shared" si="1"/>
        <v>(290,41,40)</v>
      </c>
      <c r="P54" s="52">
        <f t="shared" si="2"/>
        <v>0.11631121450776276</v>
      </c>
    </row>
    <row r="55" spans="2:16">
      <c r="B55" s="38">
        <v>12</v>
      </c>
      <c r="C55" s="39">
        <v>290</v>
      </c>
      <c r="D55" s="39">
        <v>41</v>
      </c>
      <c r="E55" s="37">
        <v>50</v>
      </c>
      <c r="F55" s="39">
        <v>100</v>
      </c>
      <c r="G55" s="40">
        <f>B55*[1]Assumptions!$C$19*365*24*[1]Assumptions!$D$26*1000/([1]Assumptions!$C$10*0.001) /10^9</f>
        <v>12.833780869565217</v>
      </c>
      <c r="H55" s="40">
        <f>C55*[1]Assumptions!$C$20*365*24*[1]Assumptions!$D$30*1000/([1]Assumptions!$C$10*0.001) /10^9</f>
        <v>50.883799118621454</v>
      </c>
      <c r="I55" s="40">
        <f>E55*[1]Assumptions!$C$46/([1]Assumptions!$C$10*0.001) /10^9</f>
        <v>2.4664940627267682</v>
      </c>
      <c r="J55" s="40">
        <f>D55*[1]Assumptions!$C$56/([1]Assumptions!$C$10*0.001) /10^9</f>
        <v>2.2808667978147223</v>
      </c>
      <c r="K55" s="40">
        <f>F55*[1]Assumptions!$C$65/([1]Assumptions!$C$10*0.001) /10^9</f>
        <v>4.6589332295950063</v>
      </c>
      <c r="L55" s="50">
        <f>[1]Assumptions!$C$69</f>
        <v>4</v>
      </c>
      <c r="M55" s="51">
        <f t="shared" si="0"/>
        <v>77.123874078323169</v>
      </c>
      <c r="N55" s="29" t="str">
        <f t="shared" si="1"/>
        <v>(290,41,50)</v>
      </c>
      <c r="P55" s="52">
        <f t="shared" si="2"/>
        <v>0.1219634542811469</v>
      </c>
    </row>
    <row r="56" spans="2:16">
      <c r="B56" s="38">
        <v>12</v>
      </c>
      <c r="C56" s="39">
        <v>290</v>
      </c>
      <c r="D56" s="39">
        <v>41</v>
      </c>
      <c r="E56" s="37">
        <v>60</v>
      </c>
      <c r="F56" s="39">
        <v>100</v>
      </c>
      <c r="G56" s="40">
        <f>B56*[1]Assumptions!$C$19*365*24*[1]Assumptions!$D$26*1000/([1]Assumptions!$C$10*0.001) /10^9</f>
        <v>12.833780869565217</v>
      </c>
      <c r="H56" s="40">
        <f>C56*[1]Assumptions!$C$20*365*24*[1]Assumptions!$D$30*1000/([1]Assumptions!$C$10*0.001) /10^9</f>
        <v>50.883799118621454</v>
      </c>
      <c r="I56" s="40">
        <f>E56*[1]Assumptions!$C$46/([1]Assumptions!$C$10*0.001) /10^9</f>
        <v>2.9597928752721221</v>
      </c>
      <c r="J56" s="40">
        <f>D56*[1]Assumptions!$C$56/([1]Assumptions!$C$10*0.001) /10^9</f>
        <v>2.2808667978147223</v>
      </c>
      <c r="K56" s="40">
        <f>F56*[1]Assumptions!$C$65/([1]Assumptions!$C$10*0.001) /10^9</f>
        <v>4.6589332295950063</v>
      </c>
      <c r="L56" s="50">
        <f>[1]Assumptions!$C$69</f>
        <v>4</v>
      </c>
      <c r="M56" s="51">
        <f t="shared" si="0"/>
        <v>77.617172890868531</v>
      </c>
      <c r="N56" s="29" t="str">
        <f t="shared" si="1"/>
        <v>(290,41,60)</v>
      </c>
      <c r="P56" s="52">
        <f t="shared" si="2"/>
        <v>0.12754384801673846</v>
      </c>
    </row>
    <row r="57" spans="2:16">
      <c r="B57" s="38">
        <v>12</v>
      </c>
      <c r="C57" s="39">
        <v>290</v>
      </c>
      <c r="D57" s="39">
        <v>41</v>
      </c>
      <c r="E57" s="37">
        <v>70</v>
      </c>
      <c r="F57" s="39">
        <v>100</v>
      </c>
      <c r="G57" s="40">
        <f>B57*[1]Assumptions!$C$19*365*24*[1]Assumptions!$D$26*1000/([1]Assumptions!$C$10*0.001) /10^9</f>
        <v>12.833780869565217</v>
      </c>
      <c r="H57" s="40">
        <f>C57*[1]Assumptions!$C$20*365*24*[1]Assumptions!$D$30*1000/([1]Assumptions!$C$10*0.001) /10^9</f>
        <v>50.883799118621454</v>
      </c>
      <c r="I57" s="40">
        <f>E57*[1]Assumptions!$C$46/([1]Assumptions!$C$10*0.001) /10^9</f>
        <v>3.4530916878174751</v>
      </c>
      <c r="J57" s="40">
        <f>D57*[1]Assumptions!$C$56/([1]Assumptions!$C$10*0.001) /10^9</f>
        <v>2.2808667978147223</v>
      </c>
      <c r="K57" s="40">
        <f>F57*[1]Assumptions!$C$65/([1]Assumptions!$C$10*0.001) /10^9</f>
        <v>4.6589332295950063</v>
      </c>
      <c r="L57" s="50">
        <f>[1]Assumptions!$C$69</f>
        <v>4</v>
      </c>
      <c r="M57" s="51">
        <f t="shared" si="0"/>
        <v>78.110471703413879</v>
      </c>
      <c r="N57" s="29" t="str">
        <f t="shared" si="1"/>
        <v>(290,41,70)</v>
      </c>
      <c r="P57" s="52">
        <f t="shared" si="2"/>
        <v>0.13305375692377203</v>
      </c>
    </row>
    <row r="58" spans="2:16">
      <c r="B58" s="38">
        <v>12</v>
      </c>
      <c r="C58" s="39">
        <v>290</v>
      </c>
      <c r="D58" s="39">
        <v>41</v>
      </c>
      <c r="E58" s="37">
        <v>80</v>
      </c>
      <c r="F58" s="39">
        <v>100</v>
      </c>
      <c r="G58" s="40">
        <f>B58*[1]Assumptions!$C$19*365*24*[1]Assumptions!$D$26*1000/([1]Assumptions!$C$10*0.001) /10^9</f>
        <v>12.833780869565217</v>
      </c>
      <c r="H58" s="40">
        <f>C58*[1]Assumptions!$C$20*365*24*[1]Assumptions!$D$30*1000/([1]Assumptions!$C$10*0.001) /10^9</f>
        <v>50.883799118621454</v>
      </c>
      <c r="I58" s="40">
        <f>E58*[1]Assumptions!$C$46/([1]Assumptions!$C$10*0.001) /10^9</f>
        <v>3.9463905003628286</v>
      </c>
      <c r="J58" s="40">
        <f>D58*[1]Assumptions!$C$56/([1]Assumptions!$C$10*0.001) /10^9</f>
        <v>2.2808667978147223</v>
      </c>
      <c r="K58" s="40">
        <f>F58*[1]Assumptions!$C$65/([1]Assumptions!$C$10*0.001) /10^9</f>
        <v>4.6589332295950063</v>
      </c>
      <c r="L58" s="50">
        <f>[1]Assumptions!$C$69</f>
        <v>4</v>
      </c>
      <c r="M58" s="51">
        <f t="shared" si="0"/>
        <v>78.603770515959226</v>
      </c>
      <c r="N58" s="29" t="str">
        <f t="shared" si="1"/>
        <v>(290,41,80)</v>
      </c>
      <c r="P58" s="52">
        <f t="shared" si="2"/>
        <v>0.13849450804096342</v>
      </c>
    </row>
    <row r="59" spans="2:16">
      <c r="B59" s="38">
        <v>12</v>
      </c>
      <c r="C59" s="39">
        <v>290</v>
      </c>
      <c r="D59" s="39">
        <v>41</v>
      </c>
      <c r="E59" s="37">
        <v>90</v>
      </c>
      <c r="F59" s="39">
        <v>100</v>
      </c>
      <c r="G59" s="40">
        <f>B59*[1]Assumptions!$C$19*365*24*[1]Assumptions!$D$26*1000/([1]Assumptions!$C$10*0.001) /10^9</f>
        <v>12.833780869565217</v>
      </c>
      <c r="H59" s="40">
        <f>C59*[1]Assumptions!$C$20*365*24*[1]Assumptions!$D$30*1000/([1]Assumptions!$C$10*0.001) /10^9</f>
        <v>50.883799118621454</v>
      </c>
      <c r="I59" s="40">
        <f>E59*[1]Assumptions!$C$46/([1]Assumptions!$C$10*0.001) /10^9</f>
        <v>4.4396893129081834</v>
      </c>
      <c r="J59" s="40">
        <f>D59*[1]Assumptions!$C$56/([1]Assumptions!$C$10*0.001) /10^9</f>
        <v>2.2808667978147223</v>
      </c>
      <c r="K59" s="40">
        <f>F59*[1]Assumptions!$C$65/([1]Assumptions!$C$10*0.001) /10^9</f>
        <v>4.6589332295950063</v>
      </c>
      <c r="L59" s="50">
        <f>[1]Assumptions!$C$69</f>
        <v>4</v>
      </c>
      <c r="M59" s="51">
        <f t="shared" si="0"/>
        <v>79.097069328504588</v>
      </c>
      <c r="N59" s="29" t="str">
        <f t="shared" si="1"/>
        <v>(290,41,90)</v>
      </c>
      <c r="P59" s="52">
        <f t="shared" si="2"/>
        <v>0.14386739530205364</v>
      </c>
    </row>
    <row r="60" spans="2:16">
      <c r="B60" s="38">
        <v>12</v>
      </c>
      <c r="C60" s="39">
        <v>290</v>
      </c>
      <c r="D60" s="39">
        <v>41</v>
      </c>
      <c r="E60" s="37">
        <v>100</v>
      </c>
      <c r="F60" s="39">
        <v>100</v>
      </c>
      <c r="G60" s="40">
        <f>B60*[1]Assumptions!$C$19*365*24*[1]Assumptions!$D$26*1000/([1]Assumptions!$C$10*0.001) /10^9</f>
        <v>12.833780869565217</v>
      </c>
      <c r="H60" s="40">
        <f>C60*[1]Assumptions!$C$20*365*24*[1]Assumptions!$D$30*1000/([1]Assumptions!$C$10*0.001) /10^9</f>
        <v>50.883799118621454</v>
      </c>
      <c r="I60" s="40">
        <f>E60*[1]Assumptions!$C$46/([1]Assumptions!$C$10*0.001) /10^9</f>
        <v>4.9329881254535364</v>
      </c>
      <c r="J60" s="40">
        <f>D60*[1]Assumptions!$C$56/([1]Assumptions!$C$10*0.001) /10^9</f>
        <v>2.2808667978147223</v>
      </c>
      <c r="K60" s="40">
        <f>F60*[1]Assumptions!$C$65/([1]Assumptions!$C$10*0.001) /10^9</f>
        <v>4.6589332295950063</v>
      </c>
      <c r="L60" s="50">
        <f>[1]Assumptions!$C$69</f>
        <v>4</v>
      </c>
      <c r="M60" s="51">
        <f t="shared" si="0"/>
        <v>79.590368141049936</v>
      </c>
      <c r="N60" s="29" t="str">
        <f t="shared" si="1"/>
        <v>(290,41,100)</v>
      </c>
      <c r="P60" s="52">
        <f t="shared" si="2"/>
        <v>0.14917368056172736</v>
      </c>
    </row>
    <row r="61" spans="2:16">
      <c r="B61" s="38">
        <v>12</v>
      </c>
      <c r="C61" s="39">
        <v>300</v>
      </c>
      <c r="D61" s="39">
        <v>41</v>
      </c>
      <c r="E61" s="37">
        <v>30</v>
      </c>
      <c r="F61" s="39">
        <v>100</v>
      </c>
      <c r="G61" s="40">
        <f>B61*[1]Assumptions!$C$19*365*24*[1]Assumptions!$D$26*1000/([1]Assumptions!$C$10*0.001) /10^9</f>
        <v>12.833780869565217</v>
      </c>
      <c r="H61" s="40">
        <f>C61*[1]Assumptions!$C$20*365*24*[1]Assumptions!$D$30*1000/([1]Assumptions!$C$10*0.001) /10^9</f>
        <v>52.638412881332542</v>
      </c>
      <c r="I61" s="40">
        <f>E61*[1]Assumptions!$C$46/([1]Assumptions!$C$10*0.001) /10^9</f>
        <v>1.479896437636061</v>
      </c>
      <c r="J61" s="40">
        <f>D61*[1]Assumptions!$C$56/([1]Assumptions!$C$10*0.001) /10^9</f>
        <v>2.2808667978147223</v>
      </c>
      <c r="K61" s="40">
        <f>F61*[1]Assumptions!$C$65/([1]Assumptions!$C$10*0.001) /10^9</f>
        <v>4.6589332295950063</v>
      </c>
      <c r="L61" s="50">
        <f>[1]Assumptions!$C$69</f>
        <v>4</v>
      </c>
      <c r="M61" s="51">
        <f t="shared" si="0"/>
        <v>77.891890215943548</v>
      </c>
      <c r="N61" s="29" t="str">
        <f t="shared" si="1"/>
        <v>(300,41,30)</v>
      </c>
      <c r="P61" s="52">
        <f t="shared" si="2"/>
        <v>0.10809464812965056</v>
      </c>
    </row>
    <row r="62" spans="2:16">
      <c r="B62" s="38">
        <v>12</v>
      </c>
      <c r="C62" s="39">
        <v>300</v>
      </c>
      <c r="D62" s="39">
        <v>40</v>
      </c>
      <c r="E62" s="37">
        <v>40</v>
      </c>
      <c r="F62" s="39">
        <v>100</v>
      </c>
      <c r="G62" s="40">
        <f>B62*[1]Assumptions!$C$19*365*24*[1]Assumptions!$D$26*1000/([1]Assumptions!$C$10*0.001) /10^9</f>
        <v>12.833780869565217</v>
      </c>
      <c r="H62" s="40">
        <f>C62*[1]Assumptions!$C$20*365*24*[1]Assumptions!$D$30*1000/([1]Assumptions!$C$10*0.001) /10^9</f>
        <v>52.638412881332542</v>
      </c>
      <c r="I62" s="40">
        <f>E62*[1]Assumptions!$C$46/([1]Assumptions!$C$10*0.001) /10^9</f>
        <v>1.9731952501814143</v>
      </c>
      <c r="J62" s="40">
        <f>D62*[1]Assumptions!$C$56/([1]Assumptions!$C$10*0.001) /10^9</f>
        <v>2.2252359003070463</v>
      </c>
      <c r="K62" s="40">
        <f>F62*[1]Assumptions!$C$65/([1]Assumptions!$C$10*0.001) /10^9</f>
        <v>4.6589332295950063</v>
      </c>
      <c r="L62" s="50">
        <f>[1]Assumptions!$C$69</f>
        <v>4</v>
      </c>
      <c r="M62" s="51">
        <f t="shared" si="0"/>
        <v>78.329558130981226</v>
      </c>
      <c r="N62" s="29" t="str">
        <f t="shared" si="1"/>
        <v>(300,40,40)</v>
      </c>
      <c r="P62" s="52">
        <f t="shared" si="2"/>
        <v>0.11307818646534873</v>
      </c>
    </row>
    <row r="63" spans="2:16">
      <c r="B63" s="38">
        <v>12</v>
      </c>
      <c r="C63" s="39">
        <v>300</v>
      </c>
      <c r="D63" s="39">
        <v>40</v>
      </c>
      <c r="E63" s="37">
        <v>50</v>
      </c>
      <c r="F63" s="39">
        <v>100</v>
      </c>
      <c r="G63" s="40">
        <f>B63*[1]Assumptions!$C$19*365*24*[1]Assumptions!$D$26*1000/([1]Assumptions!$C$10*0.001) /10^9</f>
        <v>12.833780869565217</v>
      </c>
      <c r="H63" s="40">
        <f>C63*[1]Assumptions!$C$20*365*24*[1]Assumptions!$D$30*1000/([1]Assumptions!$C$10*0.001) /10^9</f>
        <v>52.638412881332542</v>
      </c>
      <c r="I63" s="40">
        <f>E63*[1]Assumptions!$C$46/([1]Assumptions!$C$10*0.001) /10^9</f>
        <v>2.4664940627267682</v>
      </c>
      <c r="J63" s="40">
        <f>D63*[1]Assumptions!$C$56/([1]Assumptions!$C$10*0.001) /10^9</f>
        <v>2.2252359003070463</v>
      </c>
      <c r="K63" s="40">
        <f>F63*[1]Assumptions!$C$65/([1]Assumptions!$C$10*0.001) /10^9</f>
        <v>4.6589332295950063</v>
      </c>
      <c r="L63" s="50">
        <f>[1]Assumptions!$C$69</f>
        <v>4</v>
      </c>
      <c r="M63" s="51">
        <f t="shared" si="0"/>
        <v>78.822856943526574</v>
      </c>
      <c r="N63" s="29" t="str">
        <f t="shared" si="1"/>
        <v>(300,40,50)</v>
      </c>
      <c r="P63" s="52">
        <f t="shared" si="2"/>
        <v>0.11862882868262691</v>
      </c>
    </row>
    <row r="64" spans="2:16">
      <c r="B64" s="38">
        <v>12</v>
      </c>
      <c r="C64" s="39">
        <v>300</v>
      </c>
      <c r="D64" s="39">
        <v>40</v>
      </c>
      <c r="E64" s="37">
        <v>60</v>
      </c>
      <c r="F64" s="39">
        <v>100</v>
      </c>
      <c r="G64" s="40">
        <f>B64*[1]Assumptions!$C$19*365*24*[1]Assumptions!$D$26*1000/([1]Assumptions!$C$10*0.001) /10^9</f>
        <v>12.833780869565217</v>
      </c>
      <c r="H64" s="40">
        <f>C64*[1]Assumptions!$C$20*365*24*[1]Assumptions!$D$30*1000/([1]Assumptions!$C$10*0.001) /10^9</f>
        <v>52.638412881332542</v>
      </c>
      <c r="I64" s="40">
        <f>E64*[1]Assumptions!$C$46/([1]Assumptions!$C$10*0.001) /10^9</f>
        <v>2.9597928752721221</v>
      </c>
      <c r="J64" s="40">
        <f>D64*[1]Assumptions!$C$56/([1]Assumptions!$C$10*0.001) /10^9</f>
        <v>2.2252359003070463</v>
      </c>
      <c r="K64" s="40">
        <f>F64*[1]Assumptions!$C$65/([1]Assumptions!$C$10*0.001) /10^9</f>
        <v>4.6589332295950063</v>
      </c>
      <c r="L64" s="50">
        <f>[1]Assumptions!$C$69</f>
        <v>4</v>
      </c>
      <c r="M64" s="51">
        <f t="shared" si="0"/>
        <v>79.316155756071936</v>
      </c>
      <c r="N64" s="29" t="str">
        <f t="shared" si="1"/>
        <v>(300,40,60)</v>
      </c>
      <c r="P64" s="52">
        <f t="shared" si="2"/>
        <v>0.12411042758360843</v>
      </c>
    </row>
    <row r="65" spans="2:16">
      <c r="B65" s="38">
        <v>12</v>
      </c>
      <c r="C65" s="39">
        <v>300</v>
      </c>
      <c r="D65" s="39">
        <v>40</v>
      </c>
      <c r="E65" s="37">
        <v>70</v>
      </c>
      <c r="F65" s="39">
        <v>100</v>
      </c>
      <c r="G65" s="40">
        <f>B65*[1]Assumptions!$C$19*365*24*[1]Assumptions!$D$26*1000/([1]Assumptions!$C$10*0.001) /10^9</f>
        <v>12.833780869565217</v>
      </c>
      <c r="H65" s="40">
        <f>C65*[1]Assumptions!$C$20*365*24*[1]Assumptions!$D$30*1000/([1]Assumptions!$C$10*0.001) /10^9</f>
        <v>52.638412881332542</v>
      </c>
      <c r="I65" s="40">
        <f>E65*[1]Assumptions!$C$46/([1]Assumptions!$C$10*0.001) /10^9</f>
        <v>3.4530916878174751</v>
      </c>
      <c r="J65" s="40">
        <f>D65*[1]Assumptions!$C$56/([1]Assumptions!$C$10*0.001) /10^9</f>
        <v>2.2252359003070463</v>
      </c>
      <c r="K65" s="40">
        <f>F65*[1]Assumptions!$C$65/([1]Assumptions!$C$10*0.001) /10^9</f>
        <v>4.6589332295950063</v>
      </c>
      <c r="L65" s="50">
        <f>[1]Assumptions!$C$69</f>
        <v>4</v>
      </c>
      <c r="M65" s="51">
        <f t="shared" si="0"/>
        <v>79.809454568617284</v>
      </c>
      <c r="N65" s="29" t="str">
        <f t="shared" si="1"/>
        <v>(300,40,70)</v>
      </c>
      <c r="P65" s="52">
        <f t="shared" si="2"/>
        <v>0.12952426342961565</v>
      </c>
    </row>
    <row r="66" spans="2:16">
      <c r="B66" s="38">
        <v>12</v>
      </c>
      <c r="C66" s="39">
        <v>300</v>
      </c>
      <c r="D66" s="39">
        <v>40</v>
      </c>
      <c r="E66" s="37">
        <v>80</v>
      </c>
      <c r="F66" s="39">
        <v>100</v>
      </c>
      <c r="G66" s="40">
        <f>B66*[1]Assumptions!$C$19*365*24*[1]Assumptions!$D$26*1000/([1]Assumptions!$C$10*0.001) /10^9</f>
        <v>12.833780869565217</v>
      </c>
      <c r="H66" s="40">
        <f>C66*[1]Assumptions!$C$20*365*24*[1]Assumptions!$D$30*1000/([1]Assumptions!$C$10*0.001) /10^9</f>
        <v>52.638412881332542</v>
      </c>
      <c r="I66" s="40">
        <f>E66*[1]Assumptions!$C$46/([1]Assumptions!$C$10*0.001) /10^9</f>
        <v>3.9463905003628286</v>
      </c>
      <c r="J66" s="40">
        <f>D66*[1]Assumptions!$C$56/([1]Assumptions!$C$10*0.001) /10^9</f>
        <v>2.2252359003070463</v>
      </c>
      <c r="K66" s="40">
        <f>F66*[1]Assumptions!$C$65/([1]Assumptions!$C$10*0.001) /10^9</f>
        <v>4.6589332295950063</v>
      </c>
      <c r="L66" s="50">
        <f>[1]Assumptions!$C$69</f>
        <v>4</v>
      </c>
      <c r="M66" s="51">
        <f t="shared" si="0"/>
        <v>80.302753381162631</v>
      </c>
      <c r="N66" s="29" t="str">
        <f t="shared" si="1"/>
        <v>(300,40,80)</v>
      </c>
      <c r="P66" s="52">
        <f t="shared" si="2"/>
        <v>0.13487158502345334</v>
      </c>
    </row>
    <row r="67" spans="2:16">
      <c r="B67" s="38">
        <v>12</v>
      </c>
      <c r="C67" s="39">
        <v>300</v>
      </c>
      <c r="D67" s="39">
        <v>40</v>
      </c>
      <c r="E67" s="37">
        <v>90</v>
      </c>
      <c r="F67" s="39">
        <v>100</v>
      </c>
      <c r="G67" s="40">
        <f>B67*[1]Assumptions!$C$19*365*24*[1]Assumptions!$D$26*1000/([1]Assumptions!$C$10*0.001) /10^9</f>
        <v>12.833780869565217</v>
      </c>
      <c r="H67" s="40">
        <f>C67*[1]Assumptions!$C$20*365*24*[1]Assumptions!$D$30*1000/([1]Assumptions!$C$10*0.001) /10^9</f>
        <v>52.638412881332542</v>
      </c>
      <c r="I67" s="40">
        <f>E67*[1]Assumptions!$C$46/([1]Assumptions!$C$10*0.001) /10^9</f>
        <v>4.4396893129081834</v>
      </c>
      <c r="J67" s="40">
        <f>D67*[1]Assumptions!$C$56/([1]Assumptions!$C$10*0.001) /10^9</f>
        <v>2.2252359003070463</v>
      </c>
      <c r="K67" s="40">
        <f>F67*[1]Assumptions!$C$65/([1]Assumptions!$C$10*0.001) /10^9</f>
        <v>4.6589332295950063</v>
      </c>
      <c r="L67" s="50">
        <f>[1]Assumptions!$C$69</f>
        <v>4</v>
      </c>
      <c r="M67" s="51">
        <f t="shared" si="0"/>
        <v>80.796052193707993</v>
      </c>
      <c r="N67" s="29" t="str">
        <f t="shared" si="1"/>
        <v>(300,40,90)</v>
      </c>
      <c r="P67" s="52">
        <f t="shared" si="2"/>
        <v>0.14015361066975601</v>
      </c>
    </row>
    <row r="68" spans="2:16">
      <c r="B68" s="38">
        <v>12</v>
      </c>
      <c r="C68" s="39">
        <v>300</v>
      </c>
      <c r="D68" s="39">
        <v>40</v>
      </c>
      <c r="E68" s="37">
        <v>100</v>
      </c>
      <c r="F68" s="39">
        <v>100</v>
      </c>
      <c r="G68" s="40">
        <f>B68*[1]Assumptions!$C$19*365*24*[1]Assumptions!$D$26*1000/([1]Assumptions!$C$10*0.001) /10^9</f>
        <v>12.833780869565217</v>
      </c>
      <c r="H68" s="40">
        <f>C68*[1]Assumptions!$C$20*365*24*[1]Assumptions!$D$30*1000/([1]Assumptions!$C$10*0.001) /10^9</f>
        <v>52.638412881332542</v>
      </c>
      <c r="I68" s="40">
        <f>E68*[1]Assumptions!$C$46/([1]Assumptions!$C$10*0.001) /10^9</f>
        <v>4.9329881254535364</v>
      </c>
      <c r="J68" s="40">
        <f>D68*[1]Assumptions!$C$56/([1]Assumptions!$C$10*0.001) /10^9</f>
        <v>2.2252359003070463</v>
      </c>
      <c r="K68" s="40">
        <f>F68*[1]Assumptions!$C$65/([1]Assumptions!$C$10*0.001) /10^9</f>
        <v>4.6589332295950063</v>
      </c>
      <c r="L68" s="50">
        <f>[1]Assumptions!$C$69</f>
        <v>4</v>
      </c>
      <c r="M68" s="51">
        <f t="shared" si="0"/>
        <v>81.289351006253341</v>
      </c>
      <c r="N68" s="29" t="str">
        <f t="shared" si="1"/>
        <v>(300,40,100)</v>
      </c>
      <c r="P68" s="52">
        <f t="shared" si="2"/>
        <v>0.14537152910036805</v>
      </c>
    </row>
  </sheetData>
  <autoFilter ref="B4:N4">
    <sortState ref="B5:N64">
      <sortCondition ref="B4:B64"/>
    </sortState>
  </autoFilter>
  <mergeCells count="1">
    <mergeCell ref="G2:L2"/>
  </mergeCells>
  <phoneticPr fontId="15"/>
  <conditionalFormatting sqref="C5:C6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:M6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:P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50"/>
  <sheetViews>
    <sheetView showGridLines="0" topLeftCell="P1" zoomScale="85" zoomScaleNormal="85" workbookViewId="0">
      <pane ySplit="4" topLeftCell="A8" activePane="bottomLeft" state="frozen"/>
      <selection pane="bottomLeft" activeCell="M5" sqref="M5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4">
        <v>12</v>
      </c>
      <c r="C5" s="39">
        <v>230</v>
      </c>
      <c r="D5" s="39">
        <v>136</v>
      </c>
      <c r="E5" s="37">
        <v>50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40.35611654235494</v>
      </c>
      <c r="I5" s="40">
        <f>E5*Assumptions!$C$46/(Assumptions!$C$10*0.001) /10^9</f>
        <v>2.4664940627267682</v>
      </c>
      <c r="J5" s="40">
        <f>D5*Assumptions!$C$56/(Assumptions!$C$10*0.001) /10^9</f>
        <v>7.565802061043958</v>
      </c>
      <c r="K5" s="40">
        <f>F5*Assumptions!$C$65/(Assumptions!$C$10*0.001) /10^9</f>
        <v>4.6589332295950063</v>
      </c>
      <c r="L5" s="47">
        <f>4</f>
        <v>4</v>
      </c>
      <c r="M5" s="39">
        <v>3.99</v>
      </c>
      <c r="N5" s="39">
        <v>74</v>
      </c>
      <c r="O5" s="44">
        <f>N5*Assumptions!$C$97/(Assumptions!$G$10*0.001) /10^9*M5/100</f>
        <v>1.9517939929645722</v>
      </c>
      <c r="P5" s="48">
        <f>Assumptions!$C$114*Assumptions!$C$113/(Assumptions!$G$10*0.001) /10^9</f>
        <v>0.74469814087879027</v>
      </c>
      <c r="Q5" s="42">
        <f>SUM(G5:L5)+O5+P5</f>
        <v>74.577618899129249</v>
      </c>
      <c r="S5" s="29" t="str">
        <f>CONCATENATE("(",C5,",",D5,",",E5,",",ROUND(N5,0),",",ROUND(M5/100,2),")")</f>
        <v>(230,136,50,74,0.04)</v>
      </c>
    </row>
    <row r="6" spans="2:19">
      <c r="B6" s="4">
        <v>12</v>
      </c>
      <c r="C6" s="39">
        <v>230</v>
      </c>
      <c r="D6" s="39">
        <v>121</v>
      </c>
      <c r="E6" s="37">
        <v>60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40.35611654235494</v>
      </c>
      <c r="I6" s="40">
        <f>E6*Assumptions!$C$46/(Assumptions!$C$10*0.001) /10^9</f>
        <v>2.9597928752721221</v>
      </c>
      <c r="J6" s="40">
        <f>D6*Assumptions!$C$56/(Assumptions!$C$10*0.001) /10^9</f>
        <v>6.731338598428815</v>
      </c>
      <c r="K6" s="40">
        <f>F6*Assumptions!$C$65/(Assumptions!$C$10*0.001) /10^9</f>
        <v>4.6589332295950063</v>
      </c>
      <c r="L6" s="47">
        <f>4</f>
        <v>4</v>
      </c>
      <c r="M6" s="39">
        <v>7.08</v>
      </c>
      <c r="N6" s="39">
        <v>31</v>
      </c>
      <c r="O6" s="44">
        <f>N6*Assumptions!$C$97/(Assumptions!$G$10*0.001) /10^9*M6/100</f>
        <v>1.4508560102142667</v>
      </c>
      <c r="P6" s="48">
        <f>Assumptions!$C$114*Assumptions!$C$113/(Assumptions!$G$10*0.001) /10^9</f>
        <v>0.74469814087879027</v>
      </c>
      <c r="Q6" s="42">
        <f t="shared" ref="Q6:Q50" si="0">SUM(G6:L6)+O6+P6</f>
        <v>73.735516266309162</v>
      </c>
      <c r="S6" s="29" t="str">
        <f t="shared" ref="S6:S49" si="1">CONCATENATE("(",C6,",",D6,",",E6,",",ROUND(N6,0),",",ROUND(M6/100,2),")")</f>
        <v>(230,121,60,31,0.07)</v>
      </c>
    </row>
    <row r="7" spans="2:19">
      <c r="B7" s="4">
        <v>12</v>
      </c>
      <c r="C7" s="39">
        <v>230</v>
      </c>
      <c r="D7" s="39">
        <v>116</v>
      </c>
      <c r="E7" s="37">
        <v>70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40.35611654235494</v>
      </c>
      <c r="I7" s="40">
        <f>E7*Assumptions!$C$46/(Assumptions!$C$10*0.001) /10^9</f>
        <v>3.4530916878174751</v>
      </c>
      <c r="J7" s="40">
        <f>D7*Assumptions!$C$56/(Assumptions!$C$10*0.001) /10^9</f>
        <v>6.453184110890434</v>
      </c>
      <c r="K7" s="40">
        <f>F7*Assumptions!$C$65/(Assumptions!$C$10*0.001) /10^9</f>
        <v>4.6589332295950063</v>
      </c>
      <c r="L7" s="47">
        <f>4</f>
        <v>4</v>
      </c>
      <c r="M7" s="39">
        <v>9.0299999999999994</v>
      </c>
      <c r="N7" s="39">
        <v>24</v>
      </c>
      <c r="O7" s="44">
        <f>N7*Assumptions!$C$97/(Assumptions!$G$10*0.001) /10^9*M7/100</f>
        <v>1.4326112380792591</v>
      </c>
      <c r="P7" s="48">
        <f>Assumptions!$C$114*Assumptions!$C$113/(Assumptions!$G$10*0.001) /10^9</f>
        <v>0.74469814087879027</v>
      </c>
      <c r="Q7" s="42">
        <f t="shared" si="0"/>
        <v>73.932415819181131</v>
      </c>
      <c r="S7" s="29" t="str">
        <f t="shared" si="1"/>
        <v>(230,116,70,24,0.09)</v>
      </c>
    </row>
    <row r="8" spans="2:19">
      <c r="B8" s="4">
        <v>12</v>
      </c>
      <c r="C8" s="39">
        <v>230</v>
      </c>
      <c r="D8" s="39">
        <v>113</v>
      </c>
      <c r="E8" s="37">
        <v>80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40.35611654235494</v>
      </c>
      <c r="I8" s="40">
        <f>E8*Assumptions!$C$46/(Assumptions!$C$10*0.001) /10^9</f>
        <v>3.9463905003628286</v>
      </c>
      <c r="J8" s="40">
        <f>D8*Assumptions!$C$56/(Assumptions!$C$10*0.001) /10^9</f>
        <v>6.2862914183674059</v>
      </c>
      <c r="K8" s="40">
        <f>F8*Assumptions!$C$65/(Assumptions!$C$10*0.001) /10^9</f>
        <v>4.6589332295950063</v>
      </c>
      <c r="L8" s="47">
        <f>4</f>
        <v>4</v>
      </c>
      <c r="M8" s="39">
        <v>10.01</v>
      </c>
      <c r="N8" s="39">
        <v>21</v>
      </c>
      <c r="O8" s="44">
        <f>N8*Assumptions!$C$97/(Assumptions!$G$10*0.001) /10^9*M8/100</f>
        <v>1.3895773733695143</v>
      </c>
      <c r="P8" s="48">
        <f>Assumptions!$C$114*Assumptions!$C$113/(Assumptions!$G$10*0.001) /10^9</f>
        <v>0.74469814087879027</v>
      </c>
      <c r="Q8" s="42">
        <f t="shared" si="0"/>
        <v>74.215788074493716</v>
      </c>
      <c r="S8" s="29" t="str">
        <f t="shared" si="1"/>
        <v>(230,113,80,21,0.1)</v>
      </c>
    </row>
    <row r="9" spans="2:19">
      <c r="B9" s="4">
        <v>12</v>
      </c>
      <c r="C9" s="39">
        <v>230</v>
      </c>
      <c r="D9" s="39">
        <v>111</v>
      </c>
      <c r="E9" s="37">
        <v>90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40.35611654235494</v>
      </c>
      <c r="I9" s="40">
        <f>E9*Assumptions!$C$46/(Assumptions!$C$10*0.001) /10^9</f>
        <v>4.4396893129081834</v>
      </c>
      <c r="J9" s="40">
        <f>D9*Assumptions!$C$56/(Assumptions!$C$10*0.001) /10^9</f>
        <v>6.1750296233520539</v>
      </c>
      <c r="K9" s="40">
        <f>F9*Assumptions!$C$65/(Assumptions!$C$10*0.001) /10^9</f>
        <v>4.6589332295950063</v>
      </c>
      <c r="L9" s="47">
        <f>4</f>
        <v>4</v>
      </c>
      <c r="M9" s="39">
        <v>10.55</v>
      </c>
      <c r="N9" s="39">
        <v>20</v>
      </c>
      <c r="O9" s="44">
        <f>N9*Assumptions!$C$97/(Assumptions!$G$10*0.001) /10^9*M9/100</f>
        <v>1.3947996088719257</v>
      </c>
      <c r="P9" s="48">
        <f>Assumptions!$C$114*Assumptions!$C$113/(Assumptions!$G$10*0.001) /10^9</f>
        <v>0.74469814087879027</v>
      </c>
      <c r="Q9" s="42">
        <f t="shared" si="0"/>
        <v>74.603047327526113</v>
      </c>
      <c r="S9" s="29" t="str">
        <f t="shared" si="1"/>
        <v>(230,111,90,20,0.11)</v>
      </c>
    </row>
    <row r="10" spans="2:19">
      <c r="B10" s="4">
        <v>12</v>
      </c>
      <c r="C10" s="39">
        <v>230</v>
      </c>
      <c r="D10" s="39">
        <v>110</v>
      </c>
      <c r="E10" s="37">
        <v>100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40.35611654235494</v>
      </c>
      <c r="I10" s="40">
        <f>E10*Assumptions!$C$46/(Assumptions!$C$10*0.001) /10^9</f>
        <v>4.9329881254535364</v>
      </c>
      <c r="J10" s="40">
        <f>D10*Assumptions!$C$56/(Assumptions!$C$10*0.001) /10^9</f>
        <v>6.1193987258443778</v>
      </c>
      <c r="K10" s="40">
        <f>F10*Assumptions!$C$65/(Assumptions!$C$10*0.001) /10^9</f>
        <v>4.6589332295950063</v>
      </c>
      <c r="L10" s="47">
        <f>4</f>
        <v>4</v>
      </c>
      <c r="M10" s="39">
        <v>10.8</v>
      </c>
      <c r="N10" s="39">
        <v>19</v>
      </c>
      <c r="O10" s="44">
        <f>N10*Assumptions!$C$97/(Assumptions!$G$10*0.001) /10^9*M10/100</f>
        <v>1.3564591456896644</v>
      </c>
      <c r="P10" s="48">
        <f>Assumptions!$C$114*Assumptions!$C$113/(Assumptions!$G$10*0.001) /10^9</f>
        <v>0.74469814087879027</v>
      </c>
      <c r="Q10" s="42">
        <f t="shared" si="0"/>
        <v>75.00237477938154</v>
      </c>
      <c r="S10" s="29" t="str">
        <f t="shared" si="1"/>
        <v>(230,110,100,19,0.11)</v>
      </c>
    </row>
    <row r="11" spans="2:19">
      <c r="B11" s="4">
        <v>12</v>
      </c>
      <c r="C11" s="39">
        <v>240</v>
      </c>
      <c r="D11" s="39">
        <v>114</v>
      </c>
      <c r="E11" s="37">
        <v>40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42.110730305066035</v>
      </c>
      <c r="I11" s="40">
        <f>E11*Assumptions!$C$46/(Assumptions!$C$10*0.001) /10^9</f>
        <v>1.9731952501814143</v>
      </c>
      <c r="J11" s="40">
        <f>D11*Assumptions!$C$56/(Assumptions!$C$10*0.001) /10^9</f>
        <v>6.3419223158750819</v>
      </c>
      <c r="K11" s="40">
        <f>F11*Assumptions!$C$65/(Assumptions!$C$10*0.001) /10^9</f>
        <v>4.6589332295950063</v>
      </c>
      <c r="L11" s="47">
        <f>4</f>
        <v>4</v>
      </c>
      <c r="M11" s="39">
        <v>5.62</v>
      </c>
      <c r="N11" s="39">
        <v>41</v>
      </c>
      <c r="O11" s="44">
        <f>N11*Assumptions!$C$97/(Assumptions!$G$10*0.001) /10^9*M11/100</f>
        <v>1.5231740562856353</v>
      </c>
      <c r="P11" s="48">
        <f>Assumptions!$C$114*Assumptions!$C$113/(Assumptions!$G$10*0.001) /10^9</f>
        <v>0.74469814087879027</v>
      </c>
      <c r="Q11" s="42">
        <f t="shared" si="0"/>
        <v>74.186434167447189</v>
      </c>
      <c r="S11" s="29" t="str">
        <f t="shared" si="1"/>
        <v>(240,114,40,41,0.06)</v>
      </c>
    </row>
    <row r="12" spans="2:19" ht="16.95" customHeight="1">
      <c r="B12" s="4">
        <v>12</v>
      </c>
      <c r="C12" s="39">
        <v>240</v>
      </c>
      <c r="D12" s="39">
        <v>99</v>
      </c>
      <c r="E12" s="37">
        <v>50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42.110730305066035</v>
      </c>
      <c r="I12" s="40">
        <f>E12*Assumptions!$C$46/(Assumptions!$C$10*0.001) /10^9</f>
        <v>2.4664940627267682</v>
      </c>
      <c r="J12" s="40">
        <f>D12*Assumptions!$C$56/(Assumptions!$C$10*0.001) /10^9</f>
        <v>5.5074588532599389</v>
      </c>
      <c r="K12" s="40">
        <f>F12*Assumptions!$C$65/(Assumptions!$C$10*0.001) /10^9</f>
        <v>4.6589332295950063</v>
      </c>
      <c r="L12" s="47">
        <f>4</f>
        <v>4</v>
      </c>
      <c r="M12" s="39">
        <v>11.44</v>
      </c>
      <c r="N12" s="39">
        <v>18</v>
      </c>
      <c r="O12" s="44">
        <f>N12*Assumptions!$C$97/(Assumptions!$G$10*0.001) /10^9*M12/100</f>
        <v>1.3612186514640137</v>
      </c>
      <c r="P12" s="48">
        <f>Assumptions!$C$114*Assumptions!$C$113/(Assumptions!$G$10*0.001) /10^9</f>
        <v>0.74469814087879027</v>
      </c>
      <c r="Q12" s="42">
        <f t="shared" si="0"/>
        <v>73.683314112555777</v>
      </c>
      <c r="S12" s="29" t="str">
        <f t="shared" si="1"/>
        <v>(240,99,50,18,0.11)</v>
      </c>
    </row>
    <row r="13" spans="2:19">
      <c r="B13" s="4">
        <v>12</v>
      </c>
      <c r="C13" s="39">
        <v>240</v>
      </c>
      <c r="D13" s="39">
        <v>91</v>
      </c>
      <c r="E13" s="37">
        <v>60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42.110730305066035</v>
      </c>
      <c r="I13" s="40">
        <f>E13*Assumptions!$C$46/(Assumptions!$C$10*0.001) /10^9</f>
        <v>2.9597928752721221</v>
      </c>
      <c r="J13" s="40">
        <f>D13*Assumptions!$C$56/(Assumptions!$C$10*0.001) /10^9</f>
        <v>5.0624116731985298</v>
      </c>
      <c r="K13" s="40">
        <f>F13*Assumptions!$C$65/(Assumptions!$C$10*0.001) /10^9</f>
        <v>4.6589332295950063</v>
      </c>
      <c r="L13" s="47">
        <f>4</f>
        <v>4</v>
      </c>
      <c r="M13" s="39">
        <v>14.98</v>
      </c>
      <c r="N13" s="39">
        <v>14</v>
      </c>
      <c r="O13" s="44">
        <f>N13*Assumptions!$C$97/(Assumptions!$G$10*0.001) /10^9*M13/100</f>
        <v>1.3863382652730818</v>
      </c>
      <c r="P13" s="48">
        <f>Assumptions!$C$114*Assumptions!$C$113/(Assumptions!$G$10*0.001) /10^9</f>
        <v>0.74469814087879027</v>
      </c>
      <c r="Q13" s="42">
        <f t="shared" si="0"/>
        <v>73.756685358848785</v>
      </c>
      <c r="S13" s="29" t="str">
        <f t="shared" si="1"/>
        <v>(240,91,60,14,0.15)</v>
      </c>
    </row>
    <row r="14" spans="2:19">
      <c r="B14" s="4">
        <v>12</v>
      </c>
      <c r="C14" s="39">
        <v>240</v>
      </c>
      <c r="D14" s="39">
        <v>85</v>
      </c>
      <c r="E14" s="37">
        <v>70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42.110730305066035</v>
      </c>
      <c r="I14" s="40">
        <f>E14*Assumptions!$C$46/(Assumptions!$C$10*0.001) /10^9</f>
        <v>3.4530916878174751</v>
      </c>
      <c r="J14" s="40">
        <f>D14*Assumptions!$C$56/(Assumptions!$C$10*0.001) /10^9</f>
        <v>4.7286262881524737</v>
      </c>
      <c r="K14" s="40">
        <f>F14*Assumptions!$C$65/(Assumptions!$C$10*0.001) /10^9</f>
        <v>4.6589332295950063</v>
      </c>
      <c r="L14" s="47">
        <f>4</f>
        <v>4</v>
      </c>
      <c r="M14" s="39">
        <v>16.829999999999998</v>
      </c>
      <c r="N14" s="39">
        <v>12</v>
      </c>
      <c r="O14" s="44">
        <f>N14*Assumptions!$C$97/(Assumptions!$G$10*0.001) /10^9*M14/100</f>
        <v>1.3350413697050902</v>
      </c>
      <c r="P14" s="48">
        <f>Assumptions!$C$114*Assumptions!$C$113/(Assumptions!$G$10*0.001) /10^9</f>
        <v>0.74469814087879027</v>
      </c>
      <c r="Q14" s="42">
        <f t="shared" si="0"/>
        <v>73.864901890780104</v>
      </c>
      <c r="S14" s="29" t="str">
        <f t="shared" si="1"/>
        <v>(240,85,70,12,0.17)</v>
      </c>
    </row>
    <row r="15" spans="2:19" ht="16.95" customHeight="1">
      <c r="B15" s="4">
        <v>12</v>
      </c>
      <c r="C15" s="39">
        <v>240</v>
      </c>
      <c r="D15" s="39">
        <v>81</v>
      </c>
      <c r="E15" s="37">
        <v>80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42.110730305066035</v>
      </c>
      <c r="I15" s="40">
        <f>E15*Assumptions!$C$46/(Assumptions!$C$10*0.001) /10^9</f>
        <v>3.9463905003628286</v>
      </c>
      <c r="J15" s="40">
        <f>D15*Assumptions!$C$56/(Assumptions!$C$10*0.001) /10^9</f>
        <v>4.5061026981217687</v>
      </c>
      <c r="K15" s="40">
        <f>F15*Assumptions!$C$65/(Assumptions!$C$10*0.001) /10^9</f>
        <v>4.6589332295950063</v>
      </c>
      <c r="L15" s="47">
        <f>4</f>
        <v>4</v>
      </c>
      <c r="M15" s="39">
        <v>17.87</v>
      </c>
      <c r="N15" s="39">
        <v>11</v>
      </c>
      <c r="O15" s="44">
        <f>N15*Assumptions!$C$97/(Assumptions!$G$10*0.001) /10^9*M15/100</f>
        <v>1.299411180644334</v>
      </c>
      <c r="P15" s="48">
        <f>Assumptions!$C$114*Assumptions!$C$113/(Assumptions!$G$10*0.001) /10^9</f>
        <v>0.74469814087879027</v>
      </c>
      <c r="Q15" s="42">
        <f t="shared" si="0"/>
        <v>74.100046924233979</v>
      </c>
      <c r="S15" s="29" t="str">
        <f t="shared" si="1"/>
        <v>(240,81,80,11,0.18)</v>
      </c>
    </row>
    <row r="16" spans="2:19" ht="16.95" customHeight="1">
      <c r="B16" s="4">
        <v>12</v>
      </c>
      <c r="C16" s="39">
        <v>240</v>
      </c>
      <c r="D16" s="39">
        <v>79</v>
      </c>
      <c r="E16" s="37">
        <v>90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42.110730305066035</v>
      </c>
      <c r="I16" s="40">
        <f>E16*Assumptions!$C$46/(Assumptions!$C$10*0.001) /10^9</f>
        <v>4.4396893129081834</v>
      </c>
      <c r="J16" s="40">
        <f>D16*Assumptions!$C$56/(Assumptions!$C$10*0.001) /10^9</f>
        <v>4.3948409031064157</v>
      </c>
      <c r="K16" s="40">
        <f>F16*Assumptions!$C$65/(Assumptions!$C$10*0.001) /10^9</f>
        <v>4.6589332295950063</v>
      </c>
      <c r="L16" s="47">
        <f>4</f>
        <v>4</v>
      </c>
      <c r="M16" s="39">
        <v>18.489999999999998</v>
      </c>
      <c r="N16" s="39">
        <v>11</v>
      </c>
      <c r="O16" s="44">
        <f>N16*Assumptions!$C$97/(Assumptions!$G$10*0.001) /10^9*M16/100</f>
        <v>1.3444942770069239</v>
      </c>
      <c r="P16" s="48">
        <f>Assumptions!$C$114*Assumptions!$C$113/(Assumptions!$G$10*0.001) /10^9</f>
        <v>0.74469814087879027</v>
      </c>
      <c r="Q16" s="42">
        <f t="shared" si="0"/>
        <v>74.527167038126578</v>
      </c>
      <c r="S16" s="29" t="str">
        <f t="shared" si="1"/>
        <v>(240,79,90,11,0.18)</v>
      </c>
    </row>
    <row r="17" spans="2:19" ht="16.95" customHeight="1">
      <c r="B17" s="4">
        <v>12</v>
      </c>
      <c r="C17" s="39">
        <v>240</v>
      </c>
      <c r="D17" s="39">
        <v>79</v>
      </c>
      <c r="E17" s="37">
        <v>100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42.110730305066035</v>
      </c>
      <c r="I17" s="40">
        <f>E17*Assumptions!$C$46/(Assumptions!$C$10*0.001) /10^9</f>
        <v>4.9329881254535364</v>
      </c>
      <c r="J17" s="40">
        <f>D17*Assumptions!$C$56/(Assumptions!$C$10*0.001) /10^9</f>
        <v>4.3948409031064157</v>
      </c>
      <c r="K17" s="40">
        <f>F17*Assumptions!$C$65/(Assumptions!$C$10*0.001) /10^9</f>
        <v>4.6589332295950063</v>
      </c>
      <c r="L17" s="47">
        <f>4</f>
        <v>4</v>
      </c>
      <c r="M17" s="39">
        <v>18.73</v>
      </c>
      <c r="N17" s="39">
        <v>11</v>
      </c>
      <c r="O17" s="44">
        <f>N17*Assumptions!$C$97/(Assumptions!$G$10*0.001) /10^9*M17/100</f>
        <v>1.3619457981795395</v>
      </c>
      <c r="P17" s="48">
        <f>Assumptions!$C$114*Assumptions!$C$113/(Assumptions!$G$10*0.001) /10^9</f>
        <v>0.74469814087879027</v>
      </c>
      <c r="Q17" s="42">
        <f t="shared" si="0"/>
        <v>75.037917371844543</v>
      </c>
      <c r="S17" s="29" t="str">
        <f t="shared" si="1"/>
        <v>(240,79,100,11,0.19)</v>
      </c>
    </row>
    <row r="18" spans="2:19" ht="16.95" customHeight="1">
      <c r="B18" s="4">
        <v>12</v>
      </c>
      <c r="C18" s="39">
        <v>250</v>
      </c>
      <c r="D18" s="39">
        <v>111</v>
      </c>
      <c r="E18" s="37">
        <v>30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43.86534406777713</v>
      </c>
      <c r="I18" s="40">
        <f>E18*Assumptions!$C$46/(Assumptions!$C$10*0.001) /10^9</f>
        <v>1.479896437636061</v>
      </c>
      <c r="J18" s="40">
        <f>D18*Assumptions!$C$56/(Assumptions!$C$10*0.001) /10^9</f>
        <v>6.1750296233520539</v>
      </c>
      <c r="K18" s="40">
        <f>F18*Assumptions!$C$65/(Assumptions!$C$10*0.001) /10^9</f>
        <v>4.6589332295950063</v>
      </c>
      <c r="L18" s="47">
        <f>4</f>
        <v>4</v>
      </c>
      <c r="M18" s="39">
        <v>3.51</v>
      </c>
      <c r="N18" s="39">
        <v>91</v>
      </c>
      <c r="O18" s="44">
        <f>N18*Assumptions!$C$97/(Assumptions!$G$10*0.001) /10^9*M18/100</f>
        <v>2.1114357491458846</v>
      </c>
      <c r="P18" s="48">
        <f>Assumptions!$C$114*Assumptions!$C$113/(Assumptions!$G$10*0.001) /10^9</f>
        <v>0.74469814087879027</v>
      </c>
      <c r="Q18" s="42">
        <f t="shared" si="0"/>
        <v>75.869118117950151</v>
      </c>
      <c r="S18" s="29" t="str">
        <f t="shared" si="1"/>
        <v>(250,111,30,91,0.04)</v>
      </c>
    </row>
    <row r="19" spans="2:19">
      <c r="B19" s="4">
        <v>12</v>
      </c>
      <c r="C19" s="39">
        <v>250</v>
      </c>
      <c r="D19" s="39">
        <v>84</v>
      </c>
      <c r="E19" s="37">
        <v>40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43.86534406777713</v>
      </c>
      <c r="I19" s="40">
        <f>E19*Assumptions!$C$46/(Assumptions!$C$10*0.001) /10^9</f>
        <v>1.9731952501814143</v>
      </c>
      <c r="J19" s="40">
        <f>D19*Assumptions!$C$56/(Assumptions!$C$10*0.001) /10^9</f>
        <v>4.6729953906447976</v>
      </c>
      <c r="K19" s="40">
        <f>F19*Assumptions!$C$65/(Assumptions!$C$10*0.001) /10^9</f>
        <v>4.6589332295950063</v>
      </c>
      <c r="L19" s="47">
        <f>4</f>
        <v>4</v>
      </c>
      <c r="M19" s="39">
        <v>13.49</v>
      </c>
      <c r="N19" s="39">
        <v>15</v>
      </c>
      <c r="O19" s="44">
        <f>N19*Assumptions!$C$97/(Assumptions!$G$10*0.001) /10^9*M19/100</f>
        <v>1.3376194353328634</v>
      </c>
      <c r="P19" s="48">
        <f>Assumptions!$C$114*Assumptions!$C$113/(Assumptions!$G$10*0.001) /10^9</f>
        <v>0.74469814087879027</v>
      </c>
      <c r="Q19" s="42">
        <f t="shared" si="0"/>
        <v>74.086566383975224</v>
      </c>
      <c r="S19" s="29" t="str">
        <f t="shared" si="1"/>
        <v>(250,84,40,15,0.13)</v>
      </c>
    </row>
    <row r="20" spans="2:19">
      <c r="B20" s="4">
        <v>12</v>
      </c>
      <c r="C20" s="39">
        <v>250</v>
      </c>
      <c r="D20" s="39">
        <v>71</v>
      </c>
      <c r="E20" s="37">
        <v>50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43.86534406777713</v>
      </c>
      <c r="I20" s="40">
        <f>E20*Assumptions!$C$46/(Assumptions!$C$10*0.001) /10^9</f>
        <v>2.4664940627267682</v>
      </c>
      <c r="J20" s="40">
        <f>D20*Assumptions!$C$56/(Assumptions!$C$10*0.001) /10^9</f>
        <v>3.9497937230450071</v>
      </c>
      <c r="K20" s="40">
        <f>F20*Assumptions!$C$65/(Assumptions!$C$10*0.001) /10^9</f>
        <v>4.6589332295950063</v>
      </c>
      <c r="L20" s="47">
        <f>4</f>
        <v>4</v>
      </c>
      <c r="M20" s="39">
        <v>19.02</v>
      </c>
      <c r="N20" s="39">
        <v>11</v>
      </c>
      <c r="O20" s="44">
        <f>N20*Assumptions!$C$97/(Assumptions!$G$10*0.001) /10^9*M20/100</f>
        <v>1.3830330529297834</v>
      </c>
      <c r="P20" s="48">
        <f>Assumptions!$C$114*Assumptions!$C$113/(Assumptions!$G$10*0.001) /10^9</f>
        <v>0.74469814087879027</v>
      </c>
      <c r="Q20" s="42">
        <f t="shared" si="0"/>
        <v>73.902077146517712</v>
      </c>
      <c r="S20" s="29" t="str">
        <f t="shared" si="1"/>
        <v>(250,71,50,11,0.19)</v>
      </c>
    </row>
    <row r="21" spans="2:19">
      <c r="B21" s="4">
        <v>12</v>
      </c>
      <c r="C21" s="39">
        <v>250</v>
      </c>
      <c r="D21" s="39">
        <v>69</v>
      </c>
      <c r="E21" s="37">
        <v>60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43.86534406777713</v>
      </c>
      <c r="I21" s="40">
        <f>E21*Assumptions!$C$46/(Assumptions!$C$10*0.001) /10^9</f>
        <v>2.9597928752721221</v>
      </c>
      <c r="J21" s="40">
        <f>D21*Assumptions!$C$56/(Assumptions!$C$10*0.001) /10^9</f>
        <v>3.8385319280296546</v>
      </c>
      <c r="K21" s="40">
        <f>F21*Assumptions!$C$65/(Assumptions!$C$10*0.001) /10^9</f>
        <v>4.6589332295950063</v>
      </c>
      <c r="L21" s="47">
        <f>4</f>
        <v>4</v>
      </c>
      <c r="M21" s="39">
        <v>22.2</v>
      </c>
      <c r="N21" s="39">
        <v>9</v>
      </c>
      <c r="O21" s="44">
        <f>N21*Assumptions!$C$97/(Assumptions!$G$10*0.001) /10^9*M21/100</f>
        <v>1.3207628523820412</v>
      </c>
      <c r="P21" s="48">
        <f>Assumptions!$C$114*Assumptions!$C$113/(Assumptions!$G$10*0.001) /10^9</f>
        <v>0.74469814087879027</v>
      </c>
      <c r="Q21" s="42">
        <f t="shared" si="0"/>
        <v>74.221843963499964</v>
      </c>
      <c r="S21" s="29" t="str">
        <f t="shared" si="1"/>
        <v>(250,69,60,9,0.22)</v>
      </c>
    </row>
    <row r="22" spans="2:19">
      <c r="B22" s="4">
        <v>12</v>
      </c>
      <c r="C22" s="39">
        <v>250</v>
      </c>
      <c r="D22" s="39">
        <v>68</v>
      </c>
      <c r="E22" s="37">
        <v>70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43.86534406777713</v>
      </c>
      <c r="I22" s="40">
        <f>E22*Assumptions!$C$46/(Assumptions!$C$10*0.001) /10^9</f>
        <v>3.4530916878174751</v>
      </c>
      <c r="J22" s="40">
        <f>D22*Assumptions!$C$56/(Assumptions!$C$10*0.001) /10^9</f>
        <v>3.782901030521979</v>
      </c>
      <c r="K22" s="40">
        <f>F22*Assumptions!$C$65/(Assumptions!$C$10*0.001) /10^9</f>
        <v>4.6589332295950063</v>
      </c>
      <c r="L22" s="47">
        <f>4</f>
        <v>4</v>
      </c>
      <c r="M22" s="39">
        <v>24.08</v>
      </c>
      <c r="N22" s="39">
        <v>8</v>
      </c>
      <c r="O22" s="44">
        <f>N22*Assumptions!$C$97/(Assumptions!$G$10*0.001) /10^9*M22/100</f>
        <v>1.2734322116260082</v>
      </c>
      <c r="P22" s="48">
        <f>Assumptions!$C$114*Assumptions!$C$113/(Assumptions!$G$10*0.001) /10^9</f>
        <v>0.74469814087879027</v>
      </c>
      <c r="Q22" s="42">
        <f t="shared" si="0"/>
        <v>74.612181237781598</v>
      </c>
      <c r="S22" s="29" t="str">
        <f t="shared" si="1"/>
        <v>(250,68,70,8,0.24)</v>
      </c>
    </row>
    <row r="23" spans="2:19">
      <c r="B23" s="4">
        <v>12</v>
      </c>
      <c r="C23" s="39">
        <v>250</v>
      </c>
      <c r="D23" s="39">
        <v>67</v>
      </c>
      <c r="E23" s="37">
        <v>80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43.86534406777713</v>
      </c>
      <c r="I23" s="40">
        <f>E23*Assumptions!$C$46/(Assumptions!$C$10*0.001) /10^9</f>
        <v>3.9463905003628286</v>
      </c>
      <c r="J23" s="40">
        <f>D23*Assumptions!$C$56/(Assumptions!$C$10*0.001) /10^9</f>
        <v>3.7272701330143021</v>
      </c>
      <c r="K23" s="40">
        <f>F23*Assumptions!$C$65/(Assumptions!$C$10*0.001) /10^9</f>
        <v>4.6589332295950063</v>
      </c>
      <c r="L23" s="47">
        <f>4</f>
        <v>4</v>
      </c>
      <c r="M23" s="39">
        <v>25.04</v>
      </c>
      <c r="N23" s="39">
        <v>8</v>
      </c>
      <c r="O23" s="44">
        <f>N23*Assumptions!$C$97/(Assumptions!$G$10*0.001) /10^9*M23/100</f>
        <v>1.3242002732190719</v>
      </c>
      <c r="P23" s="48">
        <f>Assumptions!$C$114*Assumptions!$C$113/(Assumptions!$G$10*0.001) /10^9</f>
        <v>0.74469814087879027</v>
      </c>
      <c r="Q23" s="42">
        <f t="shared" si="0"/>
        <v>75.100617214412367</v>
      </c>
      <c r="S23" s="29" t="str">
        <f t="shared" si="1"/>
        <v>(250,67,80,8,0.25)</v>
      </c>
    </row>
    <row r="24" spans="2:19">
      <c r="B24" s="4">
        <v>12</v>
      </c>
      <c r="C24" s="39">
        <v>250</v>
      </c>
      <c r="D24" s="39">
        <v>67</v>
      </c>
      <c r="E24" s="37">
        <v>90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43.86534406777713</v>
      </c>
      <c r="I24" s="40">
        <f>E24*Assumptions!$C$46/(Assumptions!$C$10*0.001) /10^9</f>
        <v>4.4396893129081834</v>
      </c>
      <c r="J24" s="40">
        <f>D24*Assumptions!$C$56/(Assumptions!$C$10*0.001) /10^9</f>
        <v>3.7272701330143021</v>
      </c>
      <c r="K24" s="40">
        <f>F24*Assumptions!$C$65/(Assumptions!$C$10*0.001) /10^9</f>
        <v>4.6589332295950063</v>
      </c>
      <c r="L24" s="47">
        <f>4</f>
        <v>4</v>
      </c>
      <c r="M24" s="39">
        <v>25.64</v>
      </c>
      <c r="N24" s="39">
        <v>8</v>
      </c>
      <c r="O24" s="44">
        <f>N24*Assumptions!$C$97/(Assumptions!$G$10*0.001) /10^9*M24/100</f>
        <v>1.3559303117147365</v>
      </c>
      <c r="P24" s="48">
        <f>Assumptions!$C$114*Assumptions!$C$113/(Assumptions!$G$10*0.001) /10^9</f>
        <v>0.74469814087879027</v>
      </c>
      <c r="Q24" s="42">
        <f t="shared" si="0"/>
        <v>75.625646065453367</v>
      </c>
      <c r="S24" s="29" t="str">
        <f t="shared" si="1"/>
        <v>(250,67,90,8,0.26)</v>
      </c>
    </row>
    <row r="25" spans="2:19">
      <c r="B25" s="4">
        <v>12</v>
      </c>
      <c r="C25" s="39">
        <v>250</v>
      </c>
      <c r="D25" s="39">
        <v>67</v>
      </c>
      <c r="E25" s="37">
        <v>100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43.86534406777713</v>
      </c>
      <c r="I25" s="40">
        <f>E25*Assumptions!$C$46/(Assumptions!$C$10*0.001) /10^9</f>
        <v>4.9329881254535364</v>
      </c>
      <c r="J25" s="40">
        <f>D25*Assumptions!$C$56/(Assumptions!$C$10*0.001) /10^9</f>
        <v>3.7272701330143021</v>
      </c>
      <c r="K25" s="40">
        <f>F25*Assumptions!$C$65/(Assumptions!$C$10*0.001) /10^9</f>
        <v>4.6589332295950063</v>
      </c>
      <c r="L25" s="47">
        <f>4</f>
        <v>4</v>
      </c>
      <c r="M25" s="39">
        <v>26.03</v>
      </c>
      <c r="N25" s="39">
        <v>8</v>
      </c>
      <c r="O25" s="44">
        <f>N25*Assumptions!$C$97/(Assumptions!$G$10*0.001) /10^9*M25/100</f>
        <v>1.3765548367369187</v>
      </c>
      <c r="P25" s="48">
        <f>Assumptions!$C$114*Assumptions!$C$113/(Assumptions!$G$10*0.001) /10^9</f>
        <v>0.74469814087879027</v>
      </c>
      <c r="Q25" s="42">
        <f t="shared" si="0"/>
        <v>76.1395694030209</v>
      </c>
      <c r="S25" s="29" t="str">
        <f t="shared" si="1"/>
        <v>(250,67,100,8,0.26)</v>
      </c>
    </row>
    <row r="26" spans="2:19">
      <c r="B26" s="4">
        <v>12</v>
      </c>
      <c r="C26" s="39">
        <v>260</v>
      </c>
      <c r="D26" s="39">
        <v>81</v>
      </c>
      <c r="E26" s="37">
        <v>30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45.619957830488204</v>
      </c>
      <c r="I26" s="40">
        <f>E26*Assumptions!$C$46/(Assumptions!$C$10*0.001) /10^9</f>
        <v>1.479896437636061</v>
      </c>
      <c r="J26" s="40">
        <f>D26*Assumptions!$C$56/(Assumptions!$C$10*0.001) /10^9</f>
        <v>4.5061026981217687</v>
      </c>
      <c r="K26" s="40">
        <f>F26*Assumptions!$C$65/(Assumptions!$C$10*0.001) /10^9</f>
        <v>4.6589332295950063</v>
      </c>
      <c r="L26" s="47">
        <f>4</f>
        <v>4</v>
      </c>
      <c r="M26" s="39">
        <v>11.05</v>
      </c>
      <c r="N26" s="39">
        <v>19</v>
      </c>
      <c r="O26" s="44">
        <f>N26*Assumptions!$C$97/(Assumptions!$G$10*0.001) /10^9*M26/100</f>
        <v>1.387858662950999</v>
      </c>
      <c r="P26" s="48">
        <f>Assumptions!$C$114*Assumptions!$C$113/(Assumptions!$G$10*0.001) /10^9</f>
        <v>0.74469814087879027</v>
      </c>
      <c r="Q26" s="42">
        <f t="shared" si="0"/>
        <v>75.231227869236065</v>
      </c>
      <c r="S26" s="29" t="str">
        <f t="shared" si="1"/>
        <v>(260,81,30,19,0.11)</v>
      </c>
    </row>
    <row r="27" spans="2:19">
      <c r="B27" s="4">
        <v>12</v>
      </c>
      <c r="C27" s="39">
        <v>260</v>
      </c>
      <c r="D27" s="39">
        <v>63</v>
      </c>
      <c r="E27" s="37">
        <v>40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45.619957830488204</v>
      </c>
      <c r="I27" s="40">
        <f>E27*Assumptions!$C$46/(Assumptions!$C$10*0.001) /10^9</f>
        <v>1.9731952501814143</v>
      </c>
      <c r="J27" s="40">
        <f>D27*Assumptions!$C$56/(Assumptions!$C$10*0.001) /10^9</f>
        <v>3.5047465429835976</v>
      </c>
      <c r="K27" s="40">
        <f>F27*Assumptions!$C$65/(Assumptions!$C$10*0.001) /10^9</f>
        <v>4.6589332295950063</v>
      </c>
      <c r="L27" s="47">
        <f>4</f>
        <v>4</v>
      </c>
      <c r="M27" s="39">
        <v>20.66</v>
      </c>
      <c r="N27" s="39">
        <v>10</v>
      </c>
      <c r="O27" s="44">
        <f>N27*Assumptions!$C$97/(Assumptions!$G$10*0.001) /10^9*M27/100</f>
        <v>1.3657137402508996</v>
      </c>
      <c r="P27" s="48">
        <f>Assumptions!$C$114*Assumptions!$C$113/(Assumptions!$G$10*0.001) /10^9</f>
        <v>0.74469814087879027</v>
      </c>
      <c r="Q27" s="42">
        <f t="shared" si="0"/>
        <v>74.701025603943123</v>
      </c>
      <c r="S27" s="29" t="str">
        <f t="shared" si="1"/>
        <v>(260,63,40,10,0.21)</v>
      </c>
    </row>
    <row r="28" spans="2:19">
      <c r="B28" s="4">
        <v>12</v>
      </c>
      <c r="C28" s="39">
        <v>260</v>
      </c>
      <c r="D28" s="39">
        <v>60</v>
      </c>
      <c r="E28" s="37">
        <v>50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45.619957830488204</v>
      </c>
      <c r="I28" s="40">
        <f>E28*Assumptions!$C$46/(Assumptions!$C$10*0.001) /10^9</f>
        <v>2.4664940627267682</v>
      </c>
      <c r="J28" s="40">
        <f>D28*Assumptions!$C$56/(Assumptions!$C$10*0.001) /10^9</f>
        <v>3.3378538504605695</v>
      </c>
      <c r="K28" s="40">
        <f>F28*Assumptions!$C$65/(Assumptions!$C$10*0.001) /10^9</f>
        <v>4.6589332295950063</v>
      </c>
      <c r="L28" s="47">
        <f>4</f>
        <v>4</v>
      </c>
      <c r="M28" s="39">
        <v>25.81</v>
      </c>
      <c r="N28" s="39">
        <v>8</v>
      </c>
      <c r="O28" s="44">
        <f>N28*Assumptions!$C$97/(Assumptions!$G$10*0.001) /10^9*M28/100</f>
        <v>1.3649204892885081</v>
      </c>
      <c r="P28" s="48">
        <f>Assumptions!$C$114*Assumptions!$C$113/(Assumptions!$G$10*0.001) /10^9</f>
        <v>0.74469814087879027</v>
      </c>
      <c r="Q28" s="42">
        <f t="shared" si="0"/>
        <v>75.026638473003075</v>
      </c>
      <c r="S28" s="29" t="str">
        <f t="shared" si="1"/>
        <v>(260,60,50,8,0.26)</v>
      </c>
    </row>
    <row r="29" spans="2:19">
      <c r="B29" s="4">
        <v>12</v>
      </c>
      <c r="C29" s="39">
        <v>260</v>
      </c>
      <c r="D29" s="39">
        <v>58</v>
      </c>
      <c r="E29" s="37">
        <v>60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45.619957830488204</v>
      </c>
      <c r="I29" s="40">
        <f>E29*Assumptions!$C$46/(Assumptions!$C$10*0.001) /10^9</f>
        <v>2.9597928752721221</v>
      </c>
      <c r="J29" s="40">
        <f>D29*Assumptions!$C$56/(Assumptions!$C$10*0.001) /10^9</f>
        <v>3.226592055445217</v>
      </c>
      <c r="K29" s="40">
        <f>F29*Assumptions!$C$65/(Assumptions!$C$10*0.001) /10^9</f>
        <v>4.6589332295950063</v>
      </c>
      <c r="L29" s="47">
        <f>4</f>
        <v>4</v>
      </c>
      <c r="M29" s="39">
        <v>28.82</v>
      </c>
      <c r="N29" s="39">
        <v>7</v>
      </c>
      <c r="O29" s="44">
        <f>N29*Assumptions!$C$97/(Assumptions!$G$10*0.001) /10^9*M29/100</f>
        <v>1.3335870762740389</v>
      </c>
      <c r="P29" s="48">
        <f>Assumptions!$C$114*Assumptions!$C$113/(Assumptions!$G$10*0.001) /10^9</f>
        <v>0.74469814087879027</v>
      </c>
      <c r="Q29" s="42">
        <f t="shared" si="0"/>
        <v>75.377342077518605</v>
      </c>
      <c r="S29" s="29" t="str">
        <f t="shared" si="1"/>
        <v>(260,58,60,7,0.29)</v>
      </c>
    </row>
    <row r="30" spans="2:19">
      <c r="B30" s="4">
        <v>12</v>
      </c>
      <c r="C30" s="39">
        <v>260</v>
      </c>
      <c r="D30" s="39">
        <v>57</v>
      </c>
      <c r="E30" s="37">
        <v>70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45.619957830488204</v>
      </c>
      <c r="I30" s="40">
        <f>E30*Assumptions!$C$46/(Assumptions!$C$10*0.001) /10^9</f>
        <v>3.4530916878174751</v>
      </c>
      <c r="J30" s="40">
        <f>D30*Assumptions!$C$56/(Assumptions!$C$10*0.001) /10^9</f>
        <v>3.170961157937541</v>
      </c>
      <c r="K30" s="40">
        <f>F30*Assumptions!$C$65/(Assumptions!$C$10*0.001) /10^9</f>
        <v>4.6589332295950063</v>
      </c>
      <c r="L30" s="47">
        <f>4</f>
        <v>4</v>
      </c>
      <c r="M30" s="39">
        <v>30.61</v>
      </c>
      <c r="N30" s="39">
        <v>7</v>
      </c>
      <c r="O30" s="44">
        <f>N30*Assumptions!$C$97/(Assumptions!$G$10*0.001) /10^9*M30/100</f>
        <v>1.4164156975970972</v>
      </c>
      <c r="P30" s="48">
        <f>Assumptions!$C$114*Assumptions!$C$113/(Assumptions!$G$10*0.001) /10^9</f>
        <v>0.74469814087879027</v>
      </c>
      <c r="Q30" s="42">
        <f t="shared" si="0"/>
        <v>75.897838613879344</v>
      </c>
      <c r="S30" s="29" t="str">
        <f t="shared" si="1"/>
        <v>(260,57,70,7,0.31)</v>
      </c>
    </row>
    <row r="31" spans="2:19">
      <c r="B31" s="4">
        <v>12</v>
      </c>
      <c r="C31" s="39">
        <v>260</v>
      </c>
      <c r="D31" s="39">
        <v>56</v>
      </c>
      <c r="E31" s="37">
        <v>80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45.619957830488204</v>
      </c>
      <c r="I31" s="40">
        <f>E31*Assumptions!$C$46/(Assumptions!$C$10*0.001) /10^9</f>
        <v>3.9463905003628286</v>
      </c>
      <c r="J31" s="40">
        <f>D31*Assumptions!$C$56/(Assumptions!$C$10*0.001) /10^9</f>
        <v>3.1153302604298649</v>
      </c>
      <c r="K31" s="40">
        <f>F31*Assumptions!$C$65/(Assumptions!$C$10*0.001) /10^9</f>
        <v>4.6589332295950063</v>
      </c>
      <c r="L31" s="47">
        <f>4</f>
        <v>4</v>
      </c>
      <c r="M31" s="39">
        <v>31.81</v>
      </c>
      <c r="N31" s="39">
        <v>6</v>
      </c>
      <c r="O31" s="44">
        <f>N31*Assumptions!$C$97/(Assumptions!$G$10*0.001) /10^9*M31/100</f>
        <v>1.2616656556838659</v>
      </c>
      <c r="P31" s="48">
        <f>Assumptions!$C$114*Assumptions!$C$113/(Assumptions!$G$10*0.001) /10^9</f>
        <v>0.74469814087879027</v>
      </c>
      <c r="Q31" s="42">
        <f t="shared" si="0"/>
        <v>76.180756487003791</v>
      </c>
      <c r="S31" s="29" t="str">
        <f t="shared" si="1"/>
        <v>(260,56,80,6,0.32)</v>
      </c>
    </row>
    <row r="32" spans="2:19">
      <c r="B32" s="4">
        <v>12</v>
      </c>
      <c r="C32" s="39">
        <v>260</v>
      </c>
      <c r="D32" s="39">
        <v>55</v>
      </c>
      <c r="E32" s="37">
        <v>90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45.619957830488204</v>
      </c>
      <c r="I32" s="40">
        <f>E32*Assumptions!$C$46/(Assumptions!$C$10*0.001) /10^9</f>
        <v>4.4396893129081834</v>
      </c>
      <c r="J32" s="40">
        <f>D32*Assumptions!$C$56/(Assumptions!$C$10*0.001) /10^9</f>
        <v>3.0596993629221889</v>
      </c>
      <c r="K32" s="40">
        <f>F32*Assumptions!$C$65/(Assumptions!$C$10*0.001) /10^9</f>
        <v>4.6589332295950063</v>
      </c>
      <c r="L32" s="47">
        <f>4</f>
        <v>4</v>
      </c>
      <c r="M32" s="39">
        <v>32.380000000000003</v>
      </c>
      <c r="N32" s="39">
        <v>6</v>
      </c>
      <c r="O32" s="44">
        <f>N32*Assumptions!$C$97/(Assumptions!$G$10*0.001) /10^9*M32/100</f>
        <v>1.2842733081120272</v>
      </c>
      <c r="P32" s="48">
        <f>Assumptions!$C$114*Assumptions!$C$113/(Assumptions!$G$10*0.001) /10^9</f>
        <v>0.74469814087879027</v>
      </c>
      <c r="Q32" s="42">
        <f t="shared" si="0"/>
        <v>76.641032054469633</v>
      </c>
      <c r="S32" s="29" t="str">
        <f t="shared" si="1"/>
        <v>(260,55,90,6,0.32)</v>
      </c>
    </row>
    <row r="33" spans="2:19">
      <c r="B33" s="4">
        <v>12</v>
      </c>
      <c r="C33" s="39">
        <v>260</v>
      </c>
      <c r="D33" s="39">
        <v>55</v>
      </c>
      <c r="E33" s="37">
        <v>100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45.619957830488204</v>
      </c>
      <c r="I33" s="40">
        <f>E33*Assumptions!$C$46/(Assumptions!$C$10*0.001) /10^9</f>
        <v>4.9329881254535364</v>
      </c>
      <c r="J33" s="40">
        <f>D33*Assumptions!$C$56/(Assumptions!$C$10*0.001) /10^9</f>
        <v>3.0596993629221889</v>
      </c>
      <c r="K33" s="40">
        <f>F33*Assumptions!$C$65/(Assumptions!$C$10*0.001) /10^9</f>
        <v>4.6589332295950063</v>
      </c>
      <c r="L33" s="47">
        <f>4</f>
        <v>4</v>
      </c>
      <c r="M33" s="39">
        <v>32.659999999999997</v>
      </c>
      <c r="N33" s="39">
        <v>6</v>
      </c>
      <c r="O33" s="44">
        <f>N33*Assumptions!$C$97/(Assumptions!$G$10*0.001) /10^9*M33/100</f>
        <v>1.2953788215855095</v>
      </c>
      <c r="P33" s="48">
        <f>Assumptions!$C$114*Assumptions!$C$113/(Assumptions!$G$10*0.001) /10^9</f>
        <v>0.74469814087879027</v>
      </c>
      <c r="Q33" s="42">
        <f t="shared" si="0"/>
        <v>77.145436380488462</v>
      </c>
      <c r="S33" s="29" t="str">
        <f t="shared" si="1"/>
        <v>(260,55,100,6,0.33)</v>
      </c>
    </row>
    <row r="34" spans="2:19">
      <c r="B34" s="4">
        <v>12</v>
      </c>
      <c r="C34" s="39">
        <v>270</v>
      </c>
      <c r="D34" s="39">
        <v>61</v>
      </c>
      <c r="E34" s="37">
        <v>30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47.374571593199285</v>
      </c>
      <c r="I34" s="40">
        <f>E34*Assumptions!$C$46/(Assumptions!$C$10*0.001) /10^9</f>
        <v>1.479896437636061</v>
      </c>
      <c r="J34" s="40">
        <f>D34*Assumptions!$C$56/(Assumptions!$C$10*0.001) /10^9</f>
        <v>3.393484747968246</v>
      </c>
      <c r="K34" s="40">
        <f>F34*Assumptions!$C$65/(Assumptions!$C$10*0.001) /10^9</f>
        <v>4.6589332295950063</v>
      </c>
      <c r="L34" s="47">
        <f>4</f>
        <v>4</v>
      </c>
      <c r="M34" s="39">
        <v>18.579999999999998</v>
      </c>
      <c r="N34" s="39">
        <v>11</v>
      </c>
      <c r="O34" s="44">
        <f>N34*Assumptions!$C$97/(Assumptions!$G$10*0.001) /10^9*M34/100</f>
        <v>1.3510385974466548</v>
      </c>
      <c r="P34" s="48">
        <f>Assumptions!$C$114*Assumptions!$C$113/(Assumptions!$G$10*0.001) /10^9</f>
        <v>0.74469814087879027</v>
      </c>
      <c r="Q34" s="42">
        <f t="shared" si="0"/>
        <v>75.836403616289275</v>
      </c>
      <c r="S34" s="29" t="str">
        <f t="shared" si="1"/>
        <v>(270,61,30,11,0.19)</v>
      </c>
    </row>
    <row r="35" spans="2:19">
      <c r="B35" s="4">
        <v>12</v>
      </c>
      <c r="C35" s="39">
        <v>270</v>
      </c>
      <c r="D35" s="39">
        <v>53</v>
      </c>
      <c r="E35" s="37">
        <v>40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47.374571593199285</v>
      </c>
      <c r="I35" s="40">
        <f>E35*Assumptions!$C$46/(Assumptions!$C$10*0.001) /10^9</f>
        <v>1.9731952501814143</v>
      </c>
      <c r="J35" s="40">
        <f>D35*Assumptions!$C$56/(Assumptions!$C$10*0.001) /10^9</f>
        <v>2.9484375679068364</v>
      </c>
      <c r="K35" s="40">
        <f>F35*Assumptions!$C$65/(Assumptions!$C$10*0.001) /10^9</f>
        <v>4.6589332295950063</v>
      </c>
      <c r="L35" s="47">
        <f>4</f>
        <v>4</v>
      </c>
      <c r="M35" s="39">
        <v>27.51</v>
      </c>
      <c r="N35" s="39">
        <v>7</v>
      </c>
      <c r="O35" s="44">
        <f>N35*Assumptions!$C$97/(Assumptions!$G$10*0.001) /10^9*M35/100</f>
        <v>1.2729694818979465</v>
      </c>
      <c r="P35" s="48">
        <f>Assumptions!$C$114*Assumptions!$C$113/(Assumptions!$G$10*0.001) /10^9</f>
        <v>0.74469814087879027</v>
      </c>
      <c r="Q35" s="42">
        <f t="shared" si="0"/>
        <v>75.806586133224499</v>
      </c>
      <c r="S35" s="29" t="str">
        <f t="shared" si="1"/>
        <v>(270,53,40,7,0.28)</v>
      </c>
    </row>
    <row r="36" spans="2:19">
      <c r="B36" s="4">
        <v>12</v>
      </c>
      <c r="C36" s="39">
        <v>270</v>
      </c>
      <c r="D36" s="39">
        <v>50</v>
      </c>
      <c r="E36" s="37">
        <v>50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47.374571593199285</v>
      </c>
      <c r="I36" s="40">
        <f>E36*Assumptions!$C$46/(Assumptions!$C$10*0.001) /10^9</f>
        <v>2.4664940627267682</v>
      </c>
      <c r="J36" s="40">
        <f>D36*Assumptions!$C$56/(Assumptions!$C$10*0.001) /10^9</f>
        <v>2.7815448753838083</v>
      </c>
      <c r="K36" s="40">
        <f>F36*Assumptions!$C$65/(Assumptions!$C$10*0.001) /10^9</f>
        <v>4.6589332295950063</v>
      </c>
      <c r="L36" s="47">
        <f>4</f>
        <v>4</v>
      </c>
      <c r="M36" s="39">
        <v>32.18</v>
      </c>
      <c r="N36" s="39">
        <v>6</v>
      </c>
      <c r="O36" s="44">
        <f>N36*Assumptions!$C$97/(Assumptions!$G$10*0.001) /10^9*M36/100</f>
        <v>1.2763407984881108</v>
      </c>
      <c r="P36" s="48">
        <f>Assumptions!$C$114*Assumptions!$C$113/(Assumptions!$G$10*0.001) /10^9</f>
        <v>0.74469814087879027</v>
      </c>
      <c r="Q36" s="42">
        <f t="shared" si="0"/>
        <v>76.136363569836988</v>
      </c>
      <c r="S36" s="29" t="str">
        <f t="shared" si="1"/>
        <v>(270,50,50,6,0.32)</v>
      </c>
    </row>
    <row r="37" spans="2:19">
      <c r="B37" s="4">
        <v>12</v>
      </c>
      <c r="C37" s="39">
        <v>270</v>
      </c>
      <c r="D37" s="39">
        <v>47</v>
      </c>
      <c r="E37" s="37">
        <v>60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47.374571593199285</v>
      </c>
      <c r="I37" s="40">
        <f>E37*Assumptions!$C$46/(Assumptions!$C$10*0.001) /10^9</f>
        <v>2.9597928752721221</v>
      </c>
      <c r="J37" s="40">
        <f>D37*Assumptions!$C$56/(Assumptions!$C$10*0.001) /10^9</f>
        <v>2.6146521828607794</v>
      </c>
      <c r="K37" s="40">
        <f>F37*Assumptions!$C$65/(Assumptions!$C$10*0.001) /10^9</f>
        <v>4.6589332295950063</v>
      </c>
      <c r="L37" s="47">
        <f>4</f>
        <v>4</v>
      </c>
      <c r="M37" s="39">
        <v>34.85</v>
      </c>
      <c r="N37" s="39">
        <v>6</v>
      </c>
      <c r="O37" s="44">
        <f>N37*Assumptions!$C$97/(Assumptions!$G$10*0.001) /10^9*M37/100</f>
        <v>1.3822398019673918</v>
      </c>
      <c r="P37" s="48">
        <f>Assumptions!$C$114*Assumptions!$C$113/(Assumptions!$G$10*0.001) /10^9</f>
        <v>0.74469814087879027</v>
      </c>
      <c r="Q37" s="42">
        <f t="shared" si="0"/>
        <v>76.568668693338594</v>
      </c>
      <c r="S37" s="29" t="str">
        <f t="shared" si="1"/>
        <v>(270,47,60,6,0.35)</v>
      </c>
    </row>
    <row r="38" spans="2:19">
      <c r="B38" s="4">
        <v>12</v>
      </c>
      <c r="C38" s="39">
        <v>270</v>
      </c>
      <c r="D38" s="39">
        <v>46</v>
      </c>
      <c r="E38" s="37">
        <v>70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47.374571593199285</v>
      </c>
      <c r="I38" s="40">
        <f>E38*Assumptions!$C$46/(Assumptions!$C$10*0.001) /10^9</f>
        <v>3.4530916878174751</v>
      </c>
      <c r="J38" s="40">
        <f>D38*Assumptions!$C$56/(Assumptions!$C$10*0.001) /10^9</f>
        <v>2.5590212853531038</v>
      </c>
      <c r="K38" s="40">
        <f>F38*Assumptions!$C$65/(Assumptions!$C$10*0.001) /10^9</f>
        <v>4.6589332295950063</v>
      </c>
      <c r="L38" s="47">
        <f>4</f>
        <v>4</v>
      </c>
      <c r="M38" s="39">
        <v>36.299999999999997</v>
      </c>
      <c r="N38" s="39">
        <v>6</v>
      </c>
      <c r="O38" s="44">
        <f>N38*Assumptions!$C$97/(Assumptions!$G$10*0.001) /10^9*M38/100</f>
        <v>1.4397504967407837</v>
      </c>
      <c r="P38" s="48">
        <f>Assumptions!$C$114*Assumptions!$C$113/(Assumptions!$G$10*0.001) /10^9</f>
        <v>0.74469814087879027</v>
      </c>
      <c r="Q38" s="42">
        <f t="shared" si="0"/>
        <v>77.063847303149672</v>
      </c>
      <c r="S38" s="29" t="str">
        <f t="shared" si="1"/>
        <v>(270,46,70,6,0.36)</v>
      </c>
    </row>
    <row r="39" spans="2:19">
      <c r="B39" s="4">
        <v>12</v>
      </c>
      <c r="C39" s="39">
        <v>270</v>
      </c>
      <c r="D39" s="39">
        <v>45</v>
      </c>
      <c r="E39" s="37">
        <v>80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47.374571593199285</v>
      </c>
      <c r="I39" s="40">
        <f>E39*Assumptions!$C$46/(Assumptions!$C$10*0.001) /10^9</f>
        <v>3.9463905003628286</v>
      </c>
      <c r="J39" s="40">
        <f>D39*Assumptions!$C$56/(Assumptions!$C$10*0.001) /10^9</f>
        <v>2.5033903878454269</v>
      </c>
      <c r="K39" s="40">
        <f>F39*Assumptions!$C$65/(Assumptions!$C$10*0.001) /10^9</f>
        <v>4.6589332295950063</v>
      </c>
      <c r="L39" s="47">
        <f>4</f>
        <v>4</v>
      </c>
      <c r="M39" s="39">
        <v>37.200000000000003</v>
      </c>
      <c r="N39" s="39">
        <v>6</v>
      </c>
      <c r="O39" s="44">
        <f>N39*Assumptions!$C$97/(Assumptions!$G$10*0.001) /10^9*M39/100</f>
        <v>1.4754467900484067</v>
      </c>
      <c r="P39" s="48">
        <f>Assumptions!$C$114*Assumptions!$C$113/(Assumptions!$G$10*0.001) /10^9</f>
        <v>0.74469814087879027</v>
      </c>
      <c r="Q39" s="42">
        <f t="shared" si="0"/>
        <v>77.537211511494974</v>
      </c>
      <c r="S39" s="29" t="str">
        <f t="shared" si="1"/>
        <v>(270,45,80,6,0.37)</v>
      </c>
    </row>
    <row r="40" spans="2:19">
      <c r="B40" s="4">
        <v>12</v>
      </c>
      <c r="C40" s="39">
        <v>270</v>
      </c>
      <c r="D40" s="39">
        <v>44</v>
      </c>
      <c r="E40" s="37">
        <v>90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47.374571593199285</v>
      </c>
      <c r="I40" s="40">
        <f>E40*Assumptions!$C$46/(Assumptions!$C$10*0.001) /10^9</f>
        <v>4.4396893129081834</v>
      </c>
      <c r="J40" s="40">
        <f>D40*Assumptions!$C$56/(Assumptions!$C$10*0.001) /10^9</f>
        <v>2.4477594903377509</v>
      </c>
      <c r="K40" s="40">
        <f>F40*Assumptions!$C$65/(Assumptions!$C$10*0.001) /10^9</f>
        <v>4.6589332295950063</v>
      </c>
      <c r="L40" s="47">
        <f>4</f>
        <v>4</v>
      </c>
      <c r="M40" s="39">
        <v>37.78</v>
      </c>
      <c r="N40" s="39">
        <v>5</v>
      </c>
      <c r="O40" s="44">
        <f>N40*Assumptions!$C$97/(Assumptions!$G$10*0.001) /10^9*M40/100</f>
        <v>1.2487092232981363</v>
      </c>
      <c r="P40" s="48">
        <f>Assumptions!$C$114*Assumptions!$C$113/(Assumptions!$G$10*0.001) /10^9</f>
        <v>0.74469814087879027</v>
      </c>
      <c r="Q40" s="42">
        <f t="shared" si="0"/>
        <v>77.748141859782365</v>
      </c>
      <c r="S40" s="29" t="str">
        <f t="shared" si="1"/>
        <v>(270,44,90,5,0.38)</v>
      </c>
    </row>
    <row r="41" spans="2:19">
      <c r="B41" s="4">
        <v>12</v>
      </c>
      <c r="C41" s="39">
        <v>270</v>
      </c>
      <c r="D41" s="39">
        <v>44</v>
      </c>
      <c r="E41" s="37">
        <v>100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47.374571593199285</v>
      </c>
      <c r="I41" s="40">
        <f>E41*Assumptions!$C$46/(Assumptions!$C$10*0.001) /10^9</f>
        <v>4.9329881254535364</v>
      </c>
      <c r="J41" s="40">
        <f>D41*Assumptions!$C$56/(Assumptions!$C$10*0.001) /10^9</f>
        <v>2.4477594903377509</v>
      </c>
      <c r="K41" s="40">
        <f>F41*Assumptions!$C$65/(Assumptions!$C$10*0.001) /10^9</f>
        <v>4.6589332295950063</v>
      </c>
      <c r="L41" s="47">
        <f>4</f>
        <v>4</v>
      </c>
      <c r="M41" s="39">
        <v>38.090000000000003</v>
      </c>
      <c r="N41" s="39">
        <v>5</v>
      </c>
      <c r="O41" s="44">
        <f>N41*Assumptions!$C$97/(Assumptions!$G$10*0.001) /10^9*M41/100</f>
        <v>1.2589553815623613</v>
      </c>
      <c r="P41" s="48">
        <f>Assumptions!$C$114*Assumptions!$C$113/(Assumptions!$G$10*0.001) /10^9</f>
        <v>0.74469814087879027</v>
      </c>
      <c r="Q41" s="42">
        <f t="shared" si="0"/>
        <v>78.25168683059195</v>
      </c>
      <c r="S41" s="29" t="str">
        <f t="shared" si="1"/>
        <v>(270,44,100,5,0.38)</v>
      </c>
    </row>
    <row r="42" spans="2:19">
      <c r="B42" s="4">
        <v>12</v>
      </c>
      <c r="C42" s="39">
        <v>280</v>
      </c>
      <c r="D42" s="39">
        <v>74</v>
      </c>
      <c r="E42" s="37">
        <v>20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49.129185355910373</v>
      </c>
      <c r="I42" s="40">
        <f>E42*Assumptions!$C$46/(Assumptions!$C$10*0.001) /10^9</f>
        <v>0.98659762509070714</v>
      </c>
      <c r="J42" s="40">
        <f>D42*Assumptions!$C$56/(Assumptions!$C$10*0.001) /10^9</f>
        <v>4.1166864155680347</v>
      </c>
      <c r="K42" s="40">
        <f>F42*Assumptions!$C$65/(Assumptions!$C$10*0.001) /10^9</f>
        <v>4.6589332295950063</v>
      </c>
      <c r="L42" s="47">
        <f>4</f>
        <v>4</v>
      </c>
      <c r="M42" s="39">
        <v>7.47</v>
      </c>
      <c r="N42" s="39">
        <v>28</v>
      </c>
      <c r="O42" s="44">
        <f>N42*Assumptions!$C$97/(Assumptions!$G$10*0.001) /10^9*M42/100</f>
        <v>1.3826364274485874</v>
      </c>
      <c r="P42" s="48">
        <f>Assumptions!$C$114*Assumptions!$C$113/(Assumptions!$G$10*0.001) /10^9</f>
        <v>0.74469814087879027</v>
      </c>
      <c r="Q42" s="42">
        <f t="shared" si="0"/>
        <v>77.852518064056724</v>
      </c>
      <c r="S42" s="29" t="str">
        <f t="shared" si="1"/>
        <v>(280,74,20,28,0.07)</v>
      </c>
    </row>
    <row r="43" spans="2:19">
      <c r="B43" s="4">
        <v>12</v>
      </c>
      <c r="C43" s="39">
        <v>280</v>
      </c>
      <c r="D43" s="39">
        <v>52</v>
      </c>
      <c r="E43" s="37">
        <v>30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49.129185355910373</v>
      </c>
      <c r="I43" s="40">
        <f>E43*Assumptions!$C$46/(Assumptions!$C$10*0.001) /10^9</f>
        <v>1.479896437636061</v>
      </c>
      <c r="J43" s="40">
        <f>D43*Assumptions!$C$56/(Assumptions!$C$10*0.001) /10^9</f>
        <v>2.89280667039916</v>
      </c>
      <c r="K43" s="40">
        <f>F43*Assumptions!$C$65/(Assumptions!$C$10*0.001) /10^9</f>
        <v>4.6589332295950063</v>
      </c>
      <c r="L43" s="47">
        <f>4</f>
        <v>4</v>
      </c>
      <c r="M43" s="39">
        <v>25.46</v>
      </c>
      <c r="N43" s="39">
        <v>8</v>
      </c>
      <c r="O43" s="44">
        <f>N43*Assumptions!$C$97/(Assumptions!$G$10*0.001) /10^9*M43/100</f>
        <v>1.3464113001660372</v>
      </c>
      <c r="P43" s="48">
        <f>Assumptions!$C$114*Assumptions!$C$113/(Assumptions!$G$10*0.001) /10^9</f>
        <v>0.74469814087879027</v>
      </c>
      <c r="Q43" s="42">
        <f t="shared" si="0"/>
        <v>77.085712004150651</v>
      </c>
      <c r="S43" s="29" t="str">
        <f t="shared" si="1"/>
        <v>(280,52,30,8,0.25)</v>
      </c>
    </row>
    <row r="44" spans="2:19">
      <c r="B44" s="4">
        <v>12</v>
      </c>
      <c r="C44" s="39">
        <v>280</v>
      </c>
      <c r="D44" s="39">
        <v>44</v>
      </c>
      <c r="E44" s="37">
        <v>40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49.129185355910373</v>
      </c>
      <c r="I44" s="40">
        <f>E44*Assumptions!$C$46/(Assumptions!$C$10*0.001) /10^9</f>
        <v>1.9731952501814143</v>
      </c>
      <c r="J44" s="40">
        <f>D44*Assumptions!$C$56/(Assumptions!$C$10*0.001) /10^9</f>
        <v>2.4477594903377509</v>
      </c>
      <c r="K44" s="40">
        <f>F44*Assumptions!$C$65/(Assumptions!$C$10*0.001) /10^9</f>
        <v>4.6589332295950063</v>
      </c>
      <c r="L44" s="47">
        <f>4</f>
        <v>4</v>
      </c>
      <c r="M44" s="39">
        <v>33.65</v>
      </c>
      <c r="N44" s="39">
        <v>6</v>
      </c>
      <c r="O44" s="44">
        <f>N44*Assumptions!$C$97/(Assumptions!$G$10*0.001) /10^9*M44/100</f>
        <v>1.3346447442238947</v>
      </c>
      <c r="P44" s="48">
        <f>Assumptions!$C$114*Assumptions!$C$113/(Assumptions!$G$10*0.001) /10^9</f>
        <v>0.74469814087879027</v>
      </c>
      <c r="Q44" s="42">
        <f t="shared" si="0"/>
        <v>77.122197080692445</v>
      </c>
      <c r="S44" s="29" t="str">
        <f t="shared" si="1"/>
        <v>(280,44,40,6,0.34)</v>
      </c>
    </row>
    <row r="45" spans="2:19">
      <c r="B45" s="4">
        <v>12</v>
      </c>
      <c r="C45" s="39">
        <v>280</v>
      </c>
      <c r="D45" s="39">
        <v>42</v>
      </c>
      <c r="E45" s="37">
        <v>50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49.129185355910373</v>
      </c>
      <c r="I45" s="40">
        <f>E45*Assumptions!$C$46/(Assumptions!$C$10*0.001) /10^9</f>
        <v>2.4664940627267682</v>
      </c>
      <c r="J45" s="40">
        <f>D45*Assumptions!$C$56/(Assumptions!$C$10*0.001) /10^9</f>
        <v>2.3364976953223988</v>
      </c>
      <c r="K45" s="40">
        <f>F45*Assumptions!$C$65/(Assumptions!$C$10*0.001) /10^9</f>
        <v>4.6589332295950063</v>
      </c>
      <c r="L45" s="47">
        <f>4</f>
        <v>4</v>
      </c>
      <c r="M45" s="39">
        <v>37.94</v>
      </c>
      <c r="N45" s="39">
        <v>5</v>
      </c>
      <c r="O45" s="44">
        <f>N45*Assumptions!$C$97/(Assumptions!$G$10*0.001) /10^9*M45/100</f>
        <v>1.2539975630474136</v>
      </c>
      <c r="P45" s="48">
        <f>Assumptions!$C$114*Assumptions!$C$113/(Assumptions!$G$10*0.001) /10^9</f>
        <v>0.74469814087879027</v>
      </c>
      <c r="Q45" s="42">
        <f t="shared" si="0"/>
        <v>77.423586917045981</v>
      </c>
      <c r="S45" s="29" t="str">
        <f t="shared" si="1"/>
        <v>(280,42,50,5,0.38)</v>
      </c>
    </row>
    <row r="46" spans="2:19">
      <c r="B46" s="4">
        <v>12</v>
      </c>
      <c r="C46" s="39">
        <v>280</v>
      </c>
      <c r="D46" s="39">
        <v>42</v>
      </c>
      <c r="E46" s="37">
        <v>60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49.129185355910373</v>
      </c>
      <c r="I46" s="40">
        <f>E46*Assumptions!$C$46/(Assumptions!$C$10*0.001) /10^9</f>
        <v>2.9597928752721221</v>
      </c>
      <c r="J46" s="40">
        <f>D46*Assumptions!$C$56/(Assumptions!$C$10*0.001) /10^9</f>
        <v>2.3364976953223988</v>
      </c>
      <c r="K46" s="40">
        <f>F46*Assumptions!$C$65/(Assumptions!$C$10*0.001) /10^9</f>
        <v>4.6589332295950063</v>
      </c>
      <c r="L46" s="47">
        <f>4</f>
        <v>4</v>
      </c>
      <c r="M46" s="39">
        <v>40.44</v>
      </c>
      <c r="N46" s="39">
        <v>5</v>
      </c>
      <c r="O46" s="44">
        <f>N46*Assumptions!$C$97/(Assumptions!$G$10*0.001) /10^9*M46/100</f>
        <v>1.3366278716298736</v>
      </c>
      <c r="P46" s="48">
        <f>Assumptions!$C$114*Assumptions!$C$113/(Assumptions!$G$10*0.001) /10^9</f>
        <v>0.74469814087879027</v>
      </c>
      <c r="Q46" s="42">
        <f t="shared" si="0"/>
        <v>77.99951603817378</v>
      </c>
      <c r="S46" s="29" t="str">
        <f t="shared" si="1"/>
        <v>(280,42,60,5,0.4)</v>
      </c>
    </row>
    <row r="47" spans="2:19">
      <c r="B47" s="4">
        <v>12</v>
      </c>
      <c r="C47" s="39">
        <v>280</v>
      </c>
      <c r="D47" s="39">
        <v>42</v>
      </c>
      <c r="E47" s="37">
        <v>70</v>
      </c>
      <c r="F47" s="39">
        <v>100</v>
      </c>
      <c r="G47" s="40">
        <f>B47*Assumptions!$C$19*365*24*Assumptions!$D$26*1000/(Assumptions!$C$10*0.001) /10^9</f>
        <v>12.833780869565217</v>
      </c>
      <c r="H47" s="40">
        <f>C47*Assumptions!$C$20*365*24*Assumptions!$D$30*1000/(Assumptions!$C$10*0.001) /10^9</f>
        <v>49.129185355910373</v>
      </c>
      <c r="I47" s="40">
        <f>E47*Assumptions!$C$46/(Assumptions!$C$10*0.001) /10^9</f>
        <v>3.4530916878174751</v>
      </c>
      <c r="J47" s="40">
        <f>D47*Assumptions!$C$56/(Assumptions!$C$10*0.001) /10^9</f>
        <v>2.3364976953223988</v>
      </c>
      <c r="K47" s="40">
        <f>F47*Assumptions!$C$65/(Assumptions!$C$10*0.001) /10^9</f>
        <v>4.6589332295950063</v>
      </c>
      <c r="L47" s="47">
        <f>4</f>
        <v>4</v>
      </c>
      <c r="M47" s="39">
        <v>41.88</v>
      </c>
      <c r="N47" s="39">
        <v>5</v>
      </c>
      <c r="O47" s="44">
        <f>N47*Assumptions!$C$97/(Assumptions!$G$10*0.001) /10^9*M47/100</f>
        <v>1.3842229293733705</v>
      </c>
      <c r="P47" s="48">
        <f>Assumptions!$C$114*Assumptions!$C$113/(Assumptions!$G$10*0.001) /10^9</f>
        <v>0.74469814087879027</v>
      </c>
      <c r="Q47" s="42">
        <f t="shared" si="0"/>
        <v>78.540409908462621</v>
      </c>
      <c r="S47" s="29" t="str">
        <f t="shared" si="1"/>
        <v>(280,42,70,5,0.42)</v>
      </c>
    </row>
    <row r="48" spans="2:19">
      <c r="B48" s="4">
        <v>12</v>
      </c>
      <c r="C48" s="39">
        <v>280</v>
      </c>
      <c r="D48" s="39">
        <v>42</v>
      </c>
      <c r="E48" s="37">
        <v>80</v>
      </c>
      <c r="F48" s="39">
        <v>100</v>
      </c>
      <c r="G48" s="40">
        <f>B48*Assumptions!$C$19*365*24*Assumptions!$D$26*1000/(Assumptions!$C$10*0.001) /10^9</f>
        <v>12.833780869565217</v>
      </c>
      <c r="H48" s="40">
        <f>C48*Assumptions!$C$20*365*24*Assumptions!$D$30*1000/(Assumptions!$C$10*0.001) /10^9</f>
        <v>49.129185355910373</v>
      </c>
      <c r="I48" s="40">
        <f>E48*Assumptions!$C$46/(Assumptions!$C$10*0.001) /10^9</f>
        <v>3.9463905003628286</v>
      </c>
      <c r="J48" s="40">
        <f>D48*Assumptions!$C$56/(Assumptions!$C$10*0.001) /10^9</f>
        <v>2.3364976953223988</v>
      </c>
      <c r="K48" s="40">
        <f>F48*Assumptions!$C$65/(Assumptions!$C$10*0.001) /10^9</f>
        <v>4.6589332295950063</v>
      </c>
      <c r="L48" s="47">
        <f>4</f>
        <v>4</v>
      </c>
      <c r="M48" s="39">
        <v>42.79</v>
      </c>
      <c r="N48" s="39">
        <v>5</v>
      </c>
      <c r="O48" s="44">
        <f>N48*Assumptions!$C$97/(Assumptions!$G$10*0.001) /10^9*M48/100</f>
        <v>1.4143003616973859</v>
      </c>
      <c r="P48" s="48">
        <f>Assumptions!$C$114*Assumptions!$C$113/(Assumptions!$G$10*0.001) /10^9</f>
        <v>0.74469814087879027</v>
      </c>
      <c r="Q48" s="42">
        <f t="shared" si="0"/>
        <v>79.063786153332003</v>
      </c>
      <c r="S48" s="29" t="str">
        <f t="shared" si="1"/>
        <v>(280,42,80,5,0.43)</v>
      </c>
    </row>
    <row r="49" spans="2:19">
      <c r="B49" s="4">
        <v>12</v>
      </c>
      <c r="C49" s="39">
        <v>280</v>
      </c>
      <c r="D49" s="39">
        <v>42</v>
      </c>
      <c r="E49" s="37">
        <v>90</v>
      </c>
      <c r="F49" s="39">
        <v>100</v>
      </c>
      <c r="G49" s="40">
        <f>B49*Assumptions!$C$19*365*24*Assumptions!$D$26*1000/(Assumptions!$C$10*0.001) /10^9</f>
        <v>12.833780869565217</v>
      </c>
      <c r="H49" s="40">
        <f>C49*Assumptions!$C$20*365*24*Assumptions!$D$30*1000/(Assumptions!$C$10*0.001) /10^9</f>
        <v>49.129185355910373</v>
      </c>
      <c r="I49" s="40">
        <f>E49*Assumptions!$C$46/(Assumptions!$C$10*0.001) /10^9</f>
        <v>4.4396893129081834</v>
      </c>
      <c r="J49" s="40">
        <f>D49*Assumptions!$C$56/(Assumptions!$C$10*0.001) /10^9</f>
        <v>2.3364976953223988</v>
      </c>
      <c r="K49" s="40">
        <f>F49*Assumptions!$C$65/(Assumptions!$C$10*0.001) /10^9</f>
        <v>4.6589332295950063</v>
      </c>
      <c r="L49" s="47">
        <f>4</f>
        <v>4</v>
      </c>
      <c r="M49" s="39">
        <v>43.3</v>
      </c>
      <c r="N49" s="39">
        <v>5</v>
      </c>
      <c r="O49" s="44">
        <f>N49*Assumptions!$C$97/(Assumptions!$G$10*0.001) /10^9*M49/100</f>
        <v>1.431156944648208</v>
      </c>
      <c r="P49" s="48">
        <f>Assumptions!$C$114*Assumptions!$C$113/(Assumptions!$G$10*0.001) /10^9</f>
        <v>0.74469814087879027</v>
      </c>
      <c r="Q49" s="42">
        <f t="shared" si="0"/>
        <v>79.573941548828174</v>
      </c>
      <c r="S49" s="29" t="str">
        <f t="shared" si="1"/>
        <v>(280,42,90,5,0.43)</v>
      </c>
    </row>
    <row r="50" spans="2:19">
      <c r="B50" s="4">
        <v>12</v>
      </c>
      <c r="C50" s="39">
        <v>280</v>
      </c>
      <c r="D50" s="39">
        <v>42</v>
      </c>
      <c r="E50" s="37">
        <v>100</v>
      </c>
      <c r="F50" s="39">
        <v>100</v>
      </c>
      <c r="G50" s="40">
        <f>B50*Assumptions!$C$19*365*24*Assumptions!$D$26*1000/(Assumptions!$C$10*0.001) /10^9</f>
        <v>12.833780869565217</v>
      </c>
      <c r="H50" s="40">
        <f>C50*Assumptions!$C$20*365*24*Assumptions!$D$30*1000/(Assumptions!$C$10*0.001) /10^9</f>
        <v>49.129185355910373</v>
      </c>
      <c r="I50" s="40">
        <f>E50*Assumptions!$C$46/(Assumptions!$C$10*0.001) /10^9</f>
        <v>4.9329881254535364</v>
      </c>
      <c r="J50" s="40">
        <f>D50*Assumptions!$C$56/(Assumptions!$C$10*0.001) /10^9</f>
        <v>2.3364976953223988</v>
      </c>
      <c r="K50" s="40">
        <f>F50*Assumptions!$C$65/(Assumptions!$C$10*0.001) /10^9</f>
        <v>4.6589332295950063</v>
      </c>
      <c r="L50" s="47">
        <f>4</f>
        <v>4</v>
      </c>
      <c r="M50" s="39">
        <v>43.63</v>
      </c>
      <c r="N50" s="39">
        <v>5</v>
      </c>
      <c r="O50" s="44">
        <f>N50*Assumptions!$C$97/(Assumptions!$G$10*0.001) /10^9*M50/100</f>
        <v>1.4420641453810927</v>
      </c>
      <c r="P50" s="48">
        <f>Assumptions!$C$114*Assumptions!$C$113/(Assumptions!$G$10*0.001) /10^9</f>
        <v>0.74469814087879027</v>
      </c>
      <c r="Q50" s="42">
        <f t="shared" si="0"/>
        <v>80.078147562106423</v>
      </c>
      <c r="S50" s="29" t="str">
        <f>CONCATENATE("(",C50,",",D50,",",E50,",",ROUND(N50,0),",",ROUND(M50/100,2),")")</f>
        <v>(280,42,100,5,0.44)</v>
      </c>
    </row>
  </sheetData>
  <autoFilter ref="B4:N4">
    <sortState ref="B5:N64">
      <sortCondition ref="B4:B64"/>
    </sortState>
  </autoFilter>
  <mergeCells count="2">
    <mergeCell ref="G2:L2"/>
    <mergeCell ref="M2:R2"/>
  </mergeCells>
  <phoneticPr fontId="15"/>
  <conditionalFormatting sqref="C5:C50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46"/>
  <sheetViews>
    <sheetView showGridLines="0" topLeftCell="D1" zoomScale="85" zoomScaleNormal="85" workbookViewId="0">
      <pane ySplit="4" topLeftCell="A5" activePane="bottomLeft" state="frozen"/>
      <selection pane="bottomLeft" activeCell="H5" sqref="H5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  <col min="21" max="21" width="11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  <c r="U4" s="4" t="s">
        <v>86</v>
      </c>
    </row>
    <row r="5" spans="2:21">
      <c r="B5" s="38">
        <v>12</v>
      </c>
      <c r="C5" s="39">
        <v>230</v>
      </c>
      <c r="D5" s="39">
        <v>116</v>
      </c>
      <c r="E5" s="37">
        <v>70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40.35611654235494</v>
      </c>
      <c r="I5" s="40">
        <f>E5*Assumptions!$C$46/(Assumptions!$C$10*0.001) /10^9</f>
        <v>3.4530916878174751</v>
      </c>
      <c r="J5" s="40">
        <f>D5*Assumptions!$C$56/(Assumptions!$C$10*0.001) /10^9</f>
        <v>6.453184110890434</v>
      </c>
      <c r="K5" s="40">
        <f>F5*Assumptions!$C$65/(Assumptions!$C$10*0.001) /10^9</f>
        <v>4.6589332295950063</v>
      </c>
      <c r="L5" s="47">
        <f>4</f>
        <v>4</v>
      </c>
      <c r="M5" s="39">
        <v>9.0299999999999994</v>
      </c>
      <c r="N5" s="39">
        <v>89</v>
      </c>
      <c r="O5" s="44">
        <f>N5*Assumptions!$C$97/(Assumptions!$G$12*0.001) /10^9*M5/100</f>
        <v>5.1262242496535206</v>
      </c>
      <c r="P5" s="48">
        <f>Assumptions!$C$114*Assumptions!$C$113/(Assumptions!$G$12*0.001) /10^9</f>
        <v>0.71857276338974674</v>
      </c>
      <c r="Q5" s="42">
        <f>SUM(G5:L5)+O5+P5</f>
        <v>77.599903453266336</v>
      </c>
      <c r="S5" s="29" t="str">
        <f>CONCATENATE("(",C5,",",D5,",",E5,",",F5,",",ROUND(N5,0),",",ROUND(M5/100,2),")")</f>
        <v>(230,116,70,100,89,0.09)</v>
      </c>
      <c r="U5" s="29" t="str">
        <f>CONCATENATE("(",C5,",",D5,",",E5,")")</f>
        <v>(230,116,70)</v>
      </c>
    </row>
    <row r="6" spans="2:21">
      <c r="B6" s="38">
        <v>12</v>
      </c>
      <c r="C6" s="39">
        <v>230</v>
      </c>
      <c r="D6" s="39">
        <v>113</v>
      </c>
      <c r="E6" s="37">
        <v>80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40.35611654235494</v>
      </c>
      <c r="I6" s="40">
        <f>E6*Assumptions!$C$46/(Assumptions!$C$10*0.001) /10^9</f>
        <v>3.9463905003628286</v>
      </c>
      <c r="J6" s="40">
        <f>D6*Assumptions!$C$56/(Assumptions!$C$10*0.001) /10^9</f>
        <v>6.2862914183674059</v>
      </c>
      <c r="K6" s="40">
        <f>F6*Assumptions!$C$65/(Assumptions!$C$10*0.001) /10^9</f>
        <v>4.6589332295950063</v>
      </c>
      <c r="L6" s="47">
        <f>4</f>
        <v>4</v>
      </c>
      <c r="M6" s="39">
        <v>10.09</v>
      </c>
      <c r="N6" s="39">
        <v>66</v>
      </c>
      <c r="O6" s="44">
        <f>N6*Assumptions!$C$97/(Assumptions!$G$12*0.001) /10^9*M6/100</f>
        <v>4.2477108475049024</v>
      </c>
      <c r="P6" s="48">
        <f>Assumptions!$C$114*Assumptions!$C$113/(Assumptions!$G$12*0.001) /10^9</f>
        <v>0.71857276338974674</v>
      </c>
      <c r="Q6" s="42">
        <f t="shared" ref="Q6:Q46" si="0">SUM(G6:L6)+O6+P6</f>
        <v>77.04779617114005</v>
      </c>
      <c r="S6" s="29" t="str">
        <f t="shared" ref="S6:S46" si="1">CONCATENATE("(",C6,",",D6,",",E6,",",F6,",",ROUND(N6,0),",",ROUND(M6/100,2),")")</f>
        <v>(230,113,80,100,66,0.1)</v>
      </c>
      <c r="U6" s="29" t="str">
        <f t="shared" ref="U6:U46" si="2">CONCATENATE("(",C6,",",D6,",",E6,")")</f>
        <v>(230,113,80)</v>
      </c>
    </row>
    <row r="7" spans="2:21">
      <c r="B7" s="38">
        <v>12</v>
      </c>
      <c r="C7" s="39">
        <v>230</v>
      </c>
      <c r="D7" s="39">
        <v>111</v>
      </c>
      <c r="E7" s="37">
        <v>90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40.35611654235494</v>
      </c>
      <c r="I7" s="40">
        <f>E7*Assumptions!$C$46/(Assumptions!$C$10*0.001) /10^9</f>
        <v>4.4396893129081834</v>
      </c>
      <c r="J7" s="40">
        <f>D7*Assumptions!$C$56/(Assumptions!$C$10*0.001) /10^9</f>
        <v>6.1750296233520539</v>
      </c>
      <c r="K7" s="40">
        <f>F7*Assumptions!$C$65/(Assumptions!$C$10*0.001) /10^9</f>
        <v>4.6589332295950063</v>
      </c>
      <c r="L7" s="47">
        <f>4</f>
        <v>4</v>
      </c>
      <c r="M7" s="39">
        <v>10.54</v>
      </c>
      <c r="N7" s="39">
        <v>60</v>
      </c>
      <c r="O7" s="44">
        <f>N7*Assumptions!$C$97/(Assumptions!$G$12*0.001) /10^9*M7/100</f>
        <v>4.0337753250474524</v>
      </c>
      <c r="P7" s="48">
        <f>Assumptions!$C$114*Assumptions!$C$113/(Assumptions!$G$12*0.001) /10^9</f>
        <v>0.71857276338974674</v>
      </c>
      <c r="Q7" s="42">
        <f t="shared" si="0"/>
        <v>77.215897666212598</v>
      </c>
      <c r="S7" s="29" t="str">
        <f t="shared" si="1"/>
        <v>(230,111,90,100,60,0.11)</v>
      </c>
      <c r="U7" s="29" t="str">
        <f t="shared" si="2"/>
        <v>(230,111,90)</v>
      </c>
    </row>
    <row r="8" spans="2:21">
      <c r="B8" s="38">
        <v>12</v>
      </c>
      <c r="C8" s="39">
        <v>230</v>
      </c>
      <c r="D8" s="39">
        <v>110</v>
      </c>
      <c r="E8" s="37">
        <v>100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40.35611654235494</v>
      </c>
      <c r="I8" s="40">
        <f>E8*Assumptions!$C$46/(Assumptions!$C$10*0.001) /10^9</f>
        <v>4.9329881254535364</v>
      </c>
      <c r="J8" s="40">
        <f>D8*Assumptions!$C$56/(Assumptions!$C$10*0.001) /10^9</f>
        <v>6.1193987258443778</v>
      </c>
      <c r="K8" s="40">
        <f>F8*Assumptions!$C$65/(Assumptions!$C$10*0.001) /10^9</f>
        <v>4.6589332295950063</v>
      </c>
      <c r="L8" s="47">
        <f>4</f>
        <v>4</v>
      </c>
      <c r="M8" s="39">
        <v>10.8</v>
      </c>
      <c r="N8" s="39">
        <v>58</v>
      </c>
      <c r="O8" s="44">
        <f>N8*Assumptions!$C$97/(Assumptions!$G$12*0.001) /10^9*M8/100</f>
        <v>3.995504211906586</v>
      </c>
      <c r="P8" s="48">
        <f>Assumptions!$C$114*Assumptions!$C$113/(Assumptions!$G$12*0.001) /10^9</f>
        <v>0.71857276338974674</v>
      </c>
      <c r="Q8" s="42">
        <f t="shared" si="0"/>
        <v>77.615294468109411</v>
      </c>
      <c r="S8" s="29" t="str">
        <f t="shared" si="1"/>
        <v>(230,110,100,100,58,0.11)</v>
      </c>
      <c r="U8" s="29" t="str">
        <f t="shared" si="2"/>
        <v>(230,110,100)</v>
      </c>
    </row>
    <row r="9" spans="2:21">
      <c r="B9" s="38">
        <v>12</v>
      </c>
      <c r="C9" s="39">
        <v>240</v>
      </c>
      <c r="D9" s="39">
        <v>99</v>
      </c>
      <c r="E9" s="37">
        <v>50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42.110730305066035</v>
      </c>
      <c r="I9" s="40">
        <f>E9*Assumptions!$C$46/(Assumptions!$C$10*0.001) /10^9</f>
        <v>2.4664940627267682</v>
      </c>
      <c r="J9" s="40">
        <f>D9*Assumptions!$C$56/(Assumptions!$C$10*0.001) /10^9</f>
        <v>5.5074588532599389</v>
      </c>
      <c r="K9" s="40">
        <f>F9*Assumptions!$C$65/(Assumptions!$C$10*0.001) /10^9</f>
        <v>4.6589332295950063</v>
      </c>
      <c r="L9" s="47">
        <f>4</f>
        <v>4</v>
      </c>
      <c r="M9" s="39">
        <v>11.44</v>
      </c>
      <c r="N9" s="39">
        <v>52</v>
      </c>
      <c r="O9" s="44">
        <f>N9*Assumptions!$C$97/(Assumptions!$G$12*0.001) /10^9*M9/100</f>
        <v>3.7944532975398939</v>
      </c>
      <c r="P9" s="48">
        <f>Assumptions!$C$114*Assumptions!$C$113/(Assumptions!$G$12*0.001) /10^9</f>
        <v>0.71857276338974674</v>
      </c>
      <c r="Q9" s="42">
        <f t="shared" si="0"/>
        <v>76.0904233811426</v>
      </c>
      <c r="S9" s="29" t="str">
        <f t="shared" si="1"/>
        <v>(240,99,50,100,52,0.11)</v>
      </c>
      <c r="U9" s="29" t="str">
        <f t="shared" si="2"/>
        <v>(240,99,50)</v>
      </c>
    </row>
    <row r="10" spans="2:21">
      <c r="B10" s="38">
        <v>12</v>
      </c>
      <c r="C10" s="39">
        <v>240</v>
      </c>
      <c r="D10" s="39">
        <v>91</v>
      </c>
      <c r="E10" s="37">
        <v>60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42.110730305066035</v>
      </c>
      <c r="I10" s="40">
        <f>E10*Assumptions!$C$46/(Assumptions!$C$10*0.001) /10^9</f>
        <v>2.9597928752721221</v>
      </c>
      <c r="J10" s="40">
        <f>D10*Assumptions!$C$56/(Assumptions!$C$10*0.001) /10^9</f>
        <v>5.0624116731985298</v>
      </c>
      <c r="K10" s="40">
        <f>F10*Assumptions!$C$65/(Assumptions!$C$10*0.001) /10^9</f>
        <v>4.6589332295950063</v>
      </c>
      <c r="L10" s="47">
        <f>4</f>
        <v>4</v>
      </c>
      <c r="M10" s="39">
        <v>14.98</v>
      </c>
      <c r="N10" s="39">
        <v>36</v>
      </c>
      <c r="O10" s="44">
        <f>N10*Assumptions!$C$97/(Assumptions!$G$12*0.001) /10^9*M10/100</f>
        <v>3.4398076491011862</v>
      </c>
      <c r="P10" s="48">
        <f>Assumptions!$C$114*Assumptions!$C$113/(Assumptions!$G$12*0.001) /10^9</f>
        <v>0.71857276338974674</v>
      </c>
      <c r="Q10" s="42">
        <f t="shared" si="0"/>
        <v>75.784029365187834</v>
      </c>
      <c r="S10" s="29" t="str">
        <f t="shared" si="1"/>
        <v>(240,91,60,100,36,0.15)</v>
      </c>
      <c r="U10" s="29" t="str">
        <f t="shared" si="2"/>
        <v>(240,91,60)</v>
      </c>
    </row>
    <row r="11" spans="2:21">
      <c r="B11" s="38">
        <v>12</v>
      </c>
      <c r="C11" s="39">
        <v>240</v>
      </c>
      <c r="D11" s="39">
        <v>85</v>
      </c>
      <c r="E11" s="37">
        <v>70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42.110730305066035</v>
      </c>
      <c r="I11" s="40">
        <f>E11*Assumptions!$C$46/(Assumptions!$C$10*0.001) /10^9</f>
        <v>3.4530916878174751</v>
      </c>
      <c r="J11" s="40">
        <f>D11*Assumptions!$C$56/(Assumptions!$C$10*0.001) /10^9</f>
        <v>4.7286262881524737</v>
      </c>
      <c r="K11" s="40">
        <f>F11*Assumptions!$C$65/(Assumptions!$C$10*0.001) /10^9</f>
        <v>4.6589332295950063</v>
      </c>
      <c r="L11" s="47">
        <f>4</f>
        <v>4</v>
      </c>
      <c r="M11" s="39">
        <v>16.829999999999998</v>
      </c>
      <c r="N11" s="39">
        <v>31</v>
      </c>
      <c r="O11" s="44">
        <f>N11*Assumptions!$C$97/(Assumptions!$G$12*0.001) /10^9*M11/100</f>
        <v>3.327864643164149</v>
      </c>
      <c r="P11" s="48">
        <f>Assumptions!$C$114*Assumptions!$C$113/(Assumptions!$G$12*0.001) /10^9</f>
        <v>0.71857276338974674</v>
      </c>
      <c r="Q11" s="42">
        <f t="shared" si="0"/>
        <v>75.831599786750104</v>
      </c>
      <c r="S11" s="29" t="str">
        <f t="shared" si="1"/>
        <v>(240,85,70,100,31,0.17)</v>
      </c>
      <c r="U11" s="29" t="str">
        <f t="shared" si="2"/>
        <v>(240,85,70)</v>
      </c>
    </row>
    <row r="12" spans="2:21" ht="16.95" customHeight="1">
      <c r="B12" s="38">
        <v>12</v>
      </c>
      <c r="C12" s="39">
        <v>240</v>
      </c>
      <c r="D12" s="39">
        <v>81</v>
      </c>
      <c r="E12" s="37">
        <v>80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42.110730305066035</v>
      </c>
      <c r="I12" s="40">
        <f>E12*Assumptions!$C$46/(Assumptions!$C$10*0.001) /10^9</f>
        <v>3.9463905003628286</v>
      </c>
      <c r="J12" s="40">
        <f>D12*Assumptions!$C$56/(Assumptions!$C$10*0.001) /10^9</f>
        <v>4.5061026981217687</v>
      </c>
      <c r="K12" s="40">
        <f>F12*Assumptions!$C$65/(Assumptions!$C$10*0.001) /10^9</f>
        <v>4.6589332295950063</v>
      </c>
      <c r="L12" s="47">
        <f>4</f>
        <v>4</v>
      </c>
      <c r="M12" s="39">
        <v>17.87</v>
      </c>
      <c r="N12" s="39">
        <v>29</v>
      </c>
      <c r="O12" s="44">
        <f>N12*Assumptions!$C$97/(Assumptions!$G$12*0.001) /10^9*M12/100</f>
        <v>3.30553982716531</v>
      </c>
      <c r="P12" s="48">
        <f>Assumptions!$C$114*Assumptions!$C$113/(Assumptions!$G$12*0.001) /10^9</f>
        <v>0.71857276338974674</v>
      </c>
      <c r="Q12" s="42">
        <f t="shared" si="0"/>
        <v>76.080050193265905</v>
      </c>
      <c r="S12" s="29" t="str">
        <f t="shared" si="1"/>
        <v>(240,81,80,100,29,0.18)</v>
      </c>
      <c r="U12" s="29" t="str">
        <f t="shared" si="2"/>
        <v>(240,81,80)</v>
      </c>
    </row>
    <row r="13" spans="2:21">
      <c r="B13" s="38">
        <v>12</v>
      </c>
      <c r="C13" s="39">
        <v>240</v>
      </c>
      <c r="D13" s="39">
        <v>79</v>
      </c>
      <c r="E13" s="37">
        <v>90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42.110730305066035</v>
      </c>
      <c r="I13" s="40">
        <f>E13*Assumptions!$C$46/(Assumptions!$C$10*0.001) /10^9</f>
        <v>4.4396893129081834</v>
      </c>
      <c r="J13" s="40">
        <f>D13*Assumptions!$C$56/(Assumptions!$C$10*0.001) /10^9</f>
        <v>4.3948409031064157</v>
      </c>
      <c r="K13" s="40">
        <f>F13*Assumptions!$C$65/(Assumptions!$C$10*0.001) /10^9</f>
        <v>4.6589332295950063</v>
      </c>
      <c r="L13" s="47">
        <f>4</f>
        <v>4</v>
      </c>
      <c r="M13" s="39">
        <v>18.489999999999998</v>
      </c>
      <c r="N13" s="39">
        <v>28</v>
      </c>
      <c r="O13" s="44">
        <f>N13*Assumptions!$C$97/(Assumptions!$G$12*0.001) /10^9*M13/100</f>
        <v>3.3022867825483355</v>
      </c>
      <c r="P13" s="48">
        <f>Assumptions!$C$114*Assumptions!$C$113/(Assumptions!$G$12*0.001) /10^9</f>
        <v>0.71857276338974674</v>
      </c>
      <c r="Q13" s="42">
        <f t="shared" si="0"/>
        <v>76.458834166178931</v>
      </c>
      <c r="S13" s="29" t="str">
        <f t="shared" si="1"/>
        <v>(240,79,90,100,28,0.18)</v>
      </c>
      <c r="U13" s="29" t="str">
        <f t="shared" si="2"/>
        <v>(240,79,90)</v>
      </c>
    </row>
    <row r="14" spans="2:21">
      <c r="B14" s="38">
        <v>12</v>
      </c>
      <c r="C14" s="39">
        <v>240</v>
      </c>
      <c r="D14" s="39">
        <v>79</v>
      </c>
      <c r="E14" s="37">
        <v>100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42.110730305066035</v>
      </c>
      <c r="I14" s="40">
        <f>E14*Assumptions!$C$46/(Assumptions!$C$10*0.001) /10^9</f>
        <v>4.9329881254535364</v>
      </c>
      <c r="J14" s="40">
        <f>D14*Assumptions!$C$56/(Assumptions!$C$10*0.001) /10^9</f>
        <v>4.3948409031064157</v>
      </c>
      <c r="K14" s="40">
        <f>F14*Assumptions!$C$65/(Assumptions!$C$10*0.001) /10^9</f>
        <v>4.6589332295950063</v>
      </c>
      <c r="L14" s="47">
        <f>4</f>
        <v>4</v>
      </c>
      <c r="M14" s="39">
        <v>18.73</v>
      </c>
      <c r="N14" s="39">
        <v>28</v>
      </c>
      <c r="O14" s="44">
        <f>N14*Assumptions!$C$97/(Assumptions!$G$12*0.001) /10^9*M14/100</f>
        <v>3.3451504292661074</v>
      </c>
      <c r="P14" s="48">
        <f>Assumptions!$C$114*Assumptions!$C$113/(Assumptions!$G$12*0.001) /10^9</f>
        <v>0.71857276338974674</v>
      </c>
      <c r="Q14" s="42">
        <f t="shared" si="0"/>
        <v>76.99499662544207</v>
      </c>
      <c r="S14" s="29" t="str">
        <f t="shared" si="1"/>
        <v>(240,79,100,100,28,0.19)</v>
      </c>
      <c r="U14" s="29" t="str">
        <f t="shared" si="2"/>
        <v>(240,79,100)</v>
      </c>
    </row>
    <row r="15" spans="2:21" ht="16.95" customHeight="1">
      <c r="B15" s="38">
        <v>12</v>
      </c>
      <c r="C15" s="39">
        <v>250</v>
      </c>
      <c r="D15" s="39">
        <v>84</v>
      </c>
      <c r="E15" s="37">
        <v>40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43.86534406777713</v>
      </c>
      <c r="I15" s="40">
        <f>E15*Assumptions!$C$46/(Assumptions!$C$10*0.001) /10^9</f>
        <v>1.9731952501814143</v>
      </c>
      <c r="J15" s="40">
        <f>D15*Assumptions!$C$56/(Assumptions!$C$10*0.001) /10^9</f>
        <v>4.6729953906447976</v>
      </c>
      <c r="K15" s="40">
        <f>F15*Assumptions!$C$65/(Assumptions!$C$10*0.001) /10^9</f>
        <v>4.6589332295950063</v>
      </c>
      <c r="L15" s="47">
        <f>4</f>
        <v>4</v>
      </c>
      <c r="M15" s="39">
        <v>13.49</v>
      </c>
      <c r="N15" s="39">
        <v>41</v>
      </c>
      <c r="O15" s="44">
        <f>N15*Assumptions!$C$97/(Assumptions!$G$12*0.001) /10^9*M15/100</f>
        <v>3.5278949945137503</v>
      </c>
      <c r="P15" s="48">
        <f>Assumptions!$C$114*Assumptions!$C$113/(Assumptions!$G$12*0.001) /10^9</f>
        <v>0.71857276338974674</v>
      </c>
      <c r="Q15" s="42">
        <f t="shared" si="0"/>
        <v>76.250716565667048</v>
      </c>
      <c r="S15" s="29" t="str">
        <f t="shared" si="1"/>
        <v>(250,84,40,100,41,0.13)</v>
      </c>
      <c r="U15" s="29" t="str">
        <f t="shared" si="2"/>
        <v>(250,84,40)</v>
      </c>
    </row>
    <row r="16" spans="2:21" ht="16.95" customHeight="1">
      <c r="B16" s="38">
        <v>12</v>
      </c>
      <c r="C16" s="39">
        <v>250</v>
      </c>
      <c r="D16" s="39">
        <v>71</v>
      </c>
      <c r="E16" s="37">
        <v>50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43.86534406777713</v>
      </c>
      <c r="I16" s="40">
        <f>E16*Assumptions!$C$46/(Assumptions!$C$10*0.001) /10^9</f>
        <v>2.4664940627267682</v>
      </c>
      <c r="J16" s="40">
        <f>D16*Assumptions!$C$56/(Assumptions!$C$10*0.001) /10^9</f>
        <v>3.9497937230450071</v>
      </c>
      <c r="K16" s="40">
        <f>F16*Assumptions!$C$65/(Assumptions!$C$10*0.001) /10^9</f>
        <v>4.6589332295950063</v>
      </c>
      <c r="L16" s="47">
        <f>4</f>
        <v>4</v>
      </c>
      <c r="M16" s="39">
        <v>19.02</v>
      </c>
      <c r="N16" s="39">
        <v>27</v>
      </c>
      <c r="O16" s="44">
        <f>N16*Assumptions!$C$97/(Assumptions!$G$12*0.001) /10^9*M16/100</f>
        <v>3.2756245737268643</v>
      </c>
      <c r="P16" s="48">
        <f>Assumptions!$C$114*Assumptions!$C$113/(Assumptions!$G$12*0.001) /10^9</f>
        <v>0.71857276338974674</v>
      </c>
      <c r="Q16" s="42">
        <f t="shared" si="0"/>
        <v>75.768543289825729</v>
      </c>
      <c r="S16" s="29" t="str">
        <f t="shared" si="1"/>
        <v>(250,71,50,100,27,0.19)</v>
      </c>
      <c r="U16" s="29" t="str">
        <f t="shared" si="2"/>
        <v>(250,71,50)</v>
      </c>
    </row>
    <row r="17" spans="2:21" ht="16.95" customHeight="1">
      <c r="B17" s="38">
        <v>12</v>
      </c>
      <c r="C17" s="39">
        <v>250</v>
      </c>
      <c r="D17" s="39">
        <v>69</v>
      </c>
      <c r="E17" s="37">
        <v>60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43.86534406777713</v>
      </c>
      <c r="I17" s="40">
        <f>E17*Assumptions!$C$46/(Assumptions!$C$10*0.001) /10^9</f>
        <v>2.9597928752721221</v>
      </c>
      <c r="J17" s="40">
        <f>D17*Assumptions!$C$56/(Assumptions!$C$10*0.001) /10^9</f>
        <v>3.8385319280296546</v>
      </c>
      <c r="K17" s="40">
        <f>F17*Assumptions!$C$65/(Assumptions!$C$10*0.001) /10^9</f>
        <v>4.6589332295950063</v>
      </c>
      <c r="L17" s="47">
        <f>4</f>
        <v>4</v>
      </c>
      <c r="M17" s="39">
        <v>22.2</v>
      </c>
      <c r="N17" s="39">
        <v>23</v>
      </c>
      <c r="O17" s="44">
        <f>N17*Assumptions!$C$97/(Assumptions!$G$12*0.001) /10^9*M17/100</f>
        <v>3.2568717282878392</v>
      </c>
      <c r="P17" s="48">
        <f>Assumptions!$C$114*Assumptions!$C$113/(Assumptions!$G$12*0.001) /10^9</f>
        <v>0.71857276338974674</v>
      </c>
      <c r="Q17" s="42">
        <f t="shared" si="0"/>
        <v>76.1318274619167</v>
      </c>
      <c r="S17" s="29" t="str">
        <f t="shared" si="1"/>
        <v>(250,69,60,100,23,0.22)</v>
      </c>
      <c r="U17" s="29" t="str">
        <f t="shared" si="2"/>
        <v>(250,69,60)</v>
      </c>
    </row>
    <row r="18" spans="2:21" ht="16.95" customHeight="1">
      <c r="B18" s="38">
        <v>12</v>
      </c>
      <c r="C18" s="39">
        <v>250</v>
      </c>
      <c r="D18" s="39">
        <v>68</v>
      </c>
      <c r="E18" s="37">
        <v>70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43.86534406777713</v>
      </c>
      <c r="I18" s="40">
        <f>E18*Assumptions!$C$46/(Assumptions!$C$10*0.001) /10^9</f>
        <v>3.4530916878174751</v>
      </c>
      <c r="J18" s="40">
        <f>D18*Assumptions!$C$56/(Assumptions!$C$10*0.001) /10^9</f>
        <v>3.782901030521979</v>
      </c>
      <c r="K18" s="40">
        <f>F18*Assumptions!$C$65/(Assumptions!$C$10*0.001) /10^9</f>
        <v>4.6589332295950063</v>
      </c>
      <c r="L18" s="47">
        <f>4</f>
        <v>4</v>
      </c>
      <c r="M18" s="39">
        <v>24.08</v>
      </c>
      <c r="N18" s="39">
        <v>21</v>
      </c>
      <c r="O18" s="44">
        <f>N18*Assumptions!$C$97/(Assumptions!$G$12*0.001) /10^9*M18/100</f>
        <v>3.2254894155123277</v>
      </c>
      <c r="P18" s="48">
        <f>Assumptions!$C$114*Assumptions!$C$113/(Assumptions!$G$12*0.001) /10^9</f>
        <v>0.71857276338974674</v>
      </c>
      <c r="Q18" s="42">
        <f t="shared" si="0"/>
        <v>76.538113064178873</v>
      </c>
      <c r="S18" s="29" t="str">
        <f t="shared" si="1"/>
        <v>(250,68,70,100,21,0.24)</v>
      </c>
      <c r="U18" s="29" t="str">
        <f t="shared" si="2"/>
        <v>(250,68,70)</v>
      </c>
    </row>
    <row r="19" spans="2:21">
      <c r="B19" s="38">
        <v>12</v>
      </c>
      <c r="C19" s="39">
        <v>250</v>
      </c>
      <c r="D19" s="39">
        <v>67</v>
      </c>
      <c r="E19" s="37">
        <v>80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43.86534406777713</v>
      </c>
      <c r="I19" s="40">
        <f>E19*Assumptions!$C$46/(Assumptions!$C$10*0.001) /10^9</f>
        <v>3.9463905003628286</v>
      </c>
      <c r="J19" s="40">
        <f>D19*Assumptions!$C$56/(Assumptions!$C$10*0.001) /10^9</f>
        <v>3.7272701330143021</v>
      </c>
      <c r="K19" s="40">
        <f>F19*Assumptions!$C$65/(Assumptions!$C$10*0.001) /10^9</f>
        <v>4.6589332295950063</v>
      </c>
      <c r="L19" s="47">
        <f>4</f>
        <v>4</v>
      </c>
      <c r="M19" s="39">
        <v>25.04</v>
      </c>
      <c r="N19" s="39">
        <v>20</v>
      </c>
      <c r="O19" s="44">
        <f>N19*Assumptions!$C$97/(Assumptions!$G$12*0.001) /10^9*M19/100</f>
        <v>3.1943622434910885</v>
      </c>
      <c r="P19" s="48">
        <f>Assumptions!$C$114*Assumptions!$C$113/(Assumptions!$G$12*0.001) /10^9</f>
        <v>0.71857276338974674</v>
      </c>
      <c r="Q19" s="42">
        <f t="shared" si="0"/>
        <v>76.944653807195323</v>
      </c>
      <c r="S19" s="29" t="str">
        <f t="shared" si="1"/>
        <v>(250,67,80,100,20,0.25)</v>
      </c>
      <c r="U19" s="29" t="str">
        <f t="shared" si="2"/>
        <v>(250,67,80)</v>
      </c>
    </row>
    <row r="20" spans="2:21">
      <c r="B20" s="38">
        <v>12</v>
      </c>
      <c r="C20" s="39">
        <v>250</v>
      </c>
      <c r="D20" s="39">
        <v>67</v>
      </c>
      <c r="E20" s="37">
        <v>90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43.86534406777713</v>
      </c>
      <c r="I20" s="40">
        <f>E20*Assumptions!$C$46/(Assumptions!$C$10*0.001) /10^9</f>
        <v>4.4396893129081834</v>
      </c>
      <c r="J20" s="40">
        <f>D20*Assumptions!$C$56/(Assumptions!$C$10*0.001) /10^9</f>
        <v>3.7272701330143021</v>
      </c>
      <c r="K20" s="40">
        <f>F20*Assumptions!$C$65/(Assumptions!$C$10*0.001) /10^9</f>
        <v>4.6589332295950063</v>
      </c>
      <c r="L20" s="47">
        <f>4</f>
        <v>4</v>
      </c>
      <c r="M20" s="39">
        <v>25.64</v>
      </c>
      <c r="N20" s="39">
        <v>19</v>
      </c>
      <c r="O20" s="44">
        <f>N20*Assumptions!$C$97/(Assumptions!$G$12*0.001) /10^9*M20/100</f>
        <v>3.1073592462841826</v>
      </c>
      <c r="P20" s="48">
        <f>Assumptions!$C$114*Assumptions!$C$113/(Assumptions!$G$12*0.001) /10^9</f>
        <v>0.71857276338974674</v>
      </c>
      <c r="Q20" s="42">
        <f t="shared" si="0"/>
        <v>77.350949622533761</v>
      </c>
      <c r="S20" s="29" t="str">
        <f t="shared" si="1"/>
        <v>(250,67,90,100,19,0.26)</v>
      </c>
      <c r="U20" s="29" t="str">
        <f t="shared" si="2"/>
        <v>(250,67,90)</v>
      </c>
    </row>
    <row r="21" spans="2:21">
      <c r="B21" s="38">
        <v>12</v>
      </c>
      <c r="C21" s="39">
        <v>250</v>
      </c>
      <c r="D21" s="39">
        <v>67</v>
      </c>
      <c r="E21" s="37">
        <v>100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43.86534406777713</v>
      </c>
      <c r="I21" s="40">
        <f>E21*Assumptions!$C$46/(Assumptions!$C$10*0.001) /10^9</f>
        <v>4.9329881254535364</v>
      </c>
      <c r="J21" s="40">
        <f>D21*Assumptions!$C$56/(Assumptions!$C$10*0.001) /10^9</f>
        <v>3.7272701330143021</v>
      </c>
      <c r="K21" s="40">
        <f>F21*Assumptions!$C$65/(Assumptions!$C$10*0.001) /10^9</f>
        <v>4.6589332295950063</v>
      </c>
      <c r="L21" s="47">
        <f>4</f>
        <v>4</v>
      </c>
      <c r="M21" s="39">
        <v>26.03</v>
      </c>
      <c r="N21" s="39">
        <v>19</v>
      </c>
      <c r="O21" s="44">
        <f>N21*Assumptions!$C$97/(Assumptions!$G$12*0.001) /10^9*M21/100</f>
        <v>3.1546240710131546</v>
      </c>
      <c r="P21" s="48">
        <f>Assumptions!$C$114*Assumptions!$C$113/(Assumptions!$G$12*0.001) /10^9</f>
        <v>0.71857276338974674</v>
      </c>
      <c r="Q21" s="42">
        <f t="shared" si="0"/>
        <v>77.891513259808093</v>
      </c>
      <c r="S21" s="29" t="str">
        <f t="shared" si="1"/>
        <v>(250,67,100,100,19,0.26)</v>
      </c>
      <c r="U21" s="29" t="str">
        <f t="shared" si="2"/>
        <v>(250,67,100)</v>
      </c>
    </row>
    <row r="22" spans="2:21">
      <c r="B22" s="38">
        <v>12</v>
      </c>
      <c r="C22" s="39">
        <v>260</v>
      </c>
      <c r="D22" s="39">
        <v>81</v>
      </c>
      <c r="E22" s="37">
        <v>30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45.619957830488204</v>
      </c>
      <c r="I22" s="40">
        <f>E22*Assumptions!$C$46/(Assumptions!$C$10*0.001) /10^9</f>
        <v>1.479896437636061</v>
      </c>
      <c r="J22" s="40">
        <f>D22*Assumptions!$C$56/(Assumptions!$C$10*0.001) /10^9</f>
        <v>4.5061026981217687</v>
      </c>
      <c r="K22" s="40">
        <f>F22*Assumptions!$C$65/(Assumptions!$C$10*0.001) /10^9</f>
        <v>4.6589332295950063</v>
      </c>
      <c r="L22" s="47">
        <f>4</f>
        <v>4</v>
      </c>
      <c r="M22" s="39">
        <v>11.05</v>
      </c>
      <c r="N22" s="39">
        <v>53</v>
      </c>
      <c r="O22" s="44">
        <f>N22*Assumptions!$C$97/(Assumptions!$G$12*0.001) /10^9*M22/100</f>
        <v>3.7355795684915263</v>
      </c>
      <c r="P22" s="48">
        <f>Assumptions!$C$114*Assumptions!$C$113/(Assumptions!$G$12*0.001) /10^9</f>
        <v>0.71857276338974674</v>
      </c>
      <c r="Q22" s="42">
        <f t="shared" si="0"/>
        <v>77.55282339728754</v>
      </c>
      <c r="S22" s="29" t="str">
        <f t="shared" si="1"/>
        <v>(260,81,30,100,53,0.11)</v>
      </c>
      <c r="U22" s="29" t="str">
        <f t="shared" si="2"/>
        <v>(260,81,30)</v>
      </c>
    </row>
    <row r="23" spans="2:21">
      <c r="B23" s="38">
        <v>12</v>
      </c>
      <c r="C23" s="39">
        <v>260</v>
      </c>
      <c r="D23" s="39">
        <v>63</v>
      </c>
      <c r="E23" s="37">
        <v>40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45.619957830488204</v>
      </c>
      <c r="I23" s="40">
        <f>E23*Assumptions!$C$46/(Assumptions!$C$10*0.001) /10^9</f>
        <v>1.9731952501814143</v>
      </c>
      <c r="J23" s="40">
        <f>D23*Assumptions!$C$56/(Assumptions!$C$10*0.001) /10^9</f>
        <v>3.5047465429835976</v>
      </c>
      <c r="K23" s="40">
        <f>F23*Assumptions!$C$65/(Assumptions!$C$10*0.001) /10^9</f>
        <v>4.6589332295950063</v>
      </c>
      <c r="L23" s="47">
        <f>4</f>
        <v>4</v>
      </c>
      <c r="M23" s="39">
        <v>20.66</v>
      </c>
      <c r="N23" s="39">
        <v>24</v>
      </c>
      <c r="O23" s="44">
        <f>N23*Assumptions!$C$97/(Assumptions!$G$12*0.001) /10^9*M23/100</f>
        <v>3.1627247899613042</v>
      </c>
      <c r="P23" s="48">
        <f>Assumptions!$C$114*Assumptions!$C$113/(Assumptions!$G$12*0.001) /10^9</f>
        <v>0.71857276338974674</v>
      </c>
      <c r="Q23" s="42">
        <f t="shared" si="0"/>
        <v>76.471911276164477</v>
      </c>
      <c r="S23" s="29" t="str">
        <f t="shared" si="1"/>
        <v>(260,63,40,100,24,0.21)</v>
      </c>
      <c r="U23" s="29" t="str">
        <f t="shared" si="2"/>
        <v>(260,63,40)</v>
      </c>
    </row>
    <row r="24" spans="2:21">
      <c r="B24" s="38">
        <v>12</v>
      </c>
      <c r="C24" s="39">
        <v>260</v>
      </c>
      <c r="D24" s="39">
        <v>60</v>
      </c>
      <c r="E24" s="37">
        <v>50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45.619957830488204</v>
      </c>
      <c r="I24" s="40">
        <f>E24*Assumptions!$C$46/(Assumptions!$C$10*0.001) /10^9</f>
        <v>2.4664940627267682</v>
      </c>
      <c r="J24" s="40">
        <f>D24*Assumptions!$C$56/(Assumptions!$C$10*0.001) /10^9</f>
        <v>3.3378538504605695</v>
      </c>
      <c r="K24" s="40">
        <f>F24*Assumptions!$C$65/(Assumptions!$C$10*0.001) /10^9</f>
        <v>4.6589332295950063</v>
      </c>
      <c r="L24" s="47">
        <f>4</f>
        <v>4</v>
      </c>
      <c r="M24" s="39">
        <v>25.81</v>
      </c>
      <c r="N24" s="39">
        <v>19</v>
      </c>
      <c r="O24" s="44">
        <f>N24*Assumptions!$C$97/(Assumptions!$G$12*0.001) /10^9*M24/100</f>
        <v>3.1279618621916829</v>
      </c>
      <c r="P24" s="48">
        <f>Assumptions!$C$114*Assumptions!$C$113/(Assumptions!$G$12*0.001) /10^9</f>
        <v>0.71857276338974674</v>
      </c>
      <c r="Q24" s="42">
        <f t="shared" si="0"/>
        <v>76.763554468417198</v>
      </c>
      <c r="S24" s="29" t="str">
        <f t="shared" si="1"/>
        <v>(260,60,50,100,19,0.26)</v>
      </c>
      <c r="U24" s="29" t="str">
        <f t="shared" si="2"/>
        <v>(260,60,50)</v>
      </c>
    </row>
    <row r="25" spans="2:21">
      <c r="B25" s="38">
        <v>12</v>
      </c>
      <c r="C25" s="39">
        <v>260</v>
      </c>
      <c r="D25" s="39">
        <v>58</v>
      </c>
      <c r="E25" s="37">
        <v>60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45.619957830488204</v>
      </c>
      <c r="I25" s="40">
        <f>E25*Assumptions!$C$46/(Assumptions!$C$10*0.001) /10^9</f>
        <v>2.9597928752721221</v>
      </c>
      <c r="J25" s="40">
        <f>D25*Assumptions!$C$56/(Assumptions!$C$10*0.001) /10^9</f>
        <v>3.226592055445217</v>
      </c>
      <c r="K25" s="40">
        <f>F25*Assumptions!$C$65/(Assumptions!$C$10*0.001) /10^9</f>
        <v>4.6589332295950063</v>
      </c>
      <c r="L25" s="47">
        <f>4</f>
        <v>4</v>
      </c>
      <c r="M25" s="39">
        <v>28.82</v>
      </c>
      <c r="N25" s="39">
        <v>17</v>
      </c>
      <c r="O25" s="44">
        <f>N25*Assumptions!$C$97/(Assumptions!$G$12*0.001) /10^9*M25/100</f>
        <v>3.1250915287061178</v>
      </c>
      <c r="P25" s="48">
        <f>Assumptions!$C$114*Assumptions!$C$113/(Assumptions!$G$12*0.001) /10^9</f>
        <v>0.71857276338974674</v>
      </c>
      <c r="Q25" s="42">
        <f t="shared" si="0"/>
        <v>77.142721152461633</v>
      </c>
      <c r="S25" s="29" t="str">
        <f t="shared" si="1"/>
        <v>(260,58,60,100,17,0.29)</v>
      </c>
      <c r="U25" s="29" t="str">
        <f t="shared" si="2"/>
        <v>(260,58,60)</v>
      </c>
    </row>
    <row r="26" spans="2:21">
      <c r="B26" s="38">
        <v>12</v>
      </c>
      <c r="C26" s="39">
        <v>260</v>
      </c>
      <c r="D26" s="39">
        <v>57</v>
      </c>
      <c r="E26" s="37">
        <v>70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45.619957830488204</v>
      </c>
      <c r="I26" s="40">
        <f>E26*Assumptions!$C$46/(Assumptions!$C$10*0.001) /10^9</f>
        <v>3.4530916878174751</v>
      </c>
      <c r="J26" s="40">
        <f>D26*Assumptions!$C$56/(Assumptions!$C$10*0.001) /10^9</f>
        <v>3.170961157937541</v>
      </c>
      <c r="K26" s="40">
        <f>F26*Assumptions!$C$65/(Assumptions!$C$10*0.001) /10^9</f>
        <v>4.6589332295950063</v>
      </c>
      <c r="L26" s="47">
        <f>4</f>
        <v>4</v>
      </c>
      <c r="M26" s="39">
        <v>30.61</v>
      </c>
      <c r="N26" s="39">
        <v>16</v>
      </c>
      <c r="O26" s="44">
        <f>N26*Assumptions!$C$97/(Assumptions!$G$12*0.001) /10^9*M26/100</f>
        <v>3.1239433953118918</v>
      </c>
      <c r="P26" s="48">
        <f>Assumptions!$C$114*Assumptions!$C$113/(Assumptions!$G$12*0.001) /10^9</f>
        <v>0.71857276338974674</v>
      </c>
      <c r="Q26" s="42">
        <f t="shared" si="0"/>
        <v>77.579240934105087</v>
      </c>
      <c r="S26" s="29" t="str">
        <f t="shared" si="1"/>
        <v>(260,57,70,100,16,0.31)</v>
      </c>
      <c r="U26" s="29" t="str">
        <f t="shared" si="2"/>
        <v>(260,57,70)</v>
      </c>
    </row>
    <row r="27" spans="2:21">
      <c r="B27" s="38">
        <v>12</v>
      </c>
      <c r="C27" s="39">
        <v>260</v>
      </c>
      <c r="D27" s="39">
        <v>56</v>
      </c>
      <c r="E27" s="37">
        <v>80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45.619957830488204</v>
      </c>
      <c r="I27" s="40">
        <f>E27*Assumptions!$C$46/(Assumptions!$C$10*0.001) /10^9</f>
        <v>3.9463905003628286</v>
      </c>
      <c r="J27" s="40">
        <f>D27*Assumptions!$C$56/(Assumptions!$C$10*0.001) /10^9</f>
        <v>3.1153302604298649</v>
      </c>
      <c r="K27" s="40">
        <f>F27*Assumptions!$C$65/(Assumptions!$C$10*0.001) /10^9</f>
        <v>4.6589332295950063</v>
      </c>
      <c r="L27" s="47">
        <f>4</f>
        <v>4</v>
      </c>
      <c r="M27" s="39">
        <v>31.81</v>
      </c>
      <c r="N27" s="39">
        <v>15</v>
      </c>
      <c r="O27" s="44">
        <f>N27*Assumptions!$C$97/(Assumptions!$G$12*0.001) /10^9*M27/100</f>
        <v>3.0435102725275014</v>
      </c>
      <c r="P27" s="48">
        <f>Assumptions!$C$114*Assumptions!$C$113/(Assumptions!$G$12*0.001) /10^9</f>
        <v>0.71857276338974674</v>
      </c>
      <c r="Q27" s="42">
        <f t="shared" si="0"/>
        <v>77.936475726358367</v>
      </c>
      <c r="S27" s="29" t="str">
        <f t="shared" si="1"/>
        <v>(260,56,80,100,15,0.32)</v>
      </c>
      <c r="U27" s="29" t="str">
        <f t="shared" si="2"/>
        <v>(260,56,80)</v>
      </c>
    </row>
    <row r="28" spans="2:21">
      <c r="B28" s="38">
        <v>12</v>
      </c>
      <c r="C28" s="39">
        <v>260</v>
      </c>
      <c r="D28" s="39">
        <v>55</v>
      </c>
      <c r="E28" s="37">
        <v>90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45.619957830488204</v>
      </c>
      <c r="I28" s="40">
        <f>E28*Assumptions!$C$46/(Assumptions!$C$10*0.001) /10^9</f>
        <v>4.4396893129081834</v>
      </c>
      <c r="J28" s="40">
        <f>D28*Assumptions!$C$56/(Assumptions!$C$10*0.001) /10^9</f>
        <v>3.0596993629221889</v>
      </c>
      <c r="K28" s="40">
        <f>F28*Assumptions!$C$65/(Assumptions!$C$10*0.001) /10^9</f>
        <v>4.6589332295950063</v>
      </c>
      <c r="L28" s="47">
        <f>4</f>
        <v>4</v>
      </c>
      <c r="M28" s="39">
        <v>32.380000000000003</v>
      </c>
      <c r="N28" s="39">
        <v>15</v>
      </c>
      <c r="O28" s="44">
        <f>N28*Assumptions!$C$97/(Assumptions!$G$12*0.001) /10^9*M28/100</f>
        <v>3.0980466087532386</v>
      </c>
      <c r="P28" s="48">
        <f>Assumptions!$C$114*Assumptions!$C$113/(Assumptions!$G$12*0.001) /10^9</f>
        <v>0.71857276338974674</v>
      </c>
      <c r="Q28" s="42">
        <f t="shared" si="0"/>
        <v>78.428679977621783</v>
      </c>
      <c r="S28" s="29" t="str">
        <f t="shared" si="1"/>
        <v>(260,55,90,100,15,0.32)</v>
      </c>
      <c r="U28" s="29" t="str">
        <f t="shared" si="2"/>
        <v>(260,55,90)</v>
      </c>
    </row>
    <row r="29" spans="2:21">
      <c r="B29" s="38">
        <v>12</v>
      </c>
      <c r="C29" s="39">
        <v>260</v>
      </c>
      <c r="D29" s="39">
        <v>55</v>
      </c>
      <c r="E29" s="37">
        <v>100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45.619957830488204</v>
      </c>
      <c r="I29" s="40">
        <f>E29*Assumptions!$C$46/(Assumptions!$C$10*0.001) /10^9</f>
        <v>4.9329881254535364</v>
      </c>
      <c r="J29" s="40">
        <f>D29*Assumptions!$C$56/(Assumptions!$C$10*0.001) /10^9</f>
        <v>3.0596993629221889</v>
      </c>
      <c r="K29" s="40">
        <f>F29*Assumptions!$C$65/(Assumptions!$C$10*0.001) /10^9</f>
        <v>4.6589332295950063</v>
      </c>
      <c r="L29" s="47">
        <f>4</f>
        <v>4</v>
      </c>
      <c r="M29" s="39">
        <v>32.659999999999997</v>
      </c>
      <c r="N29" s="39">
        <v>15</v>
      </c>
      <c r="O29" s="44">
        <f>N29*Assumptions!$C$97/(Assumptions!$G$12*0.001) /10^9*M29/100</f>
        <v>3.1248363879518455</v>
      </c>
      <c r="P29" s="48">
        <f>Assumptions!$C$114*Assumptions!$C$113/(Assumptions!$G$12*0.001) /10^9</f>
        <v>0.71857276338974674</v>
      </c>
      <c r="Q29" s="42">
        <f t="shared" si="0"/>
        <v>78.94876856936574</v>
      </c>
      <c r="S29" s="29" t="str">
        <f t="shared" si="1"/>
        <v>(260,55,100,100,15,0.33)</v>
      </c>
      <c r="U29" s="29" t="str">
        <f t="shared" si="2"/>
        <v>(260,55,100)</v>
      </c>
    </row>
    <row r="30" spans="2:21">
      <c r="B30" s="38">
        <v>12</v>
      </c>
      <c r="C30" s="39">
        <v>270</v>
      </c>
      <c r="D30" s="39">
        <v>61</v>
      </c>
      <c r="E30" s="37">
        <v>30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47.374571593199285</v>
      </c>
      <c r="I30" s="40">
        <f>E30*Assumptions!$C$46/(Assumptions!$C$10*0.001) /10^9</f>
        <v>1.479896437636061</v>
      </c>
      <c r="J30" s="40">
        <f>D30*Assumptions!$C$56/(Assumptions!$C$10*0.001) /10^9</f>
        <v>3.393484747968246</v>
      </c>
      <c r="K30" s="40">
        <f>F30*Assumptions!$C$65/(Assumptions!$C$10*0.001) /10^9</f>
        <v>4.6589332295950063</v>
      </c>
      <c r="L30" s="47">
        <f>4</f>
        <v>4</v>
      </c>
      <c r="M30" s="39">
        <v>18.579999999999998</v>
      </c>
      <c r="N30" s="39">
        <v>27</v>
      </c>
      <c r="O30" s="44">
        <f>N30*Assumptions!$C$97/(Assumptions!$G$12*0.001) /10^9*M30/100</f>
        <v>3.1998477697079459</v>
      </c>
      <c r="P30" s="48">
        <f>Assumptions!$C$114*Assumptions!$C$113/(Assumptions!$G$12*0.001) /10^9</f>
        <v>0.71857276338974674</v>
      </c>
      <c r="Q30" s="42">
        <f t="shared" si="0"/>
        <v>77.659087411061506</v>
      </c>
      <c r="S30" s="29" t="str">
        <f t="shared" si="1"/>
        <v>(270,61,30,100,27,0.19)</v>
      </c>
      <c r="U30" s="29" t="str">
        <f t="shared" si="2"/>
        <v>(270,61,30)</v>
      </c>
    </row>
    <row r="31" spans="2:21">
      <c r="B31" s="38">
        <v>12</v>
      </c>
      <c r="C31" s="39">
        <v>270</v>
      </c>
      <c r="D31" s="39">
        <v>53</v>
      </c>
      <c r="E31" s="37">
        <v>40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47.374571593199285</v>
      </c>
      <c r="I31" s="40">
        <f>E31*Assumptions!$C$46/(Assumptions!$C$10*0.001) /10^9</f>
        <v>1.9731952501814143</v>
      </c>
      <c r="J31" s="40">
        <f>D31*Assumptions!$C$56/(Assumptions!$C$10*0.001) /10^9</f>
        <v>2.9484375679068364</v>
      </c>
      <c r="K31" s="40">
        <f>F31*Assumptions!$C$65/(Assumptions!$C$10*0.001) /10^9</f>
        <v>4.6589332295950063</v>
      </c>
      <c r="L31" s="47">
        <f>4</f>
        <v>4</v>
      </c>
      <c r="M31" s="39">
        <v>27.51</v>
      </c>
      <c r="N31" s="39">
        <v>18</v>
      </c>
      <c r="O31" s="44">
        <f>N31*Assumptions!$C$97/(Assumptions!$G$12*0.001) /10^9*M31/100</f>
        <v>3.1585149675158091</v>
      </c>
      <c r="P31" s="48">
        <f>Assumptions!$C$114*Assumptions!$C$113/(Assumptions!$G$12*0.001) /10^9</f>
        <v>0.71857276338974674</v>
      </c>
      <c r="Q31" s="42">
        <f t="shared" si="0"/>
        <v>77.666006241353315</v>
      </c>
      <c r="S31" s="29" t="str">
        <f t="shared" si="1"/>
        <v>(270,53,40,100,18,0.28)</v>
      </c>
      <c r="U31" s="29" t="str">
        <f t="shared" si="2"/>
        <v>(270,53,40)</v>
      </c>
    </row>
    <row r="32" spans="2:21">
      <c r="B32" s="38">
        <v>12</v>
      </c>
      <c r="C32" s="39">
        <v>270</v>
      </c>
      <c r="D32" s="39">
        <v>50</v>
      </c>
      <c r="E32" s="37">
        <v>50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47.374571593199285</v>
      </c>
      <c r="I32" s="40">
        <f>E32*Assumptions!$C$46/(Assumptions!$C$10*0.001) /10^9</f>
        <v>2.4664940627267682</v>
      </c>
      <c r="J32" s="40">
        <f>D32*Assumptions!$C$56/(Assumptions!$C$10*0.001) /10^9</f>
        <v>2.7815448753838083</v>
      </c>
      <c r="K32" s="40">
        <f>F32*Assumptions!$C$65/(Assumptions!$C$10*0.001) /10^9</f>
        <v>4.6589332295950063</v>
      </c>
      <c r="L32" s="47">
        <f>4</f>
        <v>4</v>
      </c>
      <c r="M32" s="39">
        <v>32.18</v>
      </c>
      <c r="N32" s="39">
        <v>15</v>
      </c>
      <c r="O32" s="44">
        <f>N32*Assumptions!$C$97/(Assumptions!$G$12*0.001) /10^9*M32/100</f>
        <v>3.0789110521828049</v>
      </c>
      <c r="P32" s="48">
        <f>Assumptions!$C$114*Assumptions!$C$113/(Assumptions!$G$12*0.001) /10^9</f>
        <v>0.71857276338974674</v>
      </c>
      <c r="Q32" s="42">
        <f t="shared" si="0"/>
        <v>77.912808446042632</v>
      </c>
      <c r="S32" s="29" t="str">
        <f t="shared" si="1"/>
        <v>(270,50,50,100,15,0.32)</v>
      </c>
      <c r="U32" s="29" t="str">
        <f t="shared" si="2"/>
        <v>(270,50,50)</v>
      </c>
    </row>
    <row r="33" spans="2:21">
      <c r="B33" s="38">
        <v>12</v>
      </c>
      <c r="C33" s="39">
        <v>270</v>
      </c>
      <c r="D33" s="39">
        <v>47</v>
      </c>
      <c r="E33" s="37">
        <v>60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47.374571593199285</v>
      </c>
      <c r="I33" s="40">
        <f>E33*Assumptions!$C$46/(Assumptions!$C$10*0.001) /10^9</f>
        <v>2.9597928752721221</v>
      </c>
      <c r="J33" s="40">
        <f>D33*Assumptions!$C$56/(Assumptions!$C$10*0.001) /10^9</f>
        <v>2.6146521828607794</v>
      </c>
      <c r="K33" s="40">
        <f>F33*Assumptions!$C$65/(Assumptions!$C$10*0.001) /10^9</f>
        <v>4.6589332295950063</v>
      </c>
      <c r="L33" s="47">
        <f>4</f>
        <v>4</v>
      </c>
      <c r="M33" s="39">
        <v>34.85</v>
      </c>
      <c r="N33" s="39">
        <v>14</v>
      </c>
      <c r="O33" s="44">
        <f>N33*Assumptions!$C$97/(Assumptions!$G$12*0.001) /10^9*M33/100</f>
        <v>3.1120793502382238</v>
      </c>
      <c r="P33" s="48">
        <f>Assumptions!$C$114*Assumptions!$C$113/(Assumptions!$G$12*0.001) /10^9</f>
        <v>0.71857276338974674</v>
      </c>
      <c r="Q33" s="42">
        <f t="shared" si="0"/>
        <v>78.272382864120374</v>
      </c>
      <c r="S33" s="29" t="str">
        <f t="shared" si="1"/>
        <v>(270,47,60,100,14,0.35)</v>
      </c>
      <c r="U33" s="29" t="str">
        <f t="shared" si="2"/>
        <v>(270,47,60)</v>
      </c>
    </row>
    <row r="34" spans="2:21">
      <c r="B34" s="38">
        <v>12</v>
      </c>
      <c r="C34" s="39">
        <v>270</v>
      </c>
      <c r="D34" s="39">
        <v>46</v>
      </c>
      <c r="E34" s="37">
        <v>70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47.374571593199285</v>
      </c>
      <c r="I34" s="40">
        <f>E34*Assumptions!$C$46/(Assumptions!$C$10*0.001) /10^9</f>
        <v>3.4530916878174751</v>
      </c>
      <c r="J34" s="40">
        <f>D34*Assumptions!$C$56/(Assumptions!$C$10*0.001) /10^9</f>
        <v>2.5590212853531038</v>
      </c>
      <c r="K34" s="40">
        <f>F34*Assumptions!$C$65/(Assumptions!$C$10*0.001) /10^9</f>
        <v>4.6589332295950063</v>
      </c>
      <c r="L34" s="47">
        <f>4</f>
        <v>4</v>
      </c>
      <c r="M34" s="39">
        <v>36.299999999999997</v>
      </c>
      <c r="N34" s="39">
        <v>13</v>
      </c>
      <c r="O34" s="44">
        <f>N34*Assumptions!$C$97/(Assumptions!$G$12*0.001) /10^9*M34/100</f>
        <v>3.0100230485292423</v>
      </c>
      <c r="P34" s="48">
        <f>Assumptions!$C$114*Assumptions!$C$113/(Assumptions!$G$12*0.001) /10^9</f>
        <v>0.71857276338974674</v>
      </c>
      <c r="Q34" s="42">
        <f t="shared" si="0"/>
        <v>78.607994477449083</v>
      </c>
      <c r="S34" s="29" t="str">
        <f t="shared" si="1"/>
        <v>(270,46,70,100,13,0.36)</v>
      </c>
      <c r="U34" s="29" t="str">
        <f t="shared" si="2"/>
        <v>(270,46,70)</v>
      </c>
    </row>
    <row r="35" spans="2:21">
      <c r="B35" s="38">
        <v>12</v>
      </c>
      <c r="C35" s="39">
        <v>270</v>
      </c>
      <c r="D35" s="39">
        <v>45</v>
      </c>
      <c r="E35" s="37">
        <v>80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47.374571593199285</v>
      </c>
      <c r="I35" s="40">
        <f>E35*Assumptions!$C$46/(Assumptions!$C$10*0.001) /10^9</f>
        <v>3.9463905003628286</v>
      </c>
      <c r="J35" s="40">
        <f>D35*Assumptions!$C$56/(Assumptions!$C$10*0.001) /10^9</f>
        <v>2.5033903878454269</v>
      </c>
      <c r="K35" s="40">
        <f>F35*Assumptions!$C$65/(Assumptions!$C$10*0.001) /10^9</f>
        <v>4.6589332295950063</v>
      </c>
      <c r="L35" s="47">
        <f>4</f>
        <v>4</v>
      </c>
      <c r="M35" s="39">
        <v>37.200000000000003</v>
      </c>
      <c r="N35" s="39">
        <v>13</v>
      </c>
      <c r="O35" s="44">
        <f>N35*Assumptions!$C$97/(Assumptions!$G$12*0.001) /10^9*M35/100</f>
        <v>3.0846517191539351</v>
      </c>
      <c r="P35" s="48">
        <f>Assumptions!$C$114*Assumptions!$C$113/(Assumptions!$G$12*0.001) /10^9</f>
        <v>0.71857276338974674</v>
      </c>
      <c r="Q35" s="42">
        <f t="shared" si="0"/>
        <v>79.120291063111452</v>
      </c>
      <c r="S35" s="29" t="str">
        <f t="shared" si="1"/>
        <v>(270,45,80,100,13,0.37)</v>
      </c>
      <c r="U35" s="29" t="str">
        <f t="shared" si="2"/>
        <v>(270,45,80)</v>
      </c>
    </row>
    <row r="36" spans="2:21">
      <c r="B36" s="38">
        <v>12</v>
      </c>
      <c r="C36" s="39">
        <v>270</v>
      </c>
      <c r="D36" s="39">
        <v>44</v>
      </c>
      <c r="E36" s="37">
        <v>90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47.374571593199285</v>
      </c>
      <c r="I36" s="40">
        <f>E36*Assumptions!$C$46/(Assumptions!$C$10*0.001) /10^9</f>
        <v>4.4396893129081834</v>
      </c>
      <c r="J36" s="40">
        <f>D36*Assumptions!$C$56/(Assumptions!$C$10*0.001) /10^9</f>
        <v>2.4477594903377509</v>
      </c>
      <c r="K36" s="40">
        <f>F36*Assumptions!$C$65/(Assumptions!$C$10*0.001) /10^9</f>
        <v>4.6589332295950063</v>
      </c>
      <c r="L36" s="47">
        <f>4</f>
        <v>4</v>
      </c>
      <c r="M36" s="39">
        <v>37.78</v>
      </c>
      <c r="N36" s="39">
        <v>13</v>
      </c>
      <c r="O36" s="44">
        <f>N36*Assumptions!$C$97/(Assumptions!$G$12*0.001) /10^9*M36/100</f>
        <v>3.132745751334292</v>
      </c>
      <c r="P36" s="48">
        <f>Assumptions!$C$114*Assumptions!$C$113/(Assumptions!$G$12*0.001) /10^9</f>
        <v>0.71857276338974674</v>
      </c>
      <c r="Q36" s="42">
        <f t="shared" si="0"/>
        <v>79.606053010329475</v>
      </c>
      <c r="S36" s="29" t="str">
        <f t="shared" si="1"/>
        <v>(270,44,90,100,13,0.38)</v>
      </c>
      <c r="U36" s="29" t="str">
        <f t="shared" si="2"/>
        <v>(270,44,90)</v>
      </c>
    </row>
    <row r="37" spans="2:21">
      <c r="B37" s="38">
        <v>12</v>
      </c>
      <c r="C37" s="39">
        <v>270</v>
      </c>
      <c r="D37" s="39">
        <v>44</v>
      </c>
      <c r="E37" s="37">
        <v>100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47.374571593199285</v>
      </c>
      <c r="I37" s="40">
        <f>E37*Assumptions!$C$46/(Assumptions!$C$10*0.001) /10^9</f>
        <v>4.9329881254535364</v>
      </c>
      <c r="J37" s="40">
        <f>D37*Assumptions!$C$56/(Assumptions!$C$10*0.001) /10^9</f>
        <v>2.4477594903377509</v>
      </c>
      <c r="K37" s="40">
        <f>F37*Assumptions!$C$65/(Assumptions!$C$10*0.001) /10^9</f>
        <v>4.6589332295950063</v>
      </c>
      <c r="L37" s="47">
        <f>4</f>
        <v>4</v>
      </c>
      <c r="M37" s="39">
        <v>38.090000000000003</v>
      </c>
      <c r="N37" s="39">
        <v>13</v>
      </c>
      <c r="O37" s="44">
        <f>N37*Assumptions!$C$97/(Assumptions!$G$12*0.001) /10^9*M37/100</f>
        <v>3.1584511823272412</v>
      </c>
      <c r="P37" s="48">
        <f>Assumptions!$C$114*Assumptions!$C$113/(Assumptions!$G$12*0.001) /10^9</f>
        <v>0.71857276338974674</v>
      </c>
      <c r="Q37" s="42">
        <f t="shared" si="0"/>
        <v>80.12505725386778</v>
      </c>
      <c r="S37" s="29" t="str">
        <f t="shared" si="1"/>
        <v>(270,44,100,100,13,0.38)</v>
      </c>
      <c r="U37" s="29" t="str">
        <f t="shared" si="2"/>
        <v>(270,44,100)</v>
      </c>
    </row>
    <row r="38" spans="2:21">
      <c r="B38" s="38">
        <v>12</v>
      </c>
      <c r="C38" s="39">
        <v>280</v>
      </c>
      <c r="D38" s="39">
        <v>74</v>
      </c>
      <c r="E38" s="37">
        <v>20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49.129185355910373</v>
      </c>
      <c r="I38" s="40">
        <f>E38*Assumptions!$C$46/(Assumptions!$C$10*0.001) /10^9</f>
        <v>0.98659762509070714</v>
      </c>
      <c r="J38" s="40">
        <f>D38*Assumptions!$C$56/(Assumptions!$C$10*0.001) /10^9</f>
        <v>4.1166864155680347</v>
      </c>
      <c r="K38" s="40">
        <f>F38*Assumptions!$C$65/(Assumptions!$C$10*0.001) /10^9</f>
        <v>4.6589332295950063</v>
      </c>
      <c r="L38" s="47">
        <f>4</f>
        <v>4</v>
      </c>
      <c r="M38" s="39">
        <v>7.47</v>
      </c>
      <c r="N38" s="39">
        <v>97</v>
      </c>
      <c r="O38" s="44">
        <f>N38*Assumptions!$C$97/(Assumptions!$G$12*0.001) /10^9*M38/100</f>
        <v>4.6218109784568853</v>
      </c>
      <c r="P38" s="48">
        <f>Assumptions!$C$114*Assumptions!$C$113/(Assumptions!$G$12*0.001) /10^9</f>
        <v>0.71857276338974674</v>
      </c>
      <c r="Q38" s="42">
        <f t="shared" si="0"/>
        <v>81.065567237575976</v>
      </c>
      <c r="S38" s="29" t="str">
        <f t="shared" si="1"/>
        <v>(280,74,20,100,97,0.07)</v>
      </c>
      <c r="U38" s="29" t="str">
        <f t="shared" si="2"/>
        <v>(280,74,20)</v>
      </c>
    </row>
    <row r="39" spans="2:21">
      <c r="B39" s="38">
        <v>12</v>
      </c>
      <c r="C39" s="39">
        <v>280</v>
      </c>
      <c r="D39" s="39">
        <v>52</v>
      </c>
      <c r="E39" s="37">
        <v>30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49.129185355910373</v>
      </c>
      <c r="I39" s="40">
        <f>E39*Assumptions!$C$46/(Assumptions!$C$10*0.001) /10^9</f>
        <v>1.479896437636061</v>
      </c>
      <c r="J39" s="40">
        <f>D39*Assumptions!$C$56/(Assumptions!$C$10*0.001) /10^9</f>
        <v>2.89280667039916</v>
      </c>
      <c r="K39" s="40">
        <f>F39*Assumptions!$C$65/(Assumptions!$C$10*0.001) /10^9</f>
        <v>4.6589332295950063</v>
      </c>
      <c r="L39" s="47">
        <f>4</f>
        <v>4</v>
      </c>
      <c r="M39" s="39">
        <v>25.46</v>
      </c>
      <c r="N39" s="39">
        <v>19</v>
      </c>
      <c r="O39" s="44">
        <f>N39*Assumptions!$C$97/(Assumptions!$G$12*0.001) /10^9*M39/100</f>
        <v>3.0855447117938883</v>
      </c>
      <c r="P39" s="48">
        <f>Assumptions!$C$114*Assumptions!$C$113/(Assumptions!$G$12*0.001) /10^9</f>
        <v>0.71857276338974674</v>
      </c>
      <c r="Q39" s="42">
        <f t="shared" si="0"/>
        <v>78.798720038289446</v>
      </c>
      <c r="S39" s="29" t="str">
        <f t="shared" si="1"/>
        <v>(280,52,30,100,19,0.25)</v>
      </c>
      <c r="U39" s="29" t="str">
        <f t="shared" si="2"/>
        <v>(280,52,30)</v>
      </c>
    </row>
    <row r="40" spans="2:21">
      <c r="B40" s="38">
        <v>12</v>
      </c>
      <c r="C40" s="39">
        <v>280</v>
      </c>
      <c r="D40" s="39">
        <v>44</v>
      </c>
      <c r="E40" s="37">
        <v>40</v>
      </c>
      <c r="F40" s="39">
        <v>100</v>
      </c>
      <c r="G40" s="40">
        <f>B40*Assumptions!$C$19*365*24*Assumptions!$D$26*1000/(Assumptions!$C$10*0.001) /10^9</f>
        <v>12.833780869565217</v>
      </c>
      <c r="H40" s="40">
        <f>C40*Assumptions!$C$20*365*24*Assumptions!$D$30*1000/(Assumptions!$C$10*0.001) /10^9</f>
        <v>49.129185355910373</v>
      </c>
      <c r="I40" s="40">
        <f>E40*Assumptions!$C$46/(Assumptions!$C$10*0.001) /10^9</f>
        <v>1.9731952501814143</v>
      </c>
      <c r="J40" s="40">
        <f>D40*Assumptions!$C$56/(Assumptions!$C$10*0.001) /10^9</f>
        <v>2.4477594903377509</v>
      </c>
      <c r="K40" s="40">
        <f>F40*Assumptions!$C$65/(Assumptions!$C$10*0.001) /10^9</f>
        <v>4.6589332295950063</v>
      </c>
      <c r="L40" s="47">
        <f>4</f>
        <v>4</v>
      </c>
      <c r="M40" s="39">
        <v>33.65</v>
      </c>
      <c r="N40" s="39">
        <v>14</v>
      </c>
      <c r="O40" s="44">
        <f>N40*Assumptions!$C$97/(Assumptions!$G$12*0.001) /10^9*M40/100</f>
        <v>3.0049202334437934</v>
      </c>
      <c r="P40" s="48">
        <f>Assumptions!$C$114*Assumptions!$C$113/(Assumptions!$G$12*0.001) /10^9</f>
        <v>0.71857276338974674</v>
      </c>
      <c r="Q40" s="42">
        <f t="shared" si="0"/>
        <v>78.766347192423297</v>
      </c>
      <c r="S40" s="29" t="str">
        <f t="shared" si="1"/>
        <v>(280,44,40,100,14,0.34)</v>
      </c>
      <c r="U40" s="29" t="str">
        <f t="shared" si="2"/>
        <v>(280,44,40)</v>
      </c>
    </row>
    <row r="41" spans="2:21">
      <c r="B41" s="38">
        <v>12</v>
      </c>
      <c r="C41" s="39">
        <v>280</v>
      </c>
      <c r="D41" s="39">
        <v>42</v>
      </c>
      <c r="E41" s="37">
        <v>50</v>
      </c>
      <c r="F41" s="39">
        <v>100</v>
      </c>
      <c r="G41" s="40">
        <f>B41*Assumptions!$C$19*365*24*Assumptions!$D$26*1000/(Assumptions!$C$10*0.001) /10^9</f>
        <v>12.833780869565217</v>
      </c>
      <c r="H41" s="40">
        <f>C41*Assumptions!$C$20*365*24*Assumptions!$D$30*1000/(Assumptions!$C$10*0.001) /10^9</f>
        <v>49.129185355910373</v>
      </c>
      <c r="I41" s="40">
        <f>E41*Assumptions!$C$46/(Assumptions!$C$10*0.001) /10^9</f>
        <v>2.4664940627267682</v>
      </c>
      <c r="J41" s="40">
        <f>D41*Assumptions!$C$56/(Assumptions!$C$10*0.001) /10^9</f>
        <v>2.3364976953223988</v>
      </c>
      <c r="K41" s="40">
        <f>F41*Assumptions!$C$65/(Assumptions!$C$10*0.001) /10^9</f>
        <v>4.6589332295950063</v>
      </c>
      <c r="L41" s="47">
        <f>4</f>
        <v>4</v>
      </c>
      <c r="M41" s="39">
        <v>37.94</v>
      </c>
      <c r="N41" s="39">
        <v>13</v>
      </c>
      <c r="O41" s="44">
        <f>N41*Assumptions!$C$97/(Assumptions!$G$12*0.001) /10^9*M41/100</f>
        <v>3.1460130705564593</v>
      </c>
      <c r="P41" s="48">
        <f>Assumptions!$C$114*Assumptions!$C$113/(Assumptions!$G$12*0.001) /10^9</f>
        <v>0.71857276338974674</v>
      </c>
      <c r="Q41" s="42">
        <f t="shared" si="0"/>
        <v>79.289477047065972</v>
      </c>
      <c r="S41" s="29" t="str">
        <f t="shared" si="1"/>
        <v>(280,42,50,100,13,0.38)</v>
      </c>
      <c r="U41" s="29" t="str">
        <f t="shared" si="2"/>
        <v>(280,42,50)</v>
      </c>
    </row>
    <row r="42" spans="2:21">
      <c r="B42" s="38">
        <v>12</v>
      </c>
      <c r="C42" s="39">
        <v>280</v>
      </c>
      <c r="D42" s="39">
        <v>42</v>
      </c>
      <c r="E42" s="37">
        <v>60</v>
      </c>
      <c r="F42" s="39">
        <v>100</v>
      </c>
      <c r="G42" s="40">
        <f>B42*Assumptions!$C$19*365*24*Assumptions!$D$26*1000/(Assumptions!$C$10*0.001) /10^9</f>
        <v>12.833780869565217</v>
      </c>
      <c r="H42" s="40">
        <f>C42*Assumptions!$C$20*365*24*Assumptions!$D$30*1000/(Assumptions!$C$10*0.001) /10^9</f>
        <v>49.129185355910373</v>
      </c>
      <c r="I42" s="40">
        <f>E42*Assumptions!$C$46/(Assumptions!$C$10*0.001) /10^9</f>
        <v>2.9597928752721221</v>
      </c>
      <c r="J42" s="40">
        <f>D42*Assumptions!$C$56/(Assumptions!$C$10*0.001) /10^9</f>
        <v>2.3364976953223988</v>
      </c>
      <c r="K42" s="40">
        <f>F42*Assumptions!$C$65/(Assumptions!$C$10*0.001) /10^9</f>
        <v>4.6589332295950063</v>
      </c>
      <c r="L42" s="47">
        <f>4</f>
        <v>4</v>
      </c>
      <c r="M42" s="39">
        <v>40.44</v>
      </c>
      <c r="N42" s="39">
        <v>12</v>
      </c>
      <c r="O42" s="44">
        <f>N42*Assumptions!$C$97/(Assumptions!$G$12*0.001) /10^9*M42/100</f>
        <v>3.0953676308333771</v>
      </c>
      <c r="P42" s="48">
        <f>Assumptions!$C$114*Assumptions!$C$113/(Assumptions!$G$12*0.001) /10^9</f>
        <v>0.71857276338974674</v>
      </c>
      <c r="Q42" s="42">
        <f t="shared" si="0"/>
        <v>79.732130419888236</v>
      </c>
      <c r="S42" s="29" t="str">
        <f t="shared" si="1"/>
        <v>(280,42,60,100,12,0.4)</v>
      </c>
      <c r="U42" s="29" t="str">
        <f t="shared" si="2"/>
        <v>(280,42,60)</v>
      </c>
    </row>
    <row r="43" spans="2:21">
      <c r="B43" s="38">
        <v>12</v>
      </c>
      <c r="C43" s="39">
        <v>280</v>
      </c>
      <c r="D43" s="39">
        <v>42</v>
      </c>
      <c r="E43" s="37">
        <v>70</v>
      </c>
      <c r="F43" s="39">
        <v>100</v>
      </c>
      <c r="G43" s="40">
        <f>B43*Assumptions!$C$19*365*24*Assumptions!$D$26*1000/(Assumptions!$C$10*0.001) /10^9</f>
        <v>12.833780869565217</v>
      </c>
      <c r="H43" s="40">
        <f>C43*Assumptions!$C$20*365*24*Assumptions!$D$30*1000/(Assumptions!$C$10*0.001) /10^9</f>
        <v>49.129185355910373</v>
      </c>
      <c r="I43" s="40">
        <f>E43*Assumptions!$C$46/(Assumptions!$C$10*0.001) /10^9</f>
        <v>3.4530916878174751</v>
      </c>
      <c r="J43" s="40">
        <f>D43*Assumptions!$C$56/(Assumptions!$C$10*0.001) /10^9</f>
        <v>2.3364976953223988</v>
      </c>
      <c r="K43" s="40">
        <f>F43*Assumptions!$C$65/(Assumptions!$C$10*0.001) /10^9</f>
        <v>4.6589332295950063</v>
      </c>
      <c r="L43" s="47">
        <f>4</f>
        <v>4</v>
      </c>
      <c r="M43" s="39">
        <v>41.88</v>
      </c>
      <c r="N43" s="39">
        <v>11</v>
      </c>
      <c r="O43" s="44">
        <f>N43*Assumptions!$C$97/(Assumptions!$G$12*0.001) /10^9*M43/100</f>
        <v>2.93845606695582</v>
      </c>
      <c r="P43" s="48">
        <f>Assumptions!$C$114*Assumptions!$C$113/(Assumptions!$G$12*0.001) /10^9</f>
        <v>0.71857276338974674</v>
      </c>
      <c r="Q43" s="42">
        <f t="shared" si="0"/>
        <v>80.068517668556026</v>
      </c>
      <c r="S43" s="29" t="str">
        <f t="shared" si="1"/>
        <v>(280,42,70,100,11,0.42)</v>
      </c>
      <c r="U43" s="29" t="str">
        <f t="shared" si="2"/>
        <v>(280,42,70)</v>
      </c>
    </row>
    <row r="44" spans="2:21">
      <c r="B44" s="38">
        <v>12</v>
      </c>
      <c r="C44" s="39">
        <v>280</v>
      </c>
      <c r="D44" s="39">
        <v>42</v>
      </c>
      <c r="E44" s="37">
        <v>80</v>
      </c>
      <c r="F44" s="39">
        <v>100</v>
      </c>
      <c r="G44" s="40">
        <f>B44*Assumptions!$C$19*365*24*Assumptions!$D$26*1000/(Assumptions!$C$10*0.001) /10^9</f>
        <v>12.833780869565217</v>
      </c>
      <c r="H44" s="40">
        <f>C44*Assumptions!$C$20*365*24*Assumptions!$D$30*1000/(Assumptions!$C$10*0.001) /10^9</f>
        <v>49.129185355910373</v>
      </c>
      <c r="I44" s="40">
        <f>E44*Assumptions!$C$46/(Assumptions!$C$10*0.001) /10^9</f>
        <v>3.9463905003628286</v>
      </c>
      <c r="J44" s="40">
        <f>D44*Assumptions!$C$56/(Assumptions!$C$10*0.001) /10^9</f>
        <v>2.3364976953223988</v>
      </c>
      <c r="K44" s="40">
        <f>F44*Assumptions!$C$65/(Assumptions!$C$10*0.001) /10^9</f>
        <v>4.6589332295950063</v>
      </c>
      <c r="L44" s="47">
        <f>4</f>
        <v>4</v>
      </c>
      <c r="M44" s="39">
        <v>42.79</v>
      </c>
      <c r="N44" s="39">
        <v>11</v>
      </c>
      <c r="O44" s="44">
        <f>N44*Assumptions!$C$97/(Assumptions!$G$12*0.001) /10^9*M44/100</f>
        <v>3.0023050407125003</v>
      </c>
      <c r="P44" s="48">
        <f>Assumptions!$C$114*Assumptions!$C$113/(Assumptions!$G$12*0.001) /10^9</f>
        <v>0.71857276338974674</v>
      </c>
      <c r="Q44" s="42">
        <f t="shared" si="0"/>
        <v>80.625665454858066</v>
      </c>
      <c r="S44" s="29" t="str">
        <f t="shared" si="1"/>
        <v>(280,42,80,100,11,0.43)</v>
      </c>
      <c r="U44" s="29" t="str">
        <f t="shared" si="2"/>
        <v>(280,42,80)</v>
      </c>
    </row>
    <row r="45" spans="2:21">
      <c r="B45" s="38">
        <v>12</v>
      </c>
      <c r="C45" s="39">
        <v>280</v>
      </c>
      <c r="D45" s="39">
        <v>42</v>
      </c>
      <c r="E45" s="37">
        <v>90</v>
      </c>
      <c r="F45" s="39">
        <v>100</v>
      </c>
      <c r="G45" s="40">
        <f>B45*Assumptions!$C$19*365*24*Assumptions!$D$26*1000/(Assumptions!$C$10*0.001) /10^9</f>
        <v>12.833780869565217</v>
      </c>
      <c r="H45" s="40">
        <f>C45*Assumptions!$C$20*365*24*Assumptions!$D$30*1000/(Assumptions!$C$10*0.001) /10^9</f>
        <v>49.129185355910373</v>
      </c>
      <c r="I45" s="40">
        <f>E45*Assumptions!$C$46/(Assumptions!$C$10*0.001) /10^9</f>
        <v>4.4396893129081834</v>
      </c>
      <c r="J45" s="40">
        <f>D45*Assumptions!$C$56/(Assumptions!$C$10*0.001) /10^9</f>
        <v>2.3364976953223988</v>
      </c>
      <c r="K45" s="40">
        <f>F45*Assumptions!$C$65/(Assumptions!$C$10*0.001) /10^9</f>
        <v>4.6589332295950063</v>
      </c>
      <c r="L45" s="47">
        <f>4</f>
        <v>4</v>
      </c>
      <c r="M45" s="39">
        <v>43.3</v>
      </c>
      <c r="N45" s="39">
        <v>11</v>
      </c>
      <c r="O45" s="44">
        <f>N45*Assumptions!$C$97/(Assumptions!$G$12*0.001) /10^9*M45/100</f>
        <v>3.0380885314992114</v>
      </c>
      <c r="P45" s="48">
        <f>Assumptions!$C$114*Assumptions!$C$113/(Assumptions!$G$12*0.001) /10^9</f>
        <v>0.71857276338974674</v>
      </c>
      <c r="Q45" s="42">
        <f t="shared" si="0"/>
        <v>81.154747758190126</v>
      </c>
      <c r="S45" s="29" t="str">
        <f t="shared" si="1"/>
        <v>(280,42,90,100,11,0.43)</v>
      </c>
      <c r="U45" s="29" t="str">
        <f t="shared" si="2"/>
        <v>(280,42,90)</v>
      </c>
    </row>
    <row r="46" spans="2:21">
      <c r="B46" s="38">
        <v>12</v>
      </c>
      <c r="C46" s="39">
        <v>280</v>
      </c>
      <c r="D46" s="39">
        <v>42</v>
      </c>
      <c r="E46" s="37">
        <v>100</v>
      </c>
      <c r="F46" s="39">
        <v>100</v>
      </c>
      <c r="G46" s="40">
        <f>B46*Assumptions!$C$19*365*24*Assumptions!$D$26*1000/(Assumptions!$C$10*0.001) /10^9</f>
        <v>12.833780869565217</v>
      </c>
      <c r="H46" s="40">
        <f>C46*Assumptions!$C$20*365*24*Assumptions!$D$30*1000/(Assumptions!$C$10*0.001) /10^9</f>
        <v>49.129185355910373</v>
      </c>
      <c r="I46" s="40">
        <f>E46*Assumptions!$C$46/(Assumptions!$C$10*0.001) /10^9</f>
        <v>4.9329881254535364</v>
      </c>
      <c r="J46" s="40">
        <f>D46*Assumptions!$C$56/(Assumptions!$C$10*0.001) /10^9</f>
        <v>2.3364976953223988</v>
      </c>
      <c r="K46" s="40">
        <f>F46*Assumptions!$C$65/(Assumptions!$C$10*0.001) /10^9</f>
        <v>4.6589332295950063</v>
      </c>
      <c r="L46" s="47">
        <f>4</f>
        <v>4</v>
      </c>
      <c r="M46" s="39">
        <v>43.63</v>
      </c>
      <c r="N46" s="39">
        <v>11</v>
      </c>
      <c r="O46" s="44">
        <f>N46*Assumptions!$C$97/(Assumptions!$G$12*0.001) /10^9*M46/100</f>
        <v>3.0612425549494371</v>
      </c>
      <c r="P46" s="48">
        <f>Assumptions!$C$114*Assumptions!$C$113/(Assumptions!$G$12*0.001) /10^9</f>
        <v>0.71857276338974674</v>
      </c>
      <c r="Q46" s="42">
        <f t="shared" si="0"/>
        <v>81.671200594185706</v>
      </c>
      <c r="S46" s="29" t="str">
        <f t="shared" si="1"/>
        <v>(280,42,100,100,11,0.44)</v>
      </c>
      <c r="U46" s="29" t="str">
        <f t="shared" si="2"/>
        <v>(280,42,100)</v>
      </c>
    </row>
  </sheetData>
  <autoFilter ref="B4:N4">
    <sortState ref="B5:N64">
      <sortCondition ref="B4:B64"/>
    </sortState>
  </autoFilter>
  <mergeCells count="2">
    <mergeCell ref="G2:L2"/>
    <mergeCell ref="M2:R2"/>
  </mergeCells>
  <phoneticPr fontId="15"/>
  <conditionalFormatting sqref="C5:C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:C1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21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0:C4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46">
    <cfRule type="colorScale" priority="40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46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39"/>
  <sheetViews>
    <sheetView showGridLines="0" topLeftCell="J1" zoomScale="83" zoomScaleNormal="55" workbookViewId="0">
      <pane ySplit="4" topLeftCell="A5" activePane="bottomLeft" state="frozen"/>
      <selection pane="bottomLeft" activeCell="S12" sqref="B12:S12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240</v>
      </c>
      <c r="D5" s="39">
        <v>91</v>
      </c>
      <c r="E5" s="37">
        <v>60</v>
      </c>
      <c r="F5" s="39">
        <v>100</v>
      </c>
      <c r="G5" s="40">
        <f>B5*Assumptions!$C$19*365*24*Assumptions!$D$26*1000/(Assumptions!$C$10*0.001) /10^9</f>
        <v>12.833780869565217</v>
      </c>
      <c r="H5" s="40">
        <f>C5*Assumptions!$C$20*365*24*Assumptions!$D$30*1000/(Assumptions!$C$10*0.001) /10^9</f>
        <v>42.110730305066035</v>
      </c>
      <c r="I5" s="40">
        <f>E5*Assumptions!$C$46/(Assumptions!$C$10*0.001) /10^9</f>
        <v>2.9597928752721221</v>
      </c>
      <c r="J5" s="40">
        <f>D5*Assumptions!$C$56/(Assumptions!$C$10*0.001) /10^9</f>
        <v>5.0624116731985298</v>
      </c>
      <c r="K5" s="40">
        <f>F5*Assumptions!$C$65/(Assumptions!$C$10*0.001) /10^9</f>
        <v>4.6589332295950063</v>
      </c>
      <c r="L5" s="47">
        <f>4</f>
        <v>4</v>
      </c>
      <c r="M5" s="39">
        <v>14.98</v>
      </c>
      <c r="N5" s="39">
        <v>81</v>
      </c>
      <c r="O5" s="44">
        <f>N5*Assumptions!$C$97/(Assumptions!$G$14*0.001) /10^9*M5/100</f>
        <v>7.4641662502914583</v>
      </c>
      <c r="P5" s="48">
        <f>Assumptions!$C$114*Assumptions!$C$113/(Assumptions!$G$14*0.001) /10^9</f>
        <v>0.69300342293188655</v>
      </c>
      <c r="Q5" s="42">
        <f>SUM(G5:L5)+O5+P5</f>
        <v>79.782818625920243</v>
      </c>
      <c r="S5" s="29" t="str">
        <f>CONCATENATE("(",C5,",",D5,",",E5,",",F5,",",ROUND(N5,0),",",ROUND(M5/100,2),")")</f>
        <v>(240,91,60,100,81,0.15)</v>
      </c>
    </row>
    <row r="6" spans="2:19">
      <c r="B6" s="38">
        <v>12</v>
      </c>
      <c r="C6" s="39">
        <v>240</v>
      </c>
      <c r="D6" s="39">
        <v>85</v>
      </c>
      <c r="E6" s="37">
        <v>70</v>
      </c>
      <c r="F6" s="39">
        <v>100</v>
      </c>
      <c r="G6" s="40">
        <f>B6*Assumptions!$C$19*365*24*Assumptions!$D$26*1000/(Assumptions!$C$10*0.001) /10^9</f>
        <v>12.833780869565217</v>
      </c>
      <c r="H6" s="40">
        <f>C6*Assumptions!$C$20*365*24*Assumptions!$D$30*1000/(Assumptions!$C$10*0.001) /10^9</f>
        <v>42.110730305066035</v>
      </c>
      <c r="I6" s="40">
        <f>E6*Assumptions!$C$46/(Assumptions!$C$10*0.001) /10^9</f>
        <v>3.4530916878174751</v>
      </c>
      <c r="J6" s="40">
        <f>D6*Assumptions!$C$56/(Assumptions!$C$10*0.001) /10^9</f>
        <v>4.7286262881524737</v>
      </c>
      <c r="K6" s="40">
        <f>F6*Assumptions!$C$65/(Assumptions!$C$10*0.001) /10^9</f>
        <v>4.6589332295950063</v>
      </c>
      <c r="L6" s="47">
        <f>4</f>
        <v>4</v>
      </c>
      <c r="M6" s="39">
        <v>16.829999999999998</v>
      </c>
      <c r="N6" s="39">
        <v>62</v>
      </c>
      <c r="O6" s="44">
        <f>N6*Assumptions!$C$97/(Assumptions!$G$14*0.001) /10^9*M6/100</f>
        <v>6.4188950827680742</v>
      </c>
      <c r="P6" s="48">
        <f>Assumptions!$C$114*Assumptions!$C$113/(Assumptions!$G$14*0.001) /10^9</f>
        <v>0.69300342293188655</v>
      </c>
      <c r="Q6" s="42">
        <f t="shared" ref="Q6:Q39" si="0">SUM(G6:L6)+O6+P6</f>
        <v>78.897060885896167</v>
      </c>
      <c r="S6" s="29" t="str">
        <f t="shared" ref="S6:S39" si="1">CONCATENATE("(",C6,",",D6,",",E6,",",F6,",",ROUND(N6,0),",",ROUND(M6/100,2),")")</f>
        <v>(240,85,70,100,62,0.17)</v>
      </c>
    </row>
    <row r="7" spans="2:19">
      <c r="B7" s="38">
        <v>12</v>
      </c>
      <c r="C7" s="39">
        <v>240</v>
      </c>
      <c r="D7" s="39">
        <v>81</v>
      </c>
      <c r="E7" s="37">
        <v>80</v>
      </c>
      <c r="F7" s="39">
        <v>100</v>
      </c>
      <c r="G7" s="40">
        <f>B7*Assumptions!$C$19*365*24*Assumptions!$D$26*1000/(Assumptions!$C$10*0.001) /10^9</f>
        <v>12.833780869565217</v>
      </c>
      <c r="H7" s="40">
        <f>C7*Assumptions!$C$20*365*24*Assumptions!$D$30*1000/(Assumptions!$C$10*0.001) /10^9</f>
        <v>42.110730305066035</v>
      </c>
      <c r="I7" s="40">
        <f>E7*Assumptions!$C$46/(Assumptions!$C$10*0.001) /10^9</f>
        <v>3.9463905003628286</v>
      </c>
      <c r="J7" s="40">
        <f>D7*Assumptions!$C$56/(Assumptions!$C$10*0.001) /10^9</f>
        <v>4.5061026981217687</v>
      </c>
      <c r="K7" s="40">
        <f>F7*Assumptions!$C$65/(Assumptions!$C$10*0.001) /10^9</f>
        <v>4.6589332295950063</v>
      </c>
      <c r="L7" s="47">
        <f>4</f>
        <v>4</v>
      </c>
      <c r="M7" s="39">
        <v>17.87</v>
      </c>
      <c r="N7" s="39">
        <v>57</v>
      </c>
      <c r="O7" s="44">
        <f>N7*Assumptions!$C$97/(Assumptions!$G$14*0.001) /10^9*M7/100</f>
        <v>6.265906064781336</v>
      </c>
      <c r="P7" s="48">
        <f>Assumptions!$C$114*Assumptions!$C$113/(Assumptions!$G$14*0.001) /10^9</f>
        <v>0.69300342293188655</v>
      </c>
      <c r="Q7" s="42">
        <f t="shared" si="0"/>
        <v>79.01484709042407</v>
      </c>
      <c r="S7" s="29" t="str">
        <f t="shared" si="1"/>
        <v>(240,81,80,100,57,0.18)</v>
      </c>
    </row>
    <row r="8" spans="2:19">
      <c r="B8" s="38">
        <v>12</v>
      </c>
      <c r="C8" s="39">
        <v>240</v>
      </c>
      <c r="D8" s="39">
        <v>79</v>
      </c>
      <c r="E8" s="37">
        <v>90</v>
      </c>
      <c r="F8" s="39">
        <v>100</v>
      </c>
      <c r="G8" s="40">
        <f>B8*Assumptions!$C$19*365*24*Assumptions!$D$26*1000/(Assumptions!$C$10*0.001) /10^9</f>
        <v>12.833780869565217</v>
      </c>
      <c r="H8" s="40">
        <f>C8*Assumptions!$C$20*365*24*Assumptions!$D$30*1000/(Assumptions!$C$10*0.001) /10^9</f>
        <v>42.110730305066035</v>
      </c>
      <c r="I8" s="40">
        <f>E8*Assumptions!$C$46/(Assumptions!$C$10*0.001) /10^9</f>
        <v>4.4396893129081834</v>
      </c>
      <c r="J8" s="40">
        <f>D8*Assumptions!$C$56/(Assumptions!$C$10*0.001) /10^9</f>
        <v>4.3948409031064157</v>
      </c>
      <c r="K8" s="40">
        <f>F8*Assumptions!$C$65/(Assumptions!$C$10*0.001) /10^9</f>
        <v>4.6589332295950063</v>
      </c>
      <c r="L8" s="47">
        <f>4</f>
        <v>4</v>
      </c>
      <c r="M8" s="39">
        <v>18.489999999999998</v>
      </c>
      <c r="N8" s="39">
        <v>54</v>
      </c>
      <c r="O8" s="44">
        <f>N8*Assumptions!$C$97/(Assumptions!$G$14*0.001) /10^9*M8/100</f>
        <v>6.1420753879790411</v>
      </c>
      <c r="P8" s="48">
        <f>Assumptions!$C$114*Assumptions!$C$113/(Assumptions!$G$14*0.001) /10^9</f>
        <v>0.69300342293188655</v>
      </c>
      <c r="Q8" s="42">
        <f t="shared" si="0"/>
        <v>79.27305343115178</v>
      </c>
      <c r="S8" s="29" t="str">
        <f t="shared" si="1"/>
        <v>(240,79,90,100,54,0.18)</v>
      </c>
    </row>
    <row r="9" spans="2:19">
      <c r="B9" s="38">
        <v>12</v>
      </c>
      <c r="C9" s="39">
        <v>240</v>
      </c>
      <c r="D9" s="39">
        <v>79</v>
      </c>
      <c r="E9" s="37">
        <v>100</v>
      </c>
      <c r="F9" s="39">
        <v>100</v>
      </c>
      <c r="G9" s="40">
        <f>B9*Assumptions!$C$19*365*24*Assumptions!$D$26*1000/(Assumptions!$C$10*0.001) /10^9</f>
        <v>12.833780869565217</v>
      </c>
      <c r="H9" s="40">
        <f>C9*Assumptions!$C$20*365*24*Assumptions!$D$30*1000/(Assumptions!$C$10*0.001) /10^9</f>
        <v>42.110730305066035</v>
      </c>
      <c r="I9" s="40">
        <f>E9*Assumptions!$C$46/(Assumptions!$C$10*0.001) /10^9</f>
        <v>4.9329881254535364</v>
      </c>
      <c r="J9" s="40">
        <f>D9*Assumptions!$C$56/(Assumptions!$C$10*0.001) /10^9</f>
        <v>4.3948409031064157</v>
      </c>
      <c r="K9" s="40">
        <f>F9*Assumptions!$C$65/(Assumptions!$C$10*0.001) /10^9</f>
        <v>4.6589332295950063</v>
      </c>
      <c r="L9" s="47">
        <f>4</f>
        <v>4</v>
      </c>
      <c r="M9" s="39">
        <v>18.73</v>
      </c>
      <c r="N9" s="39">
        <v>53</v>
      </c>
      <c r="O9" s="44">
        <f>N9*Assumptions!$C$97/(Assumptions!$G$14*0.001) /10^9*M9/100</f>
        <v>6.1065809515583149</v>
      </c>
      <c r="P9" s="48">
        <f>Assumptions!$C$114*Assumptions!$C$113/(Assumptions!$G$14*0.001) /10^9</f>
        <v>0.69300342293188655</v>
      </c>
      <c r="Q9" s="42">
        <f t="shared" si="0"/>
        <v>79.730857807276408</v>
      </c>
      <c r="S9" s="29" t="str">
        <f t="shared" si="1"/>
        <v>(240,79,100,100,53,0.19)</v>
      </c>
    </row>
    <row r="10" spans="2:19">
      <c r="B10" s="38">
        <v>12</v>
      </c>
      <c r="C10" s="39">
        <v>250</v>
      </c>
      <c r="D10" s="39">
        <v>84</v>
      </c>
      <c r="E10" s="37">
        <v>40</v>
      </c>
      <c r="F10" s="39">
        <v>100</v>
      </c>
      <c r="G10" s="40">
        <f>B10*Assumptions!$C$19*365*24*Assumptions!$D$26*1000/(Assumptions!$C$10*0.001) /10^9</f>
        <v>12.833780869565217</v>
      </c>
      <c r="H10" s="40">
        <f>C10*Assumptions!$C$20*365*24*Assumptions!$D$30*1000/(Assumptions!$C$10*0.001) /10^9</f>
        <v>43.86534406777713</v>
      </c>
      <c r="I10" s="40">
        <f>E10*Assumptions!$C$46/(Assumptions!$C$10*0.001) /10^9</f>
        <v>1.9731952501814143</v>
      </c>
      <c r="J10" s="40">
        <f>D10*Assumptions!$C$56/(Assumptions!$C$10*0.001) /10^9</f>
        <v>4.6729953906447976</v>
      </c>
      <c r="K10" s="40">
        <f>F10*Assumptions!$C$65/(Assumptions!$C$10*0.001) /10^9</f>
        <v>4.6589332295950063</v>
      </c>
      <c r="L10" s="47">
        <f>4</f>
        <v>4</v>
      </c>
      <c r="M10" s="39">
        <v>13.49</v>
      </c>
      <c r="N10" s="39">
        <v>106</v>
      </c>
      <c r="O10" s="44">
        <f>N10*Assumptions!$C$97/(Assumptions!$G$14*0.001) /10^9*M10/100</f>
        <v>8.7963456525917429</v>
      </c>
      <c r="P10" s="48">
        <f>Assumptions!$C$114*Assumptions!$C$113/(Assumptions!$G$14*0.001) /10^9</f>
        <v>0.69300342293188655</v>
      </c>
      <c r="Q10" s="42">
        <f t="shared" si="0"/>
        <v>81.49359788328718</v>
      </c>
      <c r="S10" s="29" t="str">
        <f t="shared" si="1"/>
        <v>(250,84,40,100,106,0.13)</v>
      </c>
    </row>
    <row r="11" spans="2:19">
      <c r="B11" s="38">
        <v>12</v>
      </c>
      <c r="C11" s="39">
        <v>250</v>
      </c>
      <c r="D11" s="39">
        <v>71</v>
      </c>
      <c r="E11" s="37">
        <v>50</v>
      </c>
      <c r="F11" s="39">
        <v>100</v>
      </c>
      <c r="G11" s="40">
        <f>B11*Assumptions!$C$19*365*24*Assumptions!$D$26*1000/(Assumptions!$C$10*0.001) /10^9</f>
        <v>12.833780869565217</v>
      </c>
      <c r="H11" s="40">
        <f>C11*Assumptions!$C$20*365*24*Assumptions!$D$30*1000/(Assumptions!$C$10*0.001) /10^9</f>
        <v>43.86534406777713</v>
      </c>
      <c r="I11" s="40">
        <f>E11*Assumptions!$C$46/(Assumptions!$C$10*0.001) /10^9</f>
        <v>2.4664940627267682</v>
      </c>
      <c r="J11" s="40">
        <f>D11*Assumptions!$C$56/(Assumptions!$C$10*0.001) /10^9</f>
        <v>3.9497937230450071</v>
      </c>
      <c r="K11" s="40">
        <f>F11*Assumptions!$C$65/(Assumptions!$C$10*0.001) /10^9</f>
        <v>4.6589332295950063</v>
      </c>
      <c r="L11" s="47">
        <f>4</f>
        <v>4</v>
      </c>
      <c r="M11" s="39">
        <v>19.02</v>
      </c>
      <c r="N11" s="39">
        <v>50</v>
      </c>
      <c r="O11" s="44">
        <f>N11*Assumptions!$C$97/(Assumptions!$G$14*0.001) /10^9*M11/100</f>
        <v>5.8501228832082095</v>
      </c>
      <c r="P11" s="48">
        <f>Assumptions!$C$114*Assumptions!$C$113/(Assumptions!$G$14*0.001) /10^9</f>
        <v>0.69300342293188655</v>
      </c>
      <c r="Q11" s="42">
        <f t="shared" si="0"/>
        <v>78.317472258849222</v>
      </c>
      <c r="S11" s="29" t="str">
        <f t="shared" si="1"/>
        <v>(250,71,50,100,50,0.19)</v>
      </c>
    </row>
    <row r="12" spans="2:19" ht="16.95" customHeight="1">
      <c r="B12" s="38">
        <v>12</v>
      </c>
      <c r="C12" s="39">
        <v>250</v>
      </c>
      <c r="D12" s="39">
        <v>69</v>
      </c>
      <c r="E12" s="37">
        <v>60</v>
      </c>
      <c r="F12" s="39">
        <v>100</v>
      </c>
      <c r="G12" s="40">
        <f>B12*Assumptions!$C$19*365*24*Assumptions!$D$26*1000/(Assumptions!$C$10*0.001) /10^9</f>
        <v>12.833780869565217</v>
      </c>
      <c r="H12" s="40">
        <f>C12*Assumptions!$C$20*365*24*Assumptions!$D$30*1000/(Assumptions!$C$10*0.001) /10^9</f>
        <v>43.86534406777713</v>
      </c>
      <c r="I12" s="40">
        <f>E12*Assumptions!$C$46/(Assumptions!$C$10*0.001) /10^9</f>
        <v>2.9597928752721221</v>
      </c>
      <c r="J12" s="40">
        <f>D12*Assumptions!$C$56/(Assumptions!$C$10*0.001) /10^9</f>
        <v>3.8385319280296546</v>
      </c>
      <c r="K12" s="40">
        <f>F12*Assumptions!$C$65/(Assumptions!$C$10*0.001) /10^9</f>
        <v>4.6589332295950063</v>
      </c>
      <c r="L12" s="47">
        <f>4</f>
        <v>4</v>
      </c>
      <c r="M12" s="39">
        <v>22.2</v>
      </c>
      <c r="N12" s="39">
        <v>40</v>
      </c>
      <c r="O12" s="44">
        <f>N12*Assumptions!$C$97/(Assumptions!$G$14*0.001) /10^9*M12/100</f>
        <v>5.4625753105035653</v>
      </c>
      <c r="P12" s="48">
        <f>Assumptions!$C$114*Assumptions!$C$113/(Assumptions!$G$14*0.001) /10^9</f>
        <v>0.69300342293188655</v>
      </c>
      <c r="Q12" s="42">
        <f t="shared" si="0"/>
        <v>78.311961703674569</v>
      </c>
      <c r="S12" s="29" t="str">
        <f t="shared" si="1"/>
        <v>(250,69,60,100,40,0.22)</v>
      </c>
    </row>
    <row r="13" spans="2:19">
      <c r="B13" s="38">
        <v>12</v>
      </c>
      <c r="C13" s="39">
        <v>250</v>
      </c>
      <c r="D13" s="39">
        <v>68</v>
      </c>
      <c r="E13" s="37">
        <v>70</v>
      </c>
      <c r="F13" s="39">
        <v>100</v>
      </c>
      <c r="G13" s="40">
        <f>B13*Assumptions!$C$19*365*24*Assumptions!$D$26*1000/(Assumptions!$C$10*0.001) /10^9</f>
        <v>12.833780869565217</v>
      </c>
      <c r="H13" s="40">
        <f>C13*Assumptions!$C$20*365*24*Assumptions!$D$30*1000/(Assumptions!$C$10*0.001) /10^9</f>
        <v>43.86534406777713</v>
      </c>
      <c r="I13" s="40">
        <f>E13*Assumptions!$C$46/(Assumptions!$C$10*0.001) /10^9</f>
        <v>3.4530916878174751</v>
      </c>
      <c r="J13" s="40">
        <f>D13*Assumptions!$C$56/(Assumptions!$C$10*0.001) /10^9</f>
        <v>3.782901030521979</v>
      </c>
      <c r="K13" s="40">
        <f>F13*Assumptions!$C$65/(Assumptions!$C$10*0.001) /10^9</f>
        <v>4.6589332295950063</v>
      </c>
      <c r="L13" s="47">
        <f>4</f>
        <v>4</v>
      </c>
      <c r="M13" s="39">
        <v>24.08</v>
      </c>
      <c r="N13" s="39">
        <v>36</v>
      </c>
      <c r="O13" s="44">
        <f>N13*Assumptions!$C$97/(Assumptions!$G$14*0.001) /10^9*M13/100</f>
        <v>5.3326546004159123</v>
      </c>
      <c r="P13" s="48">
        <f>Assumptions!$C$114*Assumptions!$C$113/(Assumptions!$G$14*0.001) /10^9</f>
        <v>0.69300342293188655</v>
      </c>
      <c r="Q13" s="42">
        <f t="shared" si="0"/>
        <v>78.619708908624588</v>
      </c>
      <c r="S13" s="29" t="str">
        <f t="shared" si="1"/>
        <v>(250,68,70,100,36,0.24)</v>
      </c>
    </row>
    <row r="14" spans="2:19">
      <c r="B14" s="38">
        <v>12</v>
      </c>
      <c r="C14" s="39">
        <v>250</v>
      </c>
      <c r="D14" s="39">
        <v>67</v>
      </c>
      <c r="E14" s="37">
        <v>80</v>
      </c>
      <c r="F14" s="39">
        <v>100</v>
      </c>
      <c r="G14" s="40">
        <f>B14*Assumptions!$C$19*365*24*Assumptions!$D$26*1000/(Assumptions!$C$10*0.001) /10^9</f>
        <v>12.833780869565217</v>
      </c>
      <c r="H14" s="40">
        <f>C14*Assumptions!$C$20*365*24*Assumptions!$D$30*1000/(Assumptions!$C$10*0.001) /10^9</f>
        <v>43.86534406777713</v>
      </c>
      <c r="I14" s="40">
        <f>E14*Assumptions!$C$46/(Assumptions!$C$10*0.001) /10^9</f>
        <v>3.9463905003628286</v>
      </c>
      <c r="J14" s="40">
        <f>D14*Assumptions!$C$56/(Assumptions!$C$10*0.001) /10^9</f>
        <v>3.7272701330143021</v>
      </c>
      <c r="K14" s="40">
        <f>F14*Assumptions!$C$65/(Assumptions!$C$10*0.001) /10^9</f>
        <v>4.6589332295950063</v>
      </c>
      <c r="L14" s="47">
        <f>4</f>
        <v>4</v>
      </c>
      <c r="M14" s="39">
        <v>25.04</v>
      </c>
      <c r="N14" s="39">
        <v>35</v>
      </c>
      <c r="O14" s="44">
        <f>N14*Assumptions!$C$97/(Assumptions!$G$14*0.001) /10^9*M14/100</f>
        <v>5.3912173447357246</v>
      </c>
      <c r="P14" s="48">
        <f>Assumptions!$C$114*Assumptions!$C$113/(Assumptions!$G$14*0.001) /10^9</f>
        <v>0.69300342293188655</v>
      </c>
      <c r="Q14" s="42">
        <f t="shared" si="0"/>
        <v>79.115939567982096</v>
      </c>
      <c r="S14" s="29" t="str">
        <f t="shared" si="1"/>
        <v>(250,67,80,100,35,0.25)</v>
      </c>
    </row>
    <row r="15" spans="2:19" ht="16.95" customHeight="1">
      <c r="B15" s="38">
        <v>12</v>
      </c>
      <c r="C15" s="39">
        <v>250</v>
      </c>
      <c r="D15" s="39">
        <v>67</v>
      </c>
      <c r="E15" s="37">
        <v>90</v>
      </c>
      <c r="F15" s="39">
        <v>100</v>
      </c>
      <c r="G15" s="40">
        <f>B15*Assumptions!$C$19*365*24*Assumptions!$D$26*1000/(Assumptions!$C$10*0.001) /10^9</f>
        <v>12.833780869565217</v>
      </c>
      <c r="H15" s="40">
        <f>C15*Assumptions!$C$20*365*24*Assumptions!$D$30*1000/(Assumptions!$C$10*0.001) /10^9</f>
        <v>43.86534406777713</v>
      </c>
      <c r="I15" s="40">
        <f>E15*Assumptions!$C$46/(Assumptions!$C$10*0.001) /10^9</f>
        <v>4.4396893129081834</v>
      </c>
      <c r="J15" s="40">
        <f>D15*Assumptions!$C$56/(Assumptions!$C$10*0.001) /10^9</f>
        <v>3.7272701330143021</v>
      </c>
      <c r="K15" s="40">
        <f>F15*Assumptions!$C$65/(Assumptions!$C$10*0.001) /10^9</f>
        <v>4.6589332295950063</v>
      </c>
      <c r="L15" s="47">
        <f>4</f>
        <v>4</v>
      </c>
      <c r="M15" s="39">
        <v>25.64</v>
      </c>
      <c r="N15" s="39">
        <v>34</v>
      </c>
      <c r="O15" s="44">
        <f>N15*Assumptions!$C$97/(Assumptions!$G$14*0.001) /10^9*M15/100</f>
        <v>5.3626741584285886</v>
      </c>
      <c r="P15" s="48">
        <f>Assumptions!$C$114*Assumptions!$C$113/(Assumptions!$G$14*0.001) /10^9</f>
        <v>0.69300342293188655</v>
      </c>
      <c r="Q15" s="42">
        <f t="shared" si="0"/>
        <v>79.580695194220311</v>
      </c>
      <c r="S15" s="29" t="str">
        <f t="shared" si="1"/>
        <v>(250,67,90,100,34,0.26)</v>
      </c>
    </row>
    <row r="16" spans="2:19" ht="16.95" customHeight="1">
      <c r="B16" s="38">
        <v>12</v>
      </c>
      <c r="C16" s="39">
        <v>250</v>
      </c>
      <c r="D16" s="39">
        <v>67</v>
      </c>
      <c r="E16" s="37">
        <v>100</v>
      </c>
      <c r="F16" s="39">
        <v>100</v>
      </c>
      <c r="G16" s="40">
        <f>B16*Assumptions!$C$19*365*24*Assumptions!$D$26*1000/(Assumptions!$C$10*0.001) /10^9</f>
        <v>12.833780869565217</v>
      </c>
      <c r="H16" s="40">
        <f>C16*Assumptions!$C$20*365*24*Assumptions!$D$30*1000/(Assumptions!$C$10*0.001) /10^9</f>
        <v>43.86534406777713</v>
      </c>
      <c r="I16" s="40">
        <f>E16*Assumptions!$C$46/(Assumptions!$C$10*0.001) /10^9</f>
        <v>4.9329881254535364</v>
      </c>
      <c r="J16" s="40">
        <f>D16*Assumptions!$C$56/(Assumptions!$C$10*0.001) /10^9</f>
        <v>3.7272701330143021</v>
      </c>
      <c r="K16" s="40">
        <f>F16*Assumptions!$C$65/(Assumptions!$C$10*0.001) /10^9</f>
        <v>4.6589332295950063</v>
      </c>
      <c r="L16" s="47">
        <f>4</f>
        <v>4</v>
      </c>
      <c r="M16" s="39">
        <v>26.03</v>
      </c>
      <c r="N16" s="39">
        <v>33</v>
      </c>
      <c r="O16" s="44">
        <f>N16*Assumptions!$C$97/(Assumptions!$G$14*0.001) /10^9*M16/100</f>
        <v>5.2841188805962354</v>
      </c>
      <c r="P16" s="48">
        <f>Assumptions!$C$114*Assumptions!$C$113/(Assumptions!$G$14*0.001) /10^9</f>
        <v>0.69300342293188655</v>
      </c>
      <c r="Q16" s="42">
        <f t="shared" si="0"/>
        <v>79.995438728933308</v>
      </c>
      <c r="S16" s="29" t="str">
        <f t="shared" si="1"/>
        <v>(250,67,100,100,33,0.26)</v>
      </c>
    </row>
    <row r="17" spans="2:19" ht="16.95" customHeight="1">
      <c r="B17" s="38">
        <v>12</v>
      </c>
      <c r="C17" s="39">
        <v>260</v>
      </c>
      <c r="D17" s="39">
        <v>63</v>
      </c>
      <c r="E17" s="37">
        <v>40</v>
      </c>
      <c r="F17" s="39">
        <v>100</v>
      </c>
      <c r="G17" s="40">
        <f>B17*Assumptions!$C$19*365*24*Assumptions!$D$26*1000/(Assumptions!$C$10*0.001) /10^9</f>
        <v>12.833780869565217</v>
      </c>
      <c r="H17" s="40">
        <f>C17*Assumptions!$C$20*365*24*Assumptions!$D$30*1000/(Assumptions!$C$10*0.001) /10^9</f>
        <v>45.619957830488204</v>
      </c>
      <c r="I17" s="40">
        <f>E17*Assumptions!$C$46/(Assumptions!$C$10*0.001) /10^9</f>
        <v>1.9731952501814143</v>
      </c>
      <c r="J17" s="40">
        <f>D17*Assumptions!$C$56/(Assumptions!$C$10*0.001) /10^9</f>
        <v>3.5047465429835976</v>
      </c>
      <c r="K17" s="40">
        <f>F17*Assumptions!$C$65/(Assumptions!$C$10*0.001) /10^9</f>
        <v>4.6589332295950063</v>
      </c>
      <c r="L17" s="47">
        <f>4</f>
        <v>4</v>
      </c>
      <c r="M17" s="39">
        <v>20.66</v>
      </c>
      <c r="N17" s="39">
        <v>43</v>
      </c>
      <c r="O17" s="44">
        <f>N17*Assumptions!$C$97/(Assumptions!$G$14*0.001) /10^9*M17/100</f>
        <v>5.4649128990373388</v>
      </c>
      <c r="P17" s="48">
        <f>Assumptions!$C$114*Assumptions!$C$113/(Assumptions!$G$14*0.001) /10^9</f>
        <v>0.69300342293188655</v>
      </c>
      <c r="Q17" s="42">
        <f t="shared" si="0"/>
        <v>78.748530044782655</v>
      </c>
      <c r="S17" s="29" t="str">
        <f t="shared" si="1"/>
        <v>(260,63,40,100,43,0.21)</v>
      </c>
    </row>
    <row r="18" spans="2:19" ht="16.95" customHeight="1">
      <c r="B18" s="38">
        <v>12</v>
      </c>
      <c r="C18" s="39">
        <v>260</v>
      </c>
      <c r="D18" s="39">
        <v>60</v>
      </c>
      <c r="E18" s="37">
        <v>50</v>
      </c>
      <c r="F18" s="39">
        <v>100</v>
      </c>
      <c r="G18" s="40">
        <f>B18*Assumptions!$C$19*365*24*Assumptions!$D$26*1000/(Assumptions!$C$10*0.001) /10^9</f>
        <v>12.833780869565217</v>
      </c>
      <c r="H18" s="40">
        <f>C18*Assumptions!$C$20*365*24*Assumptions!$D$30*1000/(Assumptions!$C$10*0.001) /10^9</f>
        <v>45.619957830488204</v>
      </c>
      <c r="I18" s="40">
        <f>E18*Assumptions!$C$46/(Assumptions!$C$10*0.001) /10^9</f>
        <v>2.4664940627267682</v>
      </c>
      <c r="J18" s="40">
        <f>D18*Assumptions!$C$56/(Assumptions!$C$10*0.001) /10^9</f>
        <v>3.3378538504605695</v>
      </c>
      <c r="K18" s="40">
        <f>F18*Assumptions!$C$65/(Assumptions!$C$10*0.001) /10^9</f>
        <v>4.6589332295950063</v>
      </c>
      <c r="L18" s="47">
        <f>4</f>
        <v>4</v>
      </c>
      <c r="M18" s="39">
        <v>25.81</v>
      </c>
      <c r="N18" s="39">
        <v>33</v>
      </c>
      <c r="O18" s="44">
        <f>N18*Assumptions!$C$97/(Assumptions!$G$14*0.001) /10^9*M18/100</f>
        <v>5.2394586365036036</v>
      </c>
      <c r="P18" s="48">
        <f>Assumptions!$C$114*Assumptions!$C$113/(Assumptions!$G$14*0.001) /10^9</f>
        <v>0.69300342293188655</v>
      </c>
      <c r="Q18" s="42">
        <f t="shared" si="0"/>
        <v>78.849481902271251</v>
      </c>
      <c r="S18" s="29" t="str">
        <f t="shared" si="1"/>
        <v>(260,60,50,100,33,0.26)</v>
      </c>
    </row>
    <row r="19" spans="2:19">
      <c r="B19" s="38">
        <v>12</v>
      </c>
      <c r="C19" s="39">
        <v>260</v>
      </c>
      <c r="D19" s="39">
        <v>58</v>
      </c>
      <c r="E19" s="37">
        <v>60</v>
      </c>
      <c r="F19" s="39">
        <v>100</v>
      </c>
      <c r="G19" s="40">
        <f>B19*Assumptions!$C$19*365*24*Assumptions!$D$26*1000/(Assumptions!$C$10*0.001) /10^9</f>
        <v>12.833780869565217</v>
      </c>
      <c r="H19" s="40">
        <f>C19*Assumptions!$C$20*365*24*Assumptions!$D$30*1000/(Assumptions!$C$10*0.001) /10^9</f>
        <v>45.619957830488204</v>
      </c>
      <c r="I19" s="40">
        <f>E19*Assumptions!$C$46/(Assumptions!$C$10*0.001) /10^9</f>
        <v>2.9597928752721221</v>
      </c>
      <c r="J19" s="40">
        <f>D19*Assumptions!$C$56/(Assumptions!$C$10*0.001) /10^9</f>
        <v>3.226592055445217</v>
      </c>
      <c r="K19" s="40">
        <f>F19*Assumptions!$C$65/(Assumptions!$C$10*0.001) /10^9</f>
        <v>4.6589332295950063</v>
      </c>
      <c r="L19" s="47">
        <f>4</f>
        <v>4</v>
      </c>
      <c r="M19" s="39">
        <v>28.82</v>
      </c>
      <c r="N19" s="39">
        <v>29</v>
      </c>
      <c r="O19" s="44">
        <f>N19*Assumptions!$C$97/(Assumptions!$G$14*0.001) /10^9*M19/100</f>
        <v>5.1413414335728271</v>
      </c>
      <c r="P19" s="48">
        <f>Assumptions!$C$114*Assumptions!$C$113/(Assumptions!$G$14*0.001) /10^9</f>
        <v>0.69300342293188655</v>
      </c>
      <c r="Q19" s="42">
        <f t="shared" si="0"/>
        <v>79.13340171687048</v>
      </c>
      <c r="S19" s="29" t="str">
        <f t="shared" si="1"/>
        <v>(260,58,60,100,29,0.29)</v>
      </c>
    </row>
    <row r="20" spans="2:19">
      <c r="B20" s="38">
        <v>12</v>
      </c>
      <c r="C20" s="39">
        <v>260</v>
      </c>
      <c r="D20" s="39">
        <v>57</v>
      </c>
      <c r="E20" s="37">
        <v>70</v>
      </c>
      <c r="F20" s="39">
        <v>100</v>
      </c>
      <c r="G20" s="40">
        <f>B20*Assumptions!$C$19*365*24*Assumptions!$D$26*1000/(Assumptions!$C$10*0.001) /10^9</f>
        <v>12.833780869565217</v>
      </c>
      <c r="H20" s="40">
        <f>C20*Assumptions!$C$20*365*24*Assumptions!$D$30*1000/(Assumptions!$C$10*0.001) /10^9</f>
        <v>45.619957830488204</v>
      </c>
      <c r="I20" s="40">
        <f>E20*Assumptions!$C$46/(Assumptions!$C$10*0.001) /10^9</f>
        <v>3.4530916878174751</v>
      </c>
      <c r="J20" s="40">
        <f>D20*Assumptions!$C$56/(Assumptions!$C$10*0.001) /10^9</f>
        <v>3.170961157937541</v>
      </c>
      <c r="K20" s="40">
        <f>F20*Assumptions!$C$65/(Assumptions!$C$10*0.001) /10^9</f>
        <v>4.6589332295950063</v>
      </c>
      <c r="L20" s="47">
        <f>4</f>
        <v>4</v>
      </c>
      <c r="M20" s="39">
        <v>30.61</v>
      </c>
      <c r="N20" s="39">
        <v>27</v>
      </c>
      <c r="O20" s="44">
        <f>N20*Assumptions!$C$97/(Assumptions!$G$14*0.001) /10^9*M20/100</f>
        <v>5.0840705144953615</v>
      </c>
      <c r="P20" s="48">
        <f>Assumptions!$C$114*Assumptions!$C$113/(Assumptions!$G$14*0.001) /10^9</f>
        <v>0.69300342293188655</v>
      </c>
      <c r="Q20" s="42">
        <f t="shared" si="0"/>
        <v>79.513798712830692</v>
      </c>
      <c r="S20" s="29" t="str">
        <f t="shared" si="1"/>
        <v>(260,57,70,100,27,0.31)</v>
      </c>
    </row>
    <row r="21" spans="2:19">
      <c r="B21" s="38">
        <v>12</v>
      </c>
      <c r="C21" s="39">
        <v>260</v>
      </c>
      <c r="D21" s="39">
        <v>56</v>
      </c>
      <c r="E21" s="37">
        <v>80</v>
      </c>
      <c r="F21" s="39">
        <v>100</v>
      </c>
      <c r="G21" s="40">
        <f>B21*Assumptions!$C$19*365*24*Assumptions!$D$26*1000/(Assumptions!$C$10*0.001) /10^9</f>
        <v>12.833780869565217</v>
      </c>
      <c r="H21" s="40">
        <f>C21*Assumptions!$C$20*365*24*Assumptions!$D$30*1000/(Assumptions!$C$10*0.001) /10^9</f>
        <v>45.619957830488204</v>
      </c>
      <c r="I21" s="40">
        <f>E21*Assumptions!$C$46/(Assumptions!$C$10*0.001) /10^9</f>
        <v>3.9463905003628286</v>
      </c>
      <c r="J21" s="40">
        <f>D21*Assumptions!$C$56/(Assumptions!$C$10*0.001) /10^9</f>
        <v>3.1153302604298649</v>
      </c>
      <c r="K21" s="40">
        <f>F21*Assumptions!$C$65/(Assumptions!$C$10*0.001) /10^9</f>
        <v>4.6589332295950063</v>
      </c>
      <c r="L21" s="47">
        <f>4</f>
        <v>4</v>
      </c>
      <c r="M21" s="39">
        <v>31.81</v>
      </c>
      <c r="N21" s="39">
        <v>26</v>
      </c>
      <c r="O21" s="44">
        <f>N21*Assumptions!$C$97/(Assumptions!$G$14*0.001) /10^9*M21/100</f>
        <v>5.0876999282714843</v>
      </c>
      <c r="P21" s="48">
        <f>Assumptions!$C$114*Assumptions!$C$113/(Assumptions!$G$14*0.001) /10^9</f>
        <v>0.69300342293188655</v>
      </c>
      <c r="Q21" s="42">
        <f t="shared" si="0"/>
        <v>79.955096041644495</v>
      </c>
      <c r="S21" s="29" t="str">
        <f t="shared" si="1"/>
        <v>(260,56,80,100,26,0.32)</v>
      </c>
    </row>
    <row r="22" spans="2:19">
      <c r="B22" s="38">
        <v>12</v>
      </c>
      <c r="C22" s="39">
        <v>260</v>
      </c>
      <c r="D22" s="39">
        <v>55</v>
      </c>
      <c r="E22" s="37">
        <v>90</v>
      </c>
      <c r="F22" s="39">
        <v>100</v>
      </c>
      <c r="G22" s="40">
        <f>B22*Assumptions!$C$19*365*24*Assumptions!$D$26*1000/(Assumptions!$C$10*0.001) /10^9</f>
        <v>12.833780869565217</v>
      </c>
      <c r="H22" s="40">
        <f>C22*Assumptions!$C$20*365*24*Assumptions!$D$30*1000/(Assumptions!$C$10*0.001) /10^9</f>
        <v>45.619957830488204</v>
      </c>
      <c r="I22" s="40">
        <f>E22*Assumptions!$C$46/(Assumptions!$C$10*0.001) /10^9</f>
        <v>4.4396893129081834</v>
      </c>
      <c r="J22" s="40">
        <f>D22*Assumptions!$C$56/(Assumptions!$C$10*0.001) /10^9</f>
        <v>3.0596993629221889</v>
      </c>
      <c r="K22" s="40">
        <f>F22*Assumptions!$C$65/(Assumptions!$C$10*0.001) /10^9</f>
        <v>4.6589332295950063</v>
      </c>
      <c r="L22" s="47">
        <f>4</f>
        <v>4</v>
      </c>
      <c r="M22" s="39">
        <v>32.380000000000003</v>
      </c>
      <c r="N22" s="39">
        <v>25</v>
      </c>
      <c r="O22" s="44">
        <f>N22*Assumptions!$C$97/(Assumptions!$G$14*0.001) /10^9*M22/100</f>
        <v>4.9796787318160316</v>
      </c>
      <c r="P22" s="48">
        <f>Assumptions!$C$114*Assumptions!$C$113/(Assumptions!$G$14*0.001) /10^9</f>
        <v>0.69300342293188655</v>
      </c>
      <c r="Q22" s="42">
        <f t="shared" si="0"/>
        <v>80.28474276022672</v>
      </c>
      <c r="S22" s="29" t="str">
        <f t="shared" si="1"/>
        <v>(260,55,90,100,25,0.32)</v>
      </c>
    </row>
    <row r="23" spans="2:19">
      <c r="B23" s="38">
        <v>12</v>
      </c>
      <c r="C23" s="39">
        <v>260</v>
      </c>
      <c r="D23" s="39">
        <v>55</v>
      </c>
      <c r="E23" s="37">
        <v>100</v>
      </c>
      <c r="F23" s="39">
        <v>100</v>
      </c>
      <c r="G23" s="40">
        <f>B23*Assumptions!$C$19*365*24*Assumptions!$D$26*1000/(Assumptions!$C$10*0.001) /10^9</f>
        <v>12.833780869565217</v>
      </c>
      <c r="H23" s="40">
        <f>C23*Assumptions!$C$20*365*24*Assumptions!$D$30*1000/(Assumptions!$C$10*0.001) /10^9</f>
        <v>45.619957830488204</v>
      </c>
      <c r="I23" s="40">
        <f>E23*Assumptions!$C$46/(Assumptions!$C$10*0.001) /10^9</f>
        <v>4.9329881254535364</v>
      </c>
      <c r="J23" s="40">
        <f>D23*Assumptions!$C$56/(Assumptions!$C$10*0.001) /10^9</f>
        <v>3.0596993629221889</v>
      </c>
      <c r="K23" s="40">
        <f>F23*Assumptions!$C$65/(Assumptions!$C$10*0.001) /10^9</f>
        <v>4.6589332295950063</v>
      </c>
      <c r="L23" s="47">
        <f>4</f>
        <v>4</v>
      </c>
      <c r="M23" s="39">
        <v>32.659999999999997</v>
      </c>
      <c r="N23" s="39">
        <v>25</v>
      </c>
      <c r="O23" s="44">
        <f>N23*Assumptions!$C$97/(Assumptions!$G$14*0.001) /10^9*M23/100</f>
        <v>5.0227395732276587</v>
      </c>
      <c r="P23" s="48">
        <f>Assumptions!$C$114*Assumptions!$C$113/(Assumptions!$G$14*0.001) /10^9</f>
        <v>0.69300342293188655</v>
      </c>
      <c r="Q23" s="42">
        <f t="shared" si="0"/>
        <v>80.821102414183684</v>
      </c>
      <c r="S23" s="29" t="str">
        <f t="shared" si="1"/>
        <v>(260,55,100,100,25,0.33)</v>
      </c>
    </row>
    <row r="24" spans="2:19">
      <c r="B24" s="38">
        <v>12</v>
      </c>
      <c r="C24" s="39">
        <v>270</v>
      </c>
      <c r="D24" s="39">
        <v>61</v>
      </c>
      <c r="E24" s="37">
        <v>30</v>
      </c>
      <c r="F24" s="39">
        <v>100</v>
      </c>
      <c r="G24" s="40">
        <f>B24*Assumptions!$C$19*365*24*Assumptions!$D$26*1000/(Assumptions!$C$10*0.001) /10^9</f>
        <v>12.833780869565217</v>
      </c>
      <c r="H24" s="40">
        <f>C24*Assumptions!$C$20*365*24*Assumptions!$D$30*1000/(Assumptions!$C$10*0.001) /10^9</f>
        <v>47.374571593199285</v>
      </c>
      <c r="I24" s="40">
        <f>E24*Assumptions!$C$46/(Assumptions!$C$10*0.001) /10^9</f>
        <v>1.479896437636061</v>
      </c>
      <c r="J24" s="40">
        <f>D24*Assumptions!$C$56/(Assumptions!$C$10*0.001) /10^9</f>
        <v>3.393484747968246</v>
      </c>
      <c r="K24" s="40">
        <f>F24*Assumptions!$C$65/(Assumptions!$C$10*0.001) /10^9</f>
        <v>4.6589332295950063</v>
      </c>
      <c r="L24" s="47">
        <f>4</f>
        <v>4</v>
      </c>
      <c r="M24" s="39">
        <v>18.579999999999998</v>
      </c>
      <c r="N24" s="39">
        <v>49</v>
      </c>
      <c r="O24" s="44">
        <f>N24*Assumptions!$C$97/(Assumptions!$G$14*0.001) /10^9*M24/100</f>
        <v>5.6004930339962335</v>
      </c>
      <c r="P24" s="48">
        <f>Assumptions!$C$114*Assumptions!$C$113/(Assumptions!$G$14*0.001) /10^9</f>
        <v>0.69300342293188655</v>
      </c>
      <c r="Q24" s="42">
        <f t="shared" si="0"/>
        <v>80.034163334891929</v>
      </c>
      <c r="S24" s="29" t="str">
        <f t="shared" si="1"/>
        <v>(270,61,30,100,49,0.19)</v>
      </c>
    </row>
    <row r="25" spans="2:19">
      <c r="B25" s="38">
        <v>12</v>
      </c>
      <c r="C25" s="39">
        <v>270</v>
      </c>
      <c r="D25" s="39">
        <v>53</v>
      </c>
      <c r="E25" s="37">
        <v>40</v>
      </c>
      <c r="F25" s="39">
        <v>100</v>
      </c>
      <c r="G25" s="40">
        <f>B25*Assumptions!$C$19*365*24*Assumptions!$D$26*1000/(Assumptions!$C$10*0.001) /10^9</f>
        <v>12.833780869565217</v>
      </c>
      <c r="H25" s="40">
        <f>C25*Assumptions!$C$20*365*24*Assumptions!$D$30*1000/(Assumptions!$C$10*0.001) /10^9</f>
        <v>47.374571593199285</v>
      </c>
      <c r="I25" s="40">
        <f>E25*Assumptions!$C$46/(Assumptions!$C$10*0.001) /10^9</f>
        <v>1.9731952501814143</v>
      </c>
      <c r="J25" s="40">
        <f>D25*Assumptions!$C$56/(Assumptions!$C$10*0.001) /10^9</f>
        <v>2.9484375679068364</v>
      </c>
      <c r="K25" s="40">
        <f>F25*Assumptions!$C$65/(Assumptions!$C$10*0.001) /10^9</f>
        <v>4.6589332295950063</v>
      </c>
      <c r="L25" s="47">
        <f>4</f>
        <v>4</v>
      </c>
      <c r="M25" s="39">
        <v>27.51</v>
      </c>
      <c r="N25" s="39">
        <v>30</v>
      </c>
      <c r="O25" s="44">
        <f>N25*Assumptions!$C$97/(Assumptions!$G$14*0.001) /10^9*M25/100</f>
        <v>5.0768732024308472</v>
      </c>
      <c r="P25" s="48">
        <f>Assumptions!$C$114*Assumptions!$C$113/(Assumptions!$G$14*0.001) /10^9</f>
        <v>0.69300342293188655</v>
      </c>
      <c r="Q25" s="42">
        <f t="shared" si="0"/>
        <v>79.558795135810485</v>
      </c>
      <c r="S25" s="29" t="str">
        <f t="shared" si="1"/>
        <v>(270,53,40,100,30,0.28)</v>
      </c>
    </row>
    <row r="26" spans="2:19">
      <c r="B26" s="38">
        <v>12</v>
      </c>
      <c r="C26" s="39">
        <v>270</v>
      </c>
      <c r="D26" s="39">
        <v>50</v>
      </c>
      <c r="E26" s="37">
        <v>50</v>
      </c>
      <c r="F26" s="39">
        <v>100</v>
      </c>
      <c r="G26" s="40">
        <f>B26*Assumptions!$C$19*365*24*Assumptions!$D$26*1000/(Assumptions!$C$10*0.001) /10^9</f>
        <v>12.833780869565217</v>
      </c>
      <c r="H26" s="40">
        <f>C26*Assumptions!$C$20*365*24*Assumptions!$D$30*1000/(Assumptions!$C$10*0.001) /10^9</f>
        <v>47.374571593199285</v>
      </c>
      <c r="I26" s="40">
        <f>E26*Assumptions!$C$46/(Assumptions!$C$10*0.001) /10^9</f>
        <v>2.4664940627267682</v>
      </c>
      <c r="J26" s="40">
        <f>D26*Assumptions!$C$56/(Assumptions!$C$10*0.001) /10^9</f>
        <v>2.7815448753838083</v>
      </c>
      <c r="K26" s="40">
        <f>F26*Assumptions!$C$65/(Assumptions!$C$10*0.001) /10^9</f>
        <v>4.6589332295950063</v>
      </c>
      <c r="L26" s="47">
        <f>4</f>
        <v>4</v>
      </c>
      <c r="M26" s="39">
        <v>32.18</v>
      </c>
      <c r="N26" s="39">
        <v>25</v>
      </c>
      <c r="O26" s="44">
        <f>N26*Assumptions!$C$97/(Assumptions!$G$14*0.001) /10^9*M26/100</f>
        <v>4.9489209879505838</v>
      </c>
      <c r="P26" s="48">
        <f>Assumptions!$C$114*Assumptions!$C$113/(Assumptions!$G$14*0.001) /10^9</f>
        <v>0.69300342293188655</v>
      </c>
      <c r="Q26" s="42">
        <f t="shared" si="0"/>
        <v>79.757249041352551</v>
      </c>
      <c r="S26" s="29" t="str">
        <f t="shared" si="1"/>
        <v>(270,50,50,100,25,0.32)</v>
      </c>
    </row>
    <row r="27" spans="2:19">
      <c r="B27" s="38">
        <v>12</v>
      </c>
      <c r="C27" s="39">
        <v>270</v>
      </c>
      <c r="D27" s="39">
        <v>47</v>
      </c>
      <c r="E27" s="37">
        <v>60</v>
      </c>
      <c r="F27" s="39">
        <v>100</v>
      </c>
      <c r="G27" s="40">
        <f>B27*Assumptions!$C$19*365*24*Assumptions!$D$26*1000/(Assumptions!$C$10*0.001) /10^9</f>
        <v>12.833780869565217</v>
      </c>
      <c r="H27" s="40">
        <f>C27*Assumptions!$C$20*365*24*Assumptions!$D$30*1000/(Assumptions!$C$10*0.001) /10^9</f>
        <v>47.374571593199285</v>
      </c>
      <c r="I27" s="40">
        <f>E27*Assumptions!$C$46/(Assumptions!$C$10*0.001) /10^9</f>
        <v>2.9597928752721221</v>
      </c>
      <c r="J27" s="40">
        <f>D27*Assumptions!$C$56/(Assumptions!$C$10*0.001) /10^9</f>
        <v>2.6146521828607794</v>
      </c>
      <c r="K27" s="40">
        <f>F27*Assumptions!$C$65/(Assumptions!$C$10*0.001) /10^9</f>
        <v>4.6589332295950063</v>
      </c>
      <c r="L27" s="47">
        <f>4</f>
        <v>4</v>
      </c>
      <c r="M27" s="39">
        <v>34.85</v>
      </c>
      <c r="N27" s="39">
        <v>23</v>
      </c>
      <c r="O27" s="44">
        <f>N27*Assumptions!$C$97/(Assumptions!$G$14*0.001) /10^9*M27/100</f>
        <v>4.9307739190699689</v>
      </c>
      <c r="P27" s="48">
        <f>Assumptions!$C$114*Assumptions!$C$113/(Assumptions!$G$14*0.001) /10^9</f>
        <v>0.69300342293188655</v>
      </c>
      <c r="Q27" s="42">
        <f t="shared" si="0"/>
        <v>80.065508092494255</v>
      </c>
      <c r="S27" s="29" t="str">
        <f t="shared" si="1"/>
        <v>(270,47,60,100,23,0.35)</v>
      </c>
    </row>
    <row r="28" spans="2:19">
      <c r="B28" s="38">
        <v>12</v>
      </c>
      <c r="C28" s="39">
        <v>270</v>
      </c>
      <c r="D28" s="39">
        <v>46</v>
      </c>
      <c r="E28" s="37">
        <v>70</v>
      </c>
      <c r="F28" s="39">
        <v>100</v>
      </c>
      <c r="G28" s="40">
        <f>B28*Assumptions!$C$19*365*24*Assumptions!$D$26*1000/(Assumptions!$C$10*0.001) /10^9</f>
        <v>12.833780869565217</v>
      </c>
      <c r="H28" s="40">
        <f>C28*Assumptions!$C$20*365*24*Assumptions!$D$30*1000/(Assumptions!$C$10*0.001) /10^9</f>
        <v>47.374571593199285</v>
      </c>
      <c r="I28" s="40">
        <f>E28*Assumptions!$C$46/(Assumptions!$C$10*0.001) /10^9</f>
        <v>3.4530916878174751</v>
      </c>
      <c r="J28" s="40">
        <f>D28*Assumptions!$C$56/(Assumptions!$C$10*0.001) /10^9</f>
        <v>2.5590212853531038</v>
      </c>
      <c r="K28" s="40">
        <f>F28*Assumptions!$C$65/(Assumptions!$C$10*0.001) /10^9</f>
        <v>4.6589332295950063</v>
      </c>
      <c r="L28" s="47">
        <f>4</f>
        <v>4</v>
      </c>
      <c r="M28" s="39">
        <v>36.299999999999997</v>
      </c>
      <c r="N28" s="39">
        <v>22</v>
      </c>
      <c r="O28" s="44">
        <f>N28*Assumptions!$C$97/(Assumptions!$G$14*0.001) /10^9*M28/100</f>
        <v>4.912626850189354</v>
      </c>
      <c r="P28" s="48">
        <f>Assumptions!$C$114*Assumptions!$C$113/(Assumptions!$G$14*0.001) /10^9</f>
        <v>0.69300342293188655</v>
      </c>
      <c r="Q28" s="42">
        <f t="shared" si="0"/>
        <v>80.485028938651325</v>
      </c>
      <c r="S28" s="29" t="str">
        <f t="shared" si="1"/>
        <v>(270,46,70,100,22,0.36)</v>
      </c>
    </row>
    <row r="29" spans="2:19">
      <c r="B29" s="38">
        <v>12</v>
      </c>
      <c r="C29" s="39">
        <v>270</v>
      </c>
      <c r="D29" s="39">
        <v>45</v>
      </c>
      <c r="E29" s="37">
        <v>80</v>
      </c>
      <c r="F29" s="39">
        <v>100</v>
      </c>
      <c r="G29" s="40">
        <f>B29*Assumptions!$C$19*365*24*Assumptions!$D$26*1000/(Assumptions!$C$10*0.001) /10^9</f>
        <v>12.833780869565217</v>
      </c>
      <c r="H29" s="40">
        <f>C29*Assumptions!$C$20*365*24*Assumptions!$D$30*1000/(Assumptions!$C$10*0.001) /10^9</f>
        <v>47.374571593199285</v>
      </c>
      <c r="I29" s="40">
        <f>E29*Assumptions!$C$46/(Assumptions!$C$10*0.001) /10^9</f>
        <v>3.9463905003628286</v>
      </c>
      <c r="J29" s="40">
        <f>D29*Assumptions!$C$56/(Assumptions!$C$10*0.001) /10^9</f>
        <v>2.5033903878454269</v>
      </c>
      <c r="K29" s="40">
        <f>F29*Assumptions!$C$65/(Assumptions!$C$10*0.001) /10^9</f>
        <v>4.6589332295950063</v>
      </c>
      <c r="L29" s="47">
        <f>4</f>
        <v>4</v>
      </c>
      <c r="M29" s="39">
        <v>37.200000000000003</v>
      </c>
      <c r="N29" s="39">
        <v>21</v>
      </c>
      <c r="O29" s="44">
        <f>N29*Assumptions!$C$97/(Assumptions!$G$14*0.001) /10^9*M29/100</f>
        <v>4.805589901537596</v>
      </c>
      <c r="P29" s="48">
        <f>Assumptions!$C$114*Assumptions!$C$113/(Assumptions!$G$14*0.001) /10^9</f>
        <v>0.69300342293188655</v>
      </c>
      <c r="Q29" s="42">
        <f t="shared" si="0"/>
        <v>80.815659905037251</v>
      </c>
      <c r="S29" s="29" t="str">
        <f t="shared" si="1"/>
        <v>(270,45,80,100,21,0.37)</v>
      </c>
    </row>
    <row r="30" spans="2:19">
      <c r="B30" s="38">
        <v>12</v>
      </c>
      <c r="C30" s="39">
        <v>270</v>
      </c>
      <c r="D30" s="39">
        <v>44</v>
      </c>
      <c r="E30" s="37">
        <v>90</v>
      </c>
      <c r="F30" s="39">
        <v>100</v>
      </c>
      <c r="G30" s="40">
        <f>B30*Assumptions!$C$19*365*24*Assumptions!$D$26*1000/(Assumptions!$C$10*0.001) /10^9</f>
        <v>12.833780869565217</v>
      </c>
      <c r="H30" s="40">
        <f>C30*Assumptions!$C$20*365*24*Assumptions!$D$30*1000/(Assumptions!$C$10*0.001) /10^9</f>
        <v>47.374571593199285</v>
      </c>
      <c r="I30" s="40">
        <f>E30*Assumptions!$C$46/(Assumptions!$C$10*0.001) /10^9</f>
        <v>4.4396893129081834</v>
      </c>
      <c r="J30" s="40">
        <f>D30*Assumptions!$C$56/(Assumptions!$C$10*0.001) /10^9</f>
        <v>2.4477594903377509</v>
      </c>
      <c r="K30" s="40">
        <f>F30*Assumptions!$C$65/(Assumptions!$C$10*0.001) /10^9</f>
        <v>4.6589332295950063</v>
      </c>
      <c r="L30" s="47">
        <f>4</f>
        <v>4</v>
      </c>
      <c r="M30" s="39">
        <v>37.78</v>
      </c>
      <c r="N30" s="39">
        <v>21</v>
      </c>
      <c r="O30" s="44">
        <f>N30*Assumptions!$C$97/(Assumptions!$G$14*0.001) /10^9*M30/100</f>
        <v>4.8805157655938274</v>
      </c>
      <c r="P30" s="48">
        <f>Assumptions!$C$114*Assumptions!$C$113/(Assumptions!$G$14*0.001) /10^9</f>
        <v>0.69300342293188655</v>
      </c>
      <c r="Q30" s="42">
        <f t="shared" si="0"/>
        <v>81.328253684131141</v>
      </c>
      <c r="S30" s="29" t="str">
        <f t="shared" si="1"/>
        <v>(270,44,90,100,21,0.38)</v>
      </c>
    </row>
    <row r="31" spans="2:19">
      <c r="B31" s="38">
        <v>12</v>
      </c>
      <c r="C31" s="39">
        <v>270</v>
      </c>
      <c r="D31" s="39">
        <v>44</v>
      </c>
      <c r="E31" s="37">
        <v>100</v>
      </c>
      <c r="F31" s="39">
        <v>100</v>
      </c>
      <c r="G31" s="40">
        <f>B31*Assumptions!$C$19*365*24*Assumptions!$D$26*1000/(Assumptions!$C$10*0.001) /10^9</f>
        <v>12.833780869565217</v>
      </c>
      <c r="H31" s="40">
        <f>C31*Assumptions!$C$20*365*24*Assumptions!$D$30*1000/(Assumptions!$C$10*0.001) /10^9</f>
        <v>47.374571593199285</v>
      </c>
      <c r="I31" s="40">
        <f>E31*Assumptions!$C$46/(Assumptions!$C$10*0.001) /10^9</f>
        <v>4.9329881254535364</v>
      </c>
      <c r="J31" s="40">
        <f>D31*Assumptions!$C$56/(Assumptions!$C$10*0.001) /10^9</f>
        <v>2.4477594903377509</v>
      </c>
      <c r="K31" s="40">
        <f>F31*Assumptions!$C$65/(Assumptions!$C$10*0.001) /10^9</f>
        <v>4.6589332295950063</v>
      </c>
      <c r="L31" s="47">
        <f>4</f>
        <v>4</v>
      </c>
      <c r="M31" s="39">
        <v>38.090000000000003</v>
      </c>
      <c r="N31" s="39">
        <v>21</v>
      </c>
      <c r="O31" s="44">
        <f>N31*Assumptions!$C$97/(Assumptions!$G$14*0.001) /10^9*M31/100</f>
        <v>4.9205623481066407</v>
      </c>
      <c r="P31" s="48">
        <f>Assumptions!$C$114*Assumptions!$C$113/(Assumptions!$G$14*0.001) /10^9</f>
        <v>0.69300342293188655</v>
      </c>
      <c r="Q31" s="42">
        <f t="shared" si="0"/>
        <v>81.861599079189318</v>
      </c>
      <c r="S31" s="29" t="str">
        <f t="shared" si="1"/>
        <v>(270,44,100,100,21,0.38)</v>
      </c>
    </row>
    <row r="32" spans="2:19">
      <c r="B32" s="38">
        <v>12</v>
      </c>
      <c r="C32" s="39">
        <v>280</v>
      </c>
      <c r="D32" s="39">
        <v>52</v>
      </c>
      <c r="E32" s="37">
        <v>30</v>
      </c>
      <c r="F32" s="39">
        <v>100</v>
      </c>
      <c r="G32" s="40">
        <f>B32*Assumptions!$C$19*365*24*Assumptions!$D$26*1000/(Assumptions!$C$10*0.001) /10^9</f>
        <v>12.833780869565217</v>
      </c>
      <c r="H32" s="40">
        <f>C32*Assumptions!$C$20*365*24*Assumptions!$D$30*1000/(Assumptions!$C$10*0.001) /10^9</f>
        <v>49.129185355910373</v>
      </c>
      <c r="I32" s="40">
        <f>E32*Assumptions!$C$46/(Assumptions!$C$10*0.001) /10^9</f>
        <v>1.479896437636061</v>
      </c>
      <c r="J32" s="40">
        <f>D32*Assumptions!$C$56/(Assumptions!$C$10*0.001) /10^9</f>
        <v>2.89280667039916</v>
      </c>
      <c r="K32" s="40">
        <f>F32*Assumptions!$C$65/(Assumptions!$C$10*0.001) /10^9</f>
        <v>4.6589332295950063</v>
      </c>
      <c r="L32" s="47">
        <f>4</f>
        <v>4</v>
      </c>
      <c r="M32" s="39">
        <v>25.46</v>
      </c>
      <c r="N32" s="39">
        <v>33</v>
      </c>
      <c r="O32" s="44">
        <f>N32*Assumptions!$C$97/(Assumptions!$G$14*0.001) /10^9*M32/100</f>
        <v>5.1684082481744191</v>
      </c>
      <c r="P32" s="48">
        <f>Assumptions!$C$114*Assumptions!$C$113/(Assumptions!$G$14*0.001) /10^9</f>
        <v>0.69300342293188655</v>
      </c>
      <c r="Q32" s="42">
        <f t="shared" si="0"/>
        <v>80.856014234212111</v>
      </c>
      <c r="S32" s="29" t="str">
        <f t="shared" si="1"/>
        <v>(280,52,30,100,33,0.25)</v>
      </c>
    </row>
    <row r="33" spans="2:19">
      <c r="B33" s="38">
        <v>12</v>
      </c>
      <c r="C33" s="39">
        <v>280</v>
      </c>
      <c r="D33" s="39">
        <v>44</v>
      </c>
      <c r="E33" s="37">
        <v>40</v>
      </c>
      <c r="F33" s="39">
        <v>100</v>
      </c>
      <c r="G33" s="40">
        <f>B33*Assumptions!$C$19*365*24*Assumptions!$D$26*1000/(Assumptions!$C$10*0.001) /10^9</f>
        <v>12.833780869565217</v>
      </c>
      <c r="H33" s="40">
        <f>C33*Assumptions!$C$20*365*24*Assumptions!$D$30*1000/(Assumptions!$C$10*0.001) /10^9</f>
        <v>49.129185355910373</v>
      </c>
      <c r="I33" s="40">
        <f>E33*Assumptions!$C$46/(Assumptions!$C$10*0.001) /10^9</f>
        <v>1.9731952501814143</v>
      </c>
      <c r="J33" s="40">
        <f>D33*Assumptions!$C$56/(Assumptions!$C$10*0.001) /10^9</f>
        <v>2.4477594903377509</v>
      </c>
      <c r="K33" s="40">
        <f>F33*Assumptions!$C$65/(Assumptions!$C$10*0.001) /10^9</f>
        <v>4.6589332295950063</v>
      </c>
      <c r="L33" s="47">
        <f>4</f>
        <v>4</v>
      </c>
      <c r="M33" s="39">
        <v>33.65</v>
      </c>
      <c r="N33" s="39">
        <v>24</v>
      </c>
      <c r="O33" s="44">
        <f>N33*Assumptions!$C$97/(Assumptions!$G$14*0.001) /10^9*M33/100</f>
        <v>4.9679907891471604</v>
      </c>
      <c r="P33" s="48">
        <f>Assumptions!$C$114*Assumptions!$C$113/(Assumptions!$G$14*0.001) /10^9</f>
        <v>0.69300342293188655</v>
      </c>
      <c r="Q33" s="42">
        <f t="shared" si="0"/>
        <v>80.703848407668801</v>
      </c>
      <c r="S33" s="29" t="str">
        <f t="shared" si="1"/>
        <v>(280,44,40,100,24,0.34)</v>
      </c>
    </row>
    <row r="34" spans="2:19">
      <c r="B34" s="38">
        <v>12</v>
      </c>
      <c r="C34" s="39">
        <v>280</v>
      </c>
      <c r="D34" s="39">
        <v>42</v>
      </c>
      <c r="E34" s="37">
        <v>50</v>
      </c>
      <c r="F34" s="39">
        <v>100</v>
      </c>
      <c r="G34" s="40">
        <f>B34*Assumptions!$C$19*365*24*Assumptions!$D$26*1000/(Assumptions!$C$10*0.001) /10^9</f>
        <v>12.833780869565217</v>
      </c>
      <c r="H34" s="40">
        <f>C34*Assumptions!$C$20*365*24*Assumptions!$D$30*1000/(Assumptions!$C$10*0.001) /10^9</f>
        <v>49.129185355910373</v>
      </c>
      <c r="I34" s="40">
        <f>E34*Assumptions!$C$46/(Assumptions!$C$10*0.001) /10^9</f>
        <v>2.4664940627267682</v>
      </c>
      <c r="J34" s="40">
        <f>D34*Assumptions!$C$56/(Assumptions!$C$10*0.001) /10^9</f>
        <v>2.3364976953223988</v>
      </c>
      <c r="K34" s="40">
        <f>F34*Assumptions!$C$65/(Assumptions!$C$10*0.001) /10^9</f>
        <v>4.6589332295950063</v>
      </c>
      <c r="L34" s="47">
        <f>4</f>
        <v>4</v>
      </c>
      <c r="M34" s="39">
        <v>37.94</v>
      </c>
      <c r="N34" s="39">
        <v>21</v>
      </c>
      <c r="O34" s="44">
        <f>N34*Assumptions!$C$97/(Assumptions!$G$14*0.001) /10^9*M34/100</f>
        <v>4.9011849694714078</v>
      </c>
      <c r="P34" s="48">
        <f>Assumptions!$C$114*Assumptions!$C$113/(Assumptions!$G$14*0.001) /10^9</f>
        <v>0.69300342293188655</v>
      </c>
      <c r="Q34" s="42">
        <f t="shared" si="0"/>
        <v>81.019079605523046</v>
      </c>
      <c r="S34" s="29" t="str">
        <f t="shared" si="1"/>
        <v>(280,42,50,100,21,0.38)</v>
      </c>
    </row>
    <row r="35" spans="2:19">
      <c r="B35" s="38">
        <v>12</v>
      </c>
      <c r="C35" s="39">
        <v>280</v>
      </c>
      <c r="D35" s="39">
        <v>42</v>
      </c>
      <c r="E35" s="37">
        <v>60</v>
      </c>
      <c r="F35" s="39">
        <v>100</v>
      </c>
      <c r="G35" s="40">
        <f>B35*Assumptions!$C$19*365*24*Assumptions!$D$26*1000/(Assumptions!$C$10*0.001) /10^9</f>
        <v>12.833780869565217</v>
      </c>
      <c r="H35" s="40">
        <f>C35*Assumptions!$C$20*365*24*Assumptions!$D$30*1000/(Assumptions!$C$10*0.001) /10^9</f>
        <v>49.129185355910373</v>
      </c>
      <c r="I35" s="40">
        <f>E35*Assumptions!$C$46/(Assumptions!$C$10*0.001) /10^9</f>
        <v>2.9597928752721221</v>
      </c>
      <c r="J35" s="40">
        <f>D35*Assumptions!$C$56/(Assumptions!$C$10*0.001) /10^9</f>
        <v>2.3364976953223988</v>
      </c>
      <c r="K35" s="40">
        <f>F35*Assumptions!$C$65/(Assumptions!$C$10*0.001) /10^9</f>
        <v>4.6589332295950063</v>
      </c>
      <c r="L35" s="47">
        <f>4</f>
        <v>4</v>
      </c>
      <c r="M35" s="39">
        <v>40.44</v>
      </c>
      <c r="N35" s="39">
        <v>20</v>
      </c>
      <c r="O35" s="44">
        <f>N35*Assumptions!$C$97/(Assumptions!$G$14*0.001) /10^9*M35/100</f>
        <v>4.9753726476748685</v>
      </c>
      <c r="P35" s="48">
        <f>Assumptions!$C$114*Assumptions!$C$113/(Assumptions!$G$14*0.001) /10^9</f>
        <v>0.69300342293188655</v>
      </c>
      <c r="Q35" s="42">
        <f t="shared" si="0"/>
        <v>81.586566096271866</v>
      </c>
      <c r="S35" s="29" t="str">
        <f t="shared" si="1"/>
        <v>(280,42,60,100,20,0.4)</v>
      </c>
    </row>
    <row r="36" spans="2:19">
      <c r="B36" s="38">
        <v>12</v>
      </c>
      <c r="C36" s="39">
        <v>280</v>
      </c>
      <c r="D36" s="39">
        <v>42</v>
      </c>
      <c r="E36" s="37">
        <v>70</v>
      </c>
      <c r="F36" s="39">
        <v>100</v>
      </c>
      <c r="G36" s="40">
        <f>B36*Assumptions!$C$19*365*24*Assumptions!$D$26*1000/(Assumptions!$C$10*0.001) /10^9</f>
        <v>12.833780869565217</v>
      </c>
      <c r="H36" s="40">
        <f>C36*Assumptions!$C$20*365*24*Assumptions!$D$30*1000/(Assumptions!$C$10*0.001) /10^9</f>
        <v>49.129185355910373</v>
      </c>
      <c r="I36" s="40">
        <f>E36*Assumptions!$C$46/(Assumptions!$C$10*0.001) /10^9</f>
        <v>3.4530916878174751</v>
      </c>
      <c r="J36" s="40">
        <f>D36*Assumptions!$C$56/(Assumptions!$C$10*0.001) /10^9</f>
        <v>2.3364976953223988</v>
      </c>
      <c r="K36" s="40">
        <f>F36*Assumptions!$C$65/(Assumptions!$C$10*0.001) /10^9</f>
        <v>4.6589332295950063</v>
      </c>
      <c r="L36" s="47">
        <f>4</f>
        <v>4</v>
      </c>
      <c r="M36" s="39">
        <v>41.88</v>
      </c>
      <c r="N36" s="39">
        <v>19</v>
      </c>
      <c r="O36" s="44">
        <f>N36*Assumptions!$C$97/(Assumptions!$G$14*0.001) /10^9*M36/100</f>
        <v>4.894910389722857</v>
      </c>
      <c r="P36" s="48">
        <f>Assumptions!$C$114*Assumptions!$C$113/(Assumptions!$G$14*0.001) /10^9</f>
        <v>0.69300342293188655</v>
      </c>
      <c r="Q36" s="42">
        <f t="shared" si="0"/>
        <v>81.999402650865193</v>
      </c>
      <c r="S36" s="29" t="str">
        <f t="shared" si="1"/>
        <v>(280,42,70,100,19,0.42)</v>
      </c>
    </row>
    <row r="37" spans="2:19">
      <c r="B37" s="38">
        <v>12</v>
      </c>
      <c r="C37" s="39">
        <v>280</v>
      </c>
      <c r="D37" s="39">
        <v>42</v>
      </c>
      <c r="E37" s="37">
        <v>80</v>
      </c>
      <c r="F37" s="39">
        <v>100</v>
      </c>
      <c r="G37" s="40">
        <f>B37*Assumptions!$C$19*365*24*Assumptions!$D$26*1000/(Assumptions!$C$10*0.001) /10^9</f>
        <v>12.833780869565217</v>
      </c>
      <c r="H37" s="40">
        <f>C37*Assumptions!$C$20*365*24*Assumptions!$D$30*1000/(Assumptions!$C$10*0.001) /10^9</f>
        <v>49.129185355910373</v>
      </c>
      <c r="I37" s="40">
        <f>E37*Assumptions!$C$46/(Assumptions!$C$10*0.001) /10^9</f>
        <v>3.9463905003628286</v>
      </c>
      <c r="J37" s="40">
        <f>D37*Assumptions!$C$56/(Assumptions!$C$10*0.001) /10^9</f>
        <v>2.3364976953223988</v>
      </c>
      <c r="K37" s="40">
        <f>F37*Assumptions!$C$65/(Assumptions!$C$10*0.001) /10^9</f>
        <v>4.6589332295950063</v>
      </c>
      <c r="L37" s="47">
        <f>4</f>
        <v>4</v>
      </c>
      <c r="M37" s="39">
        <v>42.79</v>
      </c>
      <c r="N37" s="39">
        <v>18</v>
      </c>
      <c r="O37" s="44">
        <f>N37*Assumptions!$C$97/(Assumptions!$G$14*0.001) /10^9*M37/100</f>
        <v>4.7380458960090719</v>
      </c>
      <c r="P37" s="48">
        <f>Assumptions!$C$114*Assumptions!$C$113/(Assumptions!$G$14*0.001) /10^9</f>
        <v>0.69300342293188655</v>
      </c>
      <c r="Q37" s="42">
        <f t="shared" si="0"/>
        <v>82.335836969696771</v>
      </c>
      <c r="S37" s="29" t="str">
        <f t="shared" si="1"/>
        <v>(280,42,80,100,18,0.43)</v>
      </c>
    </row>
    <row r="38" spans="2:19">
      <c r="B38" s="38">
        <v>12</v>
      </c>
      <c r="C38" s="39">
        <v>280</v>
      </c>
      <c r="D38" s="39">
        <v>42</v>
      </c>
      <c r="E38" s="37">
        <v>90</v>
      </c>
      <c r="F38" s="39">
        <v>100</v>
      </c>
      <c r="G38" s="40">
        <f>B38*Assumptions!$C$19*365*24*Assumptions!$D$26*1000/(Assumptions!$C$10*0.001) /10^9</f>
        <v>12.833780869565217</v>
      </c>
      <c r="H38" s="40">
        <f>C38*Assumptions!$C$20*365*24*Assumptions!$D$30*1000/(Assumptions!$C$10*0.001) /10^9</f>
        <v>49.129185355910373</v>
      </c>
      <c r="I38" s="40">
        <f>E38*Assumptions!$C$46/(Assumptions!$C$10*0.001) /10^9</f>
        <v>4.4396893129081834</v>
      </c>
      <c r="J38" s="40">
        <f>D38*Assumptions!$C$56/(Assumptions!$C$10*0.001) /10^9</f>
        <v>2.3364976953223988</v>
      </c>
      <c r="K38" s="40">
        <f>F38*Assumptions!$C$65/(Assumptions!$C$10*0.001) /10^9</f>
        <v>4.6589332295950063</v>
      </c>
      <c r="L38" s="47">
        <f>4</f>
        <v>4</v>
      </c>
      <c r="M38" s="39">
        <v>43.3</v>
      </c>
      <c r="N38" s="39">
        <v>18</v>
      </c>
      <c r="O38" s="44">
        <f>N38*Assumptions!$C$97/(Assumptions!$G$14*0.001) /10^9*M38/100</f>
        <v>4.7945171137460338</v>
      </c>
      <c r="P38" s="48">
        <f>Assumptions!$C$114*Assumptions!$C$113/(Assumptions!$G$14*0.001) /10^9</f>
        <v>0.69300342293188655</v>
      </c>
      <c r="Q38" s="42">
        <f t="shared" si="0"/>
        <v>82.885606999979089</v>
      </c>
      <c r="S38" s="29" t="str">
        <f t="shared" si="1"/>
        <v>(280,42,90,100,18,0.43)</v>
      </c>
    </row>
    <row r="39" spans="2:19">
      <c r="B39" s="38">
        <v>12</v>
      </c>
      <c r="C39" s="39">
        <v>280</v>
      </c>
      <c r="D39" s="39">
        <v>42</v>
      </c>
      <c r="E39" s="37">
        <v>100</v>
      </c>
      <c r="F39" s="39">
        <v>100</v>
      </c>
      <c r="G39" s="40">
        <f>B39*Assumptions!$C$19*365*24*Assumptions!$D$26*1000/(Assumptions!$C$10*0.001) /10^9</f>
        <v>12.833780869565217</v>
      </c>
      <c r="H39" s="40">
        <f>C39*Assumptions!$C$20*365*24*Assumptions!$D$30*1000/(Assumptions!$C$10*0.001) /10^9</f>
        <v>49.129185355910373</v>
      </c>
      <c r="I39" s="40">
        <f>E39*Assumptions!$C$46/(Assumptions!$C$10*0.001) /10^9</f>
        <v>4.9329881254535364</v>
      </c>
      <c r="J39" s="40">
        <f>D39*Assumptions!$C$56/(Assumptions!$C$10*0.001) /10^9</f>
        <v>2.3364976953223988</v>
      </c>
      <c r="K39" s="40">
        <f>F39*Assumptions!$C$65/(Assumptions!$C$10*0.001) /10^9</f>
        <v>4.6589332295950063</v>
      </c>
      <c r="L39" s="47">
        <f>4</f>
        <v>4</v>
      </c>
      <c r="M39" s="39">
        <v>43.63</v>
      </c>
      <c r="N39" s="39">
        <v>18</v>
      </c>
      <c r="O39" s="44">
        <f>N39*Assumptions!$C$97/(Assumptions!$G$14*0.001) /10^9*M39/100</f>
        <v>4.8310573134581869</v>
      </c>
      <c r="P39" s="48">
        <f>Assumptions!$C$114*Assumptions!$C$113/(Assumptions!$G$14*0.001) /10^9</f>
        <v>0.69300342293188655</v>
      </c>
      <c r="Q39" s="42">
        <f t="shared" si="0"/>
        <v>83.4154460122366</v>
      </c>
      <c r="S39" s="29" t="str">
        <f t="shared" si="1"/>
        <v>(280,42,100,100,18,0.44)</v>
      </c>
    </row>
  </sheetData>
  <autoFilter ref="B4:N4"/>
  <mergeCells count="2">
    <mergeCell ref="G2:L2"/>
    <mergeCell ref="M2:R2"/>
  </mergeCells>
  <phoneticPr fontId="15"/>
  <conditionalFormatting sqref="C5:C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39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C10:C16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2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2:C39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3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41"/>
  <sheetViews>
    <sheetView showGridLines="0" topLeftCell="J1" zoomScale="85" zoomScaleNormal="85" workbookViewId="0">
      <pane ySplit="4" topLeftCell="A5" activePane="bottomLeft" state="frozen"/>
      <selection pane="bottomLeft" activeCell="O9" sqref="O9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270</v>
      </c>
      <c r="D5" s="39">
        <v>47</v>
      </c>
      <c r="E5" s="37">
        <v>60</v>
      </c>
      <c r="F5" s="39">
        <v>100</v>
      </c>
      <c r="G5" s="40">
        <f>B5*Assumptions!$C$19*365*24*Assumptions!$D$26*1000/(Assumptions!$G$10*0.001) /10^9</f>
        <v>12.360421353028176</v>
      </c>
      <c r="H5" s="40">
        <f>C5*Assumptions!$C$20*365*24*Assumptions!$D$30*1000/(Assumptions!$G$10*0.001) /10^9</f>
        <v>45.62721401140616</v>
      </c>
      <c r="I5" s="40">
        <f>E5*Assumptions!$C$46/(Assumptions!$G$10*0.001) /10^9</f>
        <v>2.8506242570194043</v>
      </c>
      <c r="J5" s="40">
        <f>D5*Assumptions!$C$56/(Assumptions!$G$10*0.001) /10^9</f>
        <v>2.5182136893435194</v>
      </c>
      <c r="K5" s="40">
        <f>F5*Assumptions!$C$65/(Assumptions!$G$10*0.001) /10^9</f>
        <v>4.4870937379009144</v>
      </c>
      <c r="L5" s="47">
        <f>4*Assumptions!$C$10/Assumptions!$G$10</f>
        <v>3.8524645164669762</v>
      </c>
      <c r="M5" s="39">
        <v>34.85</v>
      </c>
      <c r="N5" s="39">
        <v>109</v>
      </c>
      <c r="O5" s="44">
        <f>N5*Assumptions!$C$97/(Assumptions!$G$11*0.001) /10^9*M5/100</f>
        <v>18.853023253109196</v>
      </c>
      <c r="P5" s="48">
        <f>Assumptions!$C$115*Assumptions!$C$113/(Assumptions!$G$11*0.001) /10^9</f>
        <v>5.5904146014630776</v>
      </c>
      <c r="Q5" s="42">
        <f>SUM(G5:L5)+O5+P5</f>
        <v>96.139469419737438</v>
      </c>
      <c r="S5" s="29" t="str">
        <f>CONCATENATE("(",C5,",",D5,",",E5,",",F5,",",ROUND(N5,0),",",ROUND(M5/100,2),")")</f>
        <v>(270,47,60,100,109,0.35)</v>
      </c>
    </row>
    <row r="6" spans="2:19">
      <c r="B6" s="38">
        <v>12</v>
      </c>
      <c r="C6" s="39">
        <v>270</v>
      </c>
      <c r="D6" s="39">
        <v>46</v>
      </c>
      <c r="E6" s="37">
        <v>70</v>
      </c>
      <c r="F6" s="39">
        <v>100</v>
      </c>
      <c r="G6" s="40">
        <f>B6*Assumptions!$C$19*365*24*Assumptions!$D$26*1000/(Assumptions!$G$10*0.001) /10^9</f>
        <v>12.360421353028176</v>
      </c>
      <c r="H6" s="40">
        <f>C6*Assumptions!$C$20*365*24*Assumptions!$D$30*1000/(Assumptions!$G$10*0.001) /10^9</f>
        <v>45.62721401140616</v>
      </c>
      <c r="I6" s="40">
        <f>E6*Assumptions!$C$46/(Assumptions!$G$10*0.001) /10^9</f>
        <v>3.3257282998559714</v>
      </c>
      <c r="J6" s="40">
        <f>D6*Assumptions!$C$56/(Assumptions!$G$10*0.001) /10^9</f>
        <v>2.4646346746766361</v>
      </c>
      <c r="K6" s="40">
        <f>F6*Assumptions!$C$65/(Assumptions!$G$10*0.001) /10^9</f>
        <v>4.4870937379009144</v>
      </c>
      <c r="L6" s="47">
        <f>4*Assumptions!$C$10/Assumptions!$G$10</f>
        <v>3.8524645164669762</v>
      </c>
      <c r="M6" s="39">
        <v>36.299999999999997</v>
      </c>
      <c r="N6" s="39">
        <v>92</v>
      </c>
      <c r="O6" s="44">
        <f>N6*Assumptions!$C$97/(Assumptions!$G$11*0.001) /10^9*M6/100</f>
        <v>16.574719033362765</v>
      </c>
      <c r="P6" s="48">
        <f>Assumptions!$C$115*Assumptions!$C$113/(Assumptions!$G$11*0.001) /10^9</f>
        <v>5.5904146014630776</v>
      </c>
      <c r="Q6" s="42">
        <f t="shared" ref="Q6:Q41" si="0">SUM(G6:L6)+O6+P6</f>
        <v>94.282690228160703</v>
      </c>
      <c r="S6" s="29" t="str">
        <f t="shared" ref="S6:S41" si="1">CONCATENATE("(",C6,",",D6,",",E6,",",F6,",",ROUND(N6,0),",",ROUND(M6/100,2),")")</f>
        <v>(270,46,70,100,92,0.36)</v>
      </c>
    </row>
    <row r="7" spans="2:19">
      <c r="B7" s="38">
        <v>12</v>
      </c>
      <c r="C7" s="39">
        <v>270</v>
      </c>
      <c r="D7" s="39">
        <v>45</v>
      </c>
      <c r="E7" s="37">
        <v>80</v>
      </c>
      <c r="F7" s="39">
        <v>100</v>
      </c>
      <c r="G7" s="40">
        <f>B7*Assumptions!$C$19*365*24*Assumptions!$D$26*1000/(Assumptions!$G$10*0.001) /10^9</f>
        <v>12.360421353028176</v>
      </c>
      <c r="H7" s="40">
        <f>C7*Assumptions!$C$20*365*24*Assumptions!$D$30*1000/(Assumptions!$G$10*0.001) /10^9</f>
        <v>45.62721401140616</v>
      </c>
      <c r="I7" s="40">
        <f>E7*Assumptions!$C$46/(Assumptions!$G$10*0.001) /10^9</f>
        <v>3.8008323426925386</v>
      </c>
      <c r="J7" s="40">
        <f>D7*Assumptions!$C$56/(Assumptions!$G$10*0.001) /10^9</f>
        <v>2.4110556600097528</v>
      </c>
      <c r="K7" s="40">
        <f>F7*Assumptions!$C$65/(Assumptions!$G$10*0.001) /10^9</f>
        <v>4.4870937379009144</v>
      </c>
      <c r="L7" s="47">
        <f>4*Assumptions!$C$10/Assumptions!$G$10</f>
        <v>3.8524645164669762</v>
      </c>
      <c r="M7" s="39">
        <v>37.200000000000003</v>
      </c>
      <c r="N7" s="39">
        <v>87</v>
      </c>
      <c r="O7" s="44">
        <f>N7*Assumptions!$C$97/(Assumptions!$G$11*0.001) /10^9*M7/100</f>
        <v>16.062528650010556</v>
      </c>
      <c r="P7" s="48">
        <f>Assumptions!$C$115*Assumptions!$C$113/(Assumptions!$G$11*0.001) /10^9</f>
        <v>5.5904146014630776</v>
      </c>
      <c r="Q7" s="42">
        <f t="shared" si="0"/>
        <v>94.192024872978166</v>
      </c>
      <c r="S7" s="29" t="str">
        <f t="shared" si="1"/>
        <v>(270,45,80,100,87,0.37)</v>
      </c>
    </row>
    <row r="8" spans="2:19">
      <c r="B8" s="38">
        <v>12</v>
      </c>
      <c r="C8" s="39">
        <v>270</v>
      </c>
      <c r="D8" s="39">
        <v>44</v>
      </c>
      <c r="E8" s="37">
        <v>90</v>
      </c>
      <c r="F8" s="39">
        <v>100</v>
      </c>
      <c r="G8" s="40">
        <f>B8*Assumptions!$C$19*365*24*Assumptions!$D$26*1000/(Assumptions!$G$10*0.001) /10^9</f>
        <v>12.360421353028176</v>
      </c>
      <c r="H8" s="40">
        <f>C8*Assumptions!$C$20*365*24*Assumptions!$D$30*1000/(Assumptions!$G$10*0.001) /10^9</f>
        <v>45.62721401140616</v>
      </c>
      <c r="I8" s="40">
        <f>E8*Assumptions!$C$46/(Assumptions!$G$10*0.001) /10^9</f>
        <v>4.275936385529107</v>
      </c>
      <c r="J8" s="40">
        <f>D8*Assumptions!$C$56/(Assumptions!$G$10*0.001) /10^9</f>
        <v>2.3574766453428695</v>
      </c>
      <c r="K8" s="40">
        <f>F8*Assumptions!$C$65/(Assumptions!$G$10*0.001) /10^9</f>
        <v>4.4870937379009144</v>
      </c>
      <c r="L8" s="47">
        <f>4*Assumptions!$C$10/Assumptions!$G$10</f>
        <v>3.8524645164669762</v>
      </c>
      <c r="M8" s="39">
        <v>37.78</v>
      </c>
      <c r="N8" s="39">
        <v>84</v>
      </c>
      <c r="O8" s="44">
        <f>N8*Assumptions!$C$97/(Assumptions!$G$11*0.001) /10^9*M8/100</f>
        <v>15.750449858293631</v>
      </c>
      <c r="P8" s="48">
        <f>Assumptions!$C$115*Assumptions!$C$113/(Assumptions!$G$11*0.001) /10^9</f>
        <v>5.5904146014630776</v>
      </c>
      <c r="Q8" s="42">
        <f t="shared" si="0"/>
        <v>94.301471109430935</v>
      </c>
      <c r="S8" s="29" t="str">
        <f t="shared" si="1"/>
        <v>(270,44,90,100,84,0.38)</v>
      </c>
    </row>
    <row r="9" spans="2:19">
      <c r="B9" s="38">
        <v>12</v>
      </c>
      <c r="C9" s="39">
        <v>270</v>
      </c>
      <c r="D9" s="39">
        <v>44</v>
      </c>
      <c r="E9" s="37">
        <v>100</v>
      </c>
      <c r="F9" s="39">
        <v>100</v>
      </c>
      <c r="G9" s="40">
        <f>B9*Assumptions!$C$19*365*24*Assumptions!$D$26*1000/(Assumptions!$G$10*0.001) /10^9</f>
        <v>12.360421353028176</v>
      </c>
      <c r="H9" s="40">
        <f>C9*Assumptions!$C$20*365*24*Assumptions!$D$30*1000/(Assumptions!$G$10*0.001) /10^9</f>
        <v>45.62721401140616</v>
      </c>
      <c r="I9" s="40">
        <f>E9*Assumptions!$C$46/(Assumptions!$G$10*0.001) /10^9</f>
        <v>4.7510404283656733</v>
      </c>
      <c r="J9" s="40">
        <f>D9*Assumptions!$C$56/(Assumptions!$G$10*0.001) /10^9</f>
        <v>2.3574766453428695</v>
      </c>
      <c r="K9" s="40">
        <f>F9*Assumptions!$C$65/(Assumptions!$G$10*0.001) /10^9</f>
        <v>4.4870937379009144</v>
      </c>
      <c r="L9" s="47">
        <f>4*Assumptions!$C$10/Assumptions!$G$10</f>
        <v>3.8524645164669762</v>
      </c>
      <c r="M9" s="39">
        <v>38.090000000000003</v>
      </c>
      <c r="N9" s="39">
        <v>82</v>
      </c>
      <c r="O9" s="44">
        <f>N9*Assumptions!$C$97/(Assumptions!$G$11*0.001) /10^9*M9/100</f>
        <v>15.501600770878131</v>
      </c>
      <c r="P9" s="48">
        <f>Assumptions!$C$115*Assumptions!$C$113/(Assumptions!$G$11*0.001) /10^9</f>
        <v>5.5904146014630776</v>
      </c>
      <c r="Q9" s="42">
        <f t="shared" si="0"/>
        <v>94.52772606485199</v>
      </c>
      <c r="S9" s="29" t="str">
        <f t="shared" si="1"/>
        <v>(270,44,100,100,82,0.38)</v>
      </c>
    </row>
    <row r="10" spans="2:19">
      <c r="B10" s="38">
        <v>12</v>
      </c>
      <c r="C10" s="39">
        <v>280</v>
      </c>
      <c r="D10" s="39">
        <v>44</v>
      </c>
      <c r="E10" s="37">
        <v>40</v>
      </c>
      <c r="F10" s="39">
        <v>100</v>
      </c>
      <c r="G10" s="40">
        <f>B10*Assumptions!$C$19*365*24*Assumptions!$D$26*1000/(Assumptions!$G$10*0.001) /10^9</f>
        <v>12.360421353028176</v>
      </c>
      <c r="H10" s="40">
        <f>C10*Assumptions!$C$20*365*24*Assumptions!$D$30*1000/(Assumptions!$G$10*0.001) /10^9</f>
        <v>47.317110826643422</v>
      </c>
      <c r="I10" s="40">
        <f>E10*Assumptions!$C$46/(Assumptions!$G$10*0.001) /10^9</f>
        <v>1.9004161713462693</v>
      </c>
      <c r="J10" s="40">
        <f>D10*Assumptions!$C$56/(Assumptions!$G$10*0.001) /10^9</f>
        <v>2.3574766453428695</v>
      </c>
      <c r="K10" s="40">
        <f>F10*Assumptions!$C$65/(Assumptions!$G$10*0.001) /10^9</f>
        <v>4.4870937379009144</v>
      </c>
      <c r="L10" s="47">
        <f>4*Assumptions!$C$10/Assumptions!$G$10</f>
        <v>3.8524645164669762</v>
      </c>
      <c r="M10" s="39">
        <v>33.65</v>
      </c>
      <c r="N10" s="39">
        <v>108</v>
      </c>
      <c r="O10" s="44">
        <f>N10*Assumptions!$C$97/(Assumptions!$G$11*0.001) /10^9*M10/100</f>
        <v>18.036843906769366</v>
      </c>
      <c r="P10" s="48">
        <f>Assumptions!$C$115*Assumptions!$C$113/(Assumptions!$G$11*0.001) /10^9</f>
        <v>5.5904146014630776</v>
      </c>
      <c r="Q10" s="42">
        <f t="shared" si="0"/>
        <v>95.902241758961082</v>
      </c>
      <c r="S10" s="29" t="str">
        <f t="shared" si="1"/>
        <v>(280,44,40,100,108,0.34)</v>
      </c>
    </row>
    <row r="11" spans="2:19">
      <c r="B11" s="38">
        <v>12</v>
      </c>
      <c r="C11" s="39">
        <v>280</v>
      </c>
      <c r="D11" s="39">
        <v>42</v>
      </c>
      <c r="E11" s="37">
        <v>50</v>
      </c>
      <c r="F11" s="39">
        <v>100</v>
      </c>
      <c r="G11" s="40">
        <f>B11*Assumptions!$C$19*365*24*Assumptions!$D$26*1000/(Assumptions!$G$10*0.001) /10^9</f>
        <v>12.360421353028176</v>
      </c>
      <c r="H11" s="40">
        <f>C11*Assumptions!$C$20*365*24*Assumptions!$D$30*1000/(Assumptions!$G$10*0.001) /10^9</f>
        <v>47.317110826643422</v>
      </c>
      <c r="I11" s="40">
        <f>E11*Assumptions!$C$46/(Assumptions!$G$10*0.001) /10^9</f>
        <v>2.3755202141828367</v>
      </c>
      <c r="J11" s="40">
        <f>D11*Assumptions!$C$56/(Assumptions!$G$10*0.001) /10^9</f>
        <v>2.2503186160091024</v>
      </c>
      <c r="K11" s="40">
        <f>F11*Assumptions!$C$65/(Assumptions!$G$10*0.001) /10^9</f>
        <v>4.4870937379009144</v>
      </c>
      <c r="L11" s="47">
        <f>4*Assumptions!$C$10/Assumptions!$G$10</f>
        <v>3.8524645164669762</v>
      </c>
      <c r="M11" s="39">
        <v>37.94</v>
      </c>
      <c r="N11" s="39">
        <v>79</v>
      </c>
      <c r="O11" s="44">
        <f>N11*Assumptions!$C$97/(Assumptions!$G$11*0.001) /10^9*M11/100</f>
        <v>14.87565647680467</v>
      </c>
      <c r="P11" s="48">
        <f>Assumptions!$C$115*Assumptions!$C$113/(Assumptions!$G$11*0.001) /10^9</f>
        <v>5.5904146014630776</v>
      </c>
      <c r="Q11" s="42">
        <f t="shared" si="0"/>
        <v>93.109000342499186</v>
      </c>
      <c r="S11" s="29" t="str">
        <f t="shared" si="1"/>
        <v>(280,42,50,100,79,0.38)</v>
      </c>
    </row>
    <row r="12" spans="2:19" ht="16.95" customHeight="1">
      <c r="B12" s="38">
        <v>12</v>
      </c>
      <c r="C12" s="39">
        <v>280</v>
      </c>
      <c r="D12" s="39">
        <v>42</v>
      </c>
      <c r="E12" s="37">
        <v>60</v>
      </c>
      <c r="F12" s="39">
        <v>100</v>
      </c>
      <c r="G12" s="40">
        <f>B12*Assumptions!$C$19*365*24*Assumptions!$D$26*1000/(Assumptions!$G$10*0.001) /10^9</f>
        <v>12.360421353028176</v>
      </c>
      <c r="H12" s="40">
        <f>C12*Assumptions!$C$20*365*24*Assumptions!$D$30*1000/(Assumptions!$G$10*0.001) /10^9</f>
        <v>47.317110826643422</v>
      </c>
      <c r="I12" s="40">
        <f>E12*Assumptions!$C$46/(Assumptions!$G$10*0.001) /10^9</f>
        <v>2.8506242570194043</v>
      </c>
      <c r="J12" s="40">
        <f>D12*Assumptions!$C$56/(Assumptions!$G$10*0.001) /10^9</f>
        <v>2.2503186160091024</v>
      </c>
      <c r="K12" s="40">
        <f>F12*Assumptions!$C$65/(Assumptions!$G$10*0.001) /10^9</f>
        <v>4.4870937379009144</v>
      </c>
      <c r="L12" s="47">
        <f>4*Assumptions!$C$10/Assumptions!$G$10</f>
        <v>3.8524645164669762</v>
      </c>
      <c r="M12" s="39">
        <v>40.44</v>
      </c>
      <c r="N12" s="39">
        <v>70</v>
      </c>
      <c r="O12" s="44">
        <f>N12*Assumptions!$C$97/(Assumptions!$G$11*0.001) /10^9*M12/100</f>
        <v>14.049501329393737</v>
      </c>
      <c r="P12" s="48">
        <f>Assumptions!$C$115*Assumptions!$C$113/(Assumptions!$G$11*0.001) /10^9</f>
        <v>5.5904146014630776</v>
      </c>
      <c r="Q12" s="42">
        <f t="shared" si="0"/>
        <v>92.757949237924819</v>
      </c>
      <c r="S12" s="29" t="str">
        <f t="shared" si="1"/>
        <v>(280,42,60,100,70,0.4)</v>
      </c>
    </row>
    <row r="13" spans="2:19">
      <c r="B13" s="38">
        <v>12</v>
      </c>
      <c r="C13" s="39">
        <v>280</v>
      </c>
      <c r="D13" s="39">
        <v>42</v>
      </c>
      <c r="E13" s="37">
        <v>70</v>
      </c>
      <c r="F13" s="39">
        <v>100</v>
      </c>
      <c r="G13" s="40">
        <f>B13*Assumptions!$C$19*365*24*Assumptions!$D$26*1000/(Assumptions!$G$10*0.001) /10^9</f>
        <v>12.360421353028176</v>
      </c>
      <c r="H13" s="40">
        <f>C13*Assumptions!$C$20*365*24*Assumptions!$D$30*1000/(Assumptions!$G$10*0.001) /10^9</f>
        <v>47.317110826643422</v>
      </c>
      <c r="I13" s="40">
        <f>E13*Assumptions!$C$46/(Assumptions!$G$10*0.001) /10^9</f>
        <v>3.3257282998559714</v>
      </c>
      <c r="J13" s="40">
        <f>D13*Assumptions!$C$56/(Assumptions!$G$10*0.001) /10^9</f>
        <v>2.2503186160091024</v>
      </c>
      <c r="K13" s="40">
        <f>F13*Assumptions!$C$65/(Assumptions!$G$10*0.001) /10^9</f>
        <v>4.4870937379009144</v>
      </c>
      <c r="L13" s="47">
        <f>4*Assumptions!$C$10/Assumptions!$G$10</f>
        <v>3.8524645164669762</v>
      </c>
      <c r="M13" s="39">
        <v>41.88</v>
      </c>
      <c r="N13" s="39">
        <v>66</v>
      </c>
      <c r="O13" s="44">
        <f>N13*Assumptions!$C$97/(Assumptions!$G$11*0.001) /10^9*M13/100</f>
        <v>13.718364290854401</v>
      </c>
      <c r="P13" s="48">
        <f>Assumptions!$C$115*Assumptions!$C$113/(Assumptions!$G$11*0.001) /10^9</f>
        <v>5.5904146014630776</v>
      </c>
      <c r="Q13" s="42">
        <f t="shared" si="0"/>
        <v>92.901916242222057</v>
      </c>
      <c r="S13" s="29" t="str">
        <f t="shared" si="1"/>
        <v>(280,42,70,100,66,0.42)</v>
      </c>
    </row>
    <row r="14" spans="2:19">
      <c r="B14" s="38">
        <v>12</v>
      </c>
      <c r="C14" s="39">
        <v>280</v>
      </c>
      <c r="D14" s="39">
        <v>42</v>
      </c>
      <c r="E14" s="37">
        <v>80</v>
      </c>
      <c r="F14" s="39">
        <v>100</v>
      </c>
      <c r="G14" s="40">
        <f>B14*Assumptions!$C$19*365*24*Assumptions!$D$26*1000/(Assumptions!$G$10*0.001) /10^9</f>
        <v>12.360421353028176</v>
      </c>
      <c r="H14" s="40">
        <f>C14*Assumptions!$C$20*365*24*Assumptions!$D$30*1000/(Assumptions!$G$10*0.001) /10^9</f>
        <v>47.317110826643422</v>
      </c>
      <c r="I14" s="40">
        <f>E14*Assumptions!$C$46/(Assumptions!$G$10*0.001) /10^9</f>
        <v>3.8008323426925386</v>
      </c>
      <c r="J14" s="40">
        <f>D14*Assumptions!$C$56/(Assumptions!$G$10*0.001) /10^9</f>
        <v>2.2503186160091024</v>
      </c>
      <c r="K14" s="40">
        <f>F14*Assumptions!$C$65/(Assumptions!$G$10*0.001) /10^9</f>
        <v>4.4870937379009144</v>
      </c>
      <c r="L14" s="47">
        <f>4*Assumptions!$C$10/Assumptions!$G$10</f>
        <v>3.8524645164669762</v>
      </c>
      <c r="M14" s="39">
        <v>42.79</v>
      </c>
      <c r="N14" s="39">
        <v>64</v>
      </c>
      <c r="O14" s="44">
        <f>N14*Assumptions!$C$97/(Assumptions!$G$11*0.001) /10^9*M14/100</f>
        <v>13.591706358847148</v>
      </c>
      <c r="P14" s="48">
        <f>Assumptions!$C$115*Assumptions!$C$113/(Assumptions!$G$11*0.001) /10^9</f>
        <v>5.5904146014630776</v>
      </c>
      <c r="Q14" s="42">
        <f t="shared" si="0"/>
        <v>93.250362353051372</v>
      </c>
      <c r="S14" s="29" t="str">
        <f t="shared" si="1"/>
        <v>(280,42,80,100,64,0.43)</v>
      </c>
    </row>
    <row r="15" spans="2:19" ht="16.95" customHeight="1">
      <c r="B15" s="38">
        <v>12</v>
      </c>
      <c r="C15" s="39">
        <v>280</v>
      </c>
      <c r="D15" s="39">
        <v>42</v>
      </c>
      <c r="E15" s="37">
        <v>90</v>
      </c>
      <c r="F15" s="39">
        <v>100</v>
      </c>
      <c r="G15" s="40">
        <f>B15*Assumptions!$C$19*365*24*Assumptions!$D$26*1000/(Assumptions!$G$10*0.001) /10^9</f>
        <v>12.360421353028176</v>
      </c>
      <c r="H15" s="40">
        <f>C15*Assumptions!$C$20*365*24*Assumptions!$D$30*1000/(Assumptions!$G$10*0.001) /10^9</f>
        <v>47.317110826643422</v>
      </c>
      <c r="I15" s="40">
        <f>E15*Assumptions!$C$46/(Assumptions!$G$10*0.001) /10^9</f>
        <v>4.275936385529107</v>
      </c>
      <c r="J15" s="40">
        <f>D15*Assumptions!$C$56/(Assumptions!$G$10*0.001) /10^9</f>
        <v>2.2503186160091024</v>
      </c>
      <c r="K15" s="40">
        <f>F15*Assumptions!$C$65/(Assumptions!$G$10*0.001) /10^9</f>
        <v>4.4870937379009144</v>
      </c>
      <c r="L15" s="47">
        <f>4*Assumptions!$C$10/Assumptions!$G$10</f>
        <v>3.8524645164669762</v>
      </c>
      <c r="M15" s="39">
        <v>43.3</v>
      </c>
      <c r="N15" s="39">
        <v>62</v>
      </c>
      <c r="O15" s="44">
        <f>N15*Assumptions!$C$97/(Assumptions!$G$11*0.001) /10^9*M15/100</f>
        <v>13.32389828631144</v>
      </c>
      <c r="P15" s="48">
        <f>Assumptions!$C$115*Assumptions!$C$113/(Assumptions!$G$11*0.001) /10^9</f>
        <v>5.5904146014630776</v>
      </c>
      <c r="Q15" s="42">
        <f>SUM(G15:L15)+O15+P15</f>
        <v>93.45765832335222</v>
      </c>
      <c r="S15" s="29" t="str">
        <f t="shared" si="1"/>
        <v>(280,42,90,100,62,0.43)</v>
      </c>
    </row>
    <row r="16" spans="2:19" ht="16.95" customHeight="1">
      <c r="B16" s="38">
        <v>12</v>
      </c>
      <c r="C16" s="39">
        <v>280</v>
      </c>
      <c r="D16" s="39">
        <v>42</v>
      </c>
      <c r="E16" s="37">
        <v>100</v>
      </c>
      <c r="F16" s="39">
        <v>100</v>
      </c>
      <c r="G16" s="40">
        <f>B16*Assumptions!$C$19*365*24*Assumptions!$D$26*1000/(Assumptions!$G$10*0.001) /10^9</f>
        <v>12.360421353028176</v>
      </c>
      <c r="H16" s="40">
        <f>C16*Assumptions!$C$20*365*24*Assumptions!$D$30*1000/(Assumptions!$G$10*0.001) /10^9</f>
        <v>47.317110826643422</v>
      </c>
      <c r="I16" s="40">
        <f>E16*Assumptions!$C$46/(Assumptions!$G$10*0.001) /10^9</f>
        <v>4.7510404283656733</v>
      </c>
      <c r="J16" s="40">
        <f>D16*Assumptions!$C$56/(Assumptions!$G$10*0.001) /10^9</f>
        <v>2.2503186160091024</v>
      </c>
      <c r="K16" s="40">
        <f>F16*Assumptions!$C$65/(Assumptions!$G$10*0.001) /10^9</f>
        <v>4.4870937379009144</v>
      </c>
      <c r="L16" s="47">
        <f>4*Assumptions!$C$10/Assumptions!$G$10</f>
        <v>3.8524645164669762</v>
      </c>
      <c r="M16" s="39">
        <v>43.63</v>
      </c>
      <c r="N16" s="39">
        <v>62</v>
      </c>
      <c r="O16" s="44">
        <f>N16*Assumptions!$C$97/(Assumptions!$G$11*0.001) /10^9*M16/100</f>
        <v>13.425443007662084</v>
      </c>
      <c r="P16" s="48">
        <f>Assumptions!$C$115*Assumptions!$C$113/(Assumptions!$G$11*0.001) /10^9</f>
        <v>5.5904146014630776</v>
      </c>
      <c r="Q16" s="42">
        <f t="shared" si="0"/>
        <v>94.034307087539432</v>
      </c>
      <c r="S16" s="29" t="str">
        <f t="shared" si="1"/>
        <v>(280,42,100,100,62,0.44)</v>
      </c>
    </row>
    <row r="17" spans="2:19" ht="16.95" customHeight="1">
      <c r="B17" s="38">
        <v>12</v>
      </c>
      <c r="C17" s="39">
        <v>290</v>
      </c>
      <c r="D17" s="39">
        <v>46</v>
      </c>
      <c r="E17" s="37">
        <v>30</v>
      </c>
      <c r="F17" s="39">
        <v>100</v>
      </c>
      <c r="G17" s="40">
        <f>B17*Assumptions!$C$19*365*24*Assumptions!$D$26*1000/(Assumptions!$G$10*0.001) /10^9</f>
        <v>12.360421353028176</v>
      </c>
      <c r="H17" s="40">
        <f>C17*Assumptions!$C$20*365*24*Assumptions!$D$30*1000/(Assumptions!$G$10*0.001) /10^9</f>
        <v>49.007007641880691</v>
      </c>
      <c r="I17" s="40">
        <f>E17*Assumptions!$C$46/(Assumptions!$G$10*0.001) /10^9</f>
        <v>1.4253121285097021</v>
      </c>
      <c r="J17" s="40">
        <f>D17*Assumptions!$C$56/(Assumptions!$G$10*0.001) /10^9</f>
        <v>2.4646346746766361</v>
      </c>
      <c r="K17" s="40">
        <f>F17*Assumptions!$C$65/(Assumptions!$G$10*0.001) /10^9</f>
        <v>4.4870937379009144</v>
      </c>
      <c r="L17" s="47">
        <f>4*Assumptions!$C$10/Assumptions!$G$10</f>
        <v>3.8524645164669762</v>
      </c>
      <c r="M17" s="39">
        <v>31.5</v>
      </c>
      <c r="N17" s="39">
        <v>117</v>
      </c>
      <c r="O17" s="44">
        <f>N17*Assumptions!$C$97/(Assumptions!$G$11*0.001) /10^9*M17/100</f>
        <v>18.291450172912469</v>
      </c>
      <c r="P17" s="48">
        <f>Assumptions!$C$115*Assumptions!$C$113/(Assumptions!$G$11*0.001) /10^9</f>
        <v>5.5904146014630776</v>
      </c>
      <c r="Q17" s="42">
        <f t="shared" si="0"/>
        <v>97.478798826838656</v>
      </c>
      <c r="S17" s="29" t="str">
        <f t="shared" si="1"/>
        <v>(290,46,30,100,117,0.32)</v>
      </c>
    </row>
    <row r="18" spans="2:19" ht="16.95" customHeight="1">
      <c r="B18" s="38">
        <v>12</v>
      </c>
      <c r="C18" s="39">
        <v>290</v>
      </c>
      <c r="D18" s="39">
        <v>41</v>
      </c>
      <c r="E18" s="37">
        <v>40</v>
      </c>
      <c r="F18" s="39">
        <v>100</v>
      </c>
      <c r="G18" s="40">
        <f>B18*Assumptions!$C$19*365*24*Assumptions!$D$26*1000/(Assumptions!$G$10*0.001) /10^9</f>
        <v>12.360421353028176</v>
      </c>
      <c r="H18" s="40">
        <f>C18*Assumptions!$C$20*365*24*Assumptions!$D$30*1000/(Assumptions!$G$10*0.001) /10^9</f>
        <v>49.007007641880691</v>
      </c>
      <c r="I18" s="40">
        <f>E18*Assumptions!$C$46/(Assumptions!$G$10*0.001) /10^9</f>
        <v>1.9004161713462693</v>
      </c>
      <c r="J18" s="40">
        <f>D18*Assumptions!$C$56/(Assumptions!$G$10*0.001) /10^9</f>
        <v>2.1967396013422187</v>
      </c>
      <c r="K18" s="40">
        <f>F18*Assumptions!$C$65/(Assumptions!$G$10*0.001) /10^9</f>
        <v>4.4870937379009144</v>
      </c>
      <c r="L18" s="47">
        <f>4*Assumptions!$C$10/Assumptions!$G$10</f>
        <v>3.8524645164669762</v>
      </c>
      <c r="M18" s="39">
        <v>39.06</v>
      </c>
      <c r="N18" s="39">
        <v>71</v>
      </c>
      <c r="O18" s="44">
        <f>N18*Assumptions!$C$97/(Assumptions!$G$11*0.001) /10^9*M18/100</f>
        <v>13.763925412164218</v>
      </c>
      <c r="P18" s="48">
        <f>Assumptions!$C$115*Assumptions!$C$113/(Assumptions!$G$11*0.001) /10^9</f>
        <v>5.5904146014630776</v>
      </c>
      <c r="Q18" s="42">
        <f t="shared" si="0"/>
        <v>93.158483035592553</v>
      </c>
      <c r="S18" s="29" t="str">
        <f t="shared" si="1"/>
        <v>(290,41,40,100,71,0.39)</v>
      </c>
    </row>
    <row r="19" spans="2:19">
      <c r="B19" s="38">
        <v>12</v>
      </c>
      <c r="C19" s="39">
        <v>290</v>
      </c>
      <c r="D19" s="39">
        <v>41</v>
      </c>
      <c r="E19" s="37">
        <v>50</v>
      </c>
      <c r="F19" s="39">
        <v>100</v>
      </c>
      <c r="G19" s="40">
        <f>B19*Assumptions!$C$19*365*24*Assumptions!$D$26*1000/(Assumptions!$G$10*0.001) /10^9</f>
        <v>12.360421353028176</v>
      </c>
      <c r="H19" s="40">
        <f>C19*Assumptions!$C$20*365*24*Assumptions!$D$30*1000/(Assumptions!$G$10*0.001) /10^9</f>
        <v>49.007007641880691</v>
      </c>
      <c r="I19" s="40">
        <f>E19*Assumptions!$C$46/(Assumptions!$G$10*0.001) /10^9</f>
        <v>2.3755202141828367</v>
      </c>
      <c r="J19" s="40">
        <f>D19*Assumptions!$C$56/(Assumptions!$G$10*0.001) /10^9</f>
        <v>2.1967396013422187</v>
      </c>
      <c r="K19" s="40">
        <f>F19*Assumptions!$C$65/(Assumptions!$G$10*0.001) /10^9</f>
        <v>4.4870937379009144</v>
      </c>
      <c r="L19" s="47">
        <f>4*Assumptions!$C$10/Assumptions!$G$10</f>
        <v>3.8524645164669762</v>
      </c>
      <c r="M19" s="39">
        <v>42.92</v>
      </c>
      <c r="N19" s="39">
        <v>61</v>
      </c>
      <c r="O19" s="44">
        <f>N19*Assumptions!$C$97/(Assumptions!$G$11*0.001) /10^9*M19/100</f>
        <v>12.993952388198506</v>
      </c>
      <c r="P19" s="48">
        <f>Assumptions!$C$115*Assumptions!$C$113/(Assumptions!$G$11*0.001) /10^9</f>
        <v>5.5904146014630776</v>
      </c>
      <c r="Q19" s="42">
        <f t="shared" si="0"/>
        <v>92.863614054463412</v>
      </c>
      <c r="S19" s="29" t="str">
        <f t="shared" si="1"/>
        <v>(290,41,50,100,61,0.43)</v>
      </c>
    </row>
    <row r="20" spans="2:19">
      <c r="B20" s="38">
        <v>12</v>
      </c>
      <c r="C20" s="39">
        <v>290</v>
      </c>
      <c r="D20" s="39">
        <v>41</v>
      </c>
      <c r="E20" s="37">
        <v>60</v>
      </c>
      <c r="F20" s="39">
        <v>100</v>
      </c>
      <c r="G20" s="40">
        <f>B20*Assumptions!$C$19*365*24*Assumptions!$D$26*1000/(Assumptions!$G$10*0.001) /10^9</f>
        <v>12.360421353028176</v>
      </c>
      <c r="H20" s="40">
        <f>C20*Assumptions!$C$20*365*24*Assumptions!$D$30*1000/(Assumptions!$G$10*0.001) /10^9</f>
        <v>49.007007641880691</v>
      </c>
      <c r="I20" s="40">
        <f>E20*Assumptions!$C$46/(Assumptions!$G$10*0.001) /10^9</f>
        <v>2.8506242570194043</v>
      </c>
      <c r="J20" s="40">
        <f>D20*Assumptions!$C$56/(Assumptions!$G$10*0.001) /10^9</f>
        <v>2.1967396013422187</v>
      </c>
      <c r="K20" s="40">
        <f>F20*Assumptions!$C$65/(Assumptions!$G$10*0.001) /10^9</f>
        <v>4.4870937379009144</v>
      </c>
      <c r="L20" s="47">
        <f>4*Assumptions!$C$10/Assumptions!$G$10</f>
        <v>3.8524645164669762</v>
      </c>
      <c r="M20" s="39">
        <v>45.21</v>
      </c>
      <c r="N20" s="39">
        <v>56</v>
      </c>
      <c r="O20" s="44">
        <f>N20*Assumptions!$C$97/(Assumptions!$G$11*0.001) /10^9*M20/100</f>
        <v>12.565340358098728</v>
      </c>
      <c r="P20" s="48">
        <f>Assumptions!$C$115*Assumptions!$C$113/(Assumptions!$G$11*0.001) /10^9</f>
        <v>5.5904146014630776</v>
      </c>
      <c r="Q20" s="42">
        <f t="shared" si="0"/>
        <v>92.910106067200189</v>
      </c>
      <c r="S20" s="29" t="str">
        <f t="shared" si="1"/>
        <v>(290,41,60,100,56,0.45)</v>
      </c>
    </row>
    <row r="21" spans="2:19">
      <c r="B21" s="38">
        <v>12</v>
      </c>
      <c r="C21" s="39">
        <v>290</v>
      </c>
      <c r="D21" s="39">
        <v>41</v>
      </c>
      <c r="E21" s="37">
        <v>70</v>
      </c>
      <c r="F21" s="39">
        <v>100</v>
      </c>
      <c r="G21" s="40">
        <f>B21*Assumptions!$C$19*365*24*Assumptions!$D$26*1000/(Assumptions!$G$10*0.001) /10^9</f>
        <v>12.360421353028176</v>
      </c>
      <c r="H21" s="40">
        <f>C21*Assumptions!$C$20*365*24*Assumptions!$D$30*1000/(Assumptions!$G$10*0.001) /10^9</f>
        <v>49.007007641880691</v>
      </c>
      <c r="I21" s="40">
        <f>E21*Assumptions!$C$46/(Assumptions!$G$10*0.001) /10^9</f>
        <v>3.3257282998559714</v>
      </c>
      <c r="J21" s="40">
        <f>D21*Assumptions!$C$56/(Assumptions!$G$10*0.001) /10^9</f>
        <v>2.1967396013422187</v>
      </c>
      <c r="K21" s="40">
        <f>F21*Assumptions!$C$65/(Assumptions!$G$10*0.001) /10^9</f>
        <v>4.4870937379009144</v>
      </c>
      <c r="L21" s="47">
        <f>4*Assumptions!$C$10/Assumptions!$G$10</f>
        <v>3.8524645164669762</v>
      </c>
      <c r="M21" s="39">
        <v>46.61</v>
      </c>
      <c r="N21" s="39">
        <v>54</v>
      </c>
      <c r="O21" s="44">
        <f>N21*Assumptions!$C$97/(Assumptions!$G$11*0.001) /10^9*M21/100</f>
        <v>12.491787436768503</v>
      </c>
      <c r="P21" s="48">
        <f>Assumptions!$C$115*Assumptions!$C$113/(Assumptions!$G$11*0.001) /10^9</f>
        <v>5.5904146014630776</v>
      </c>
      <c r="Q21" s="42">
        <f t="shared" si="0"/>
        <v>93.311657188706533</v>
      </c>
      <c r="S21" s="29" t="str">
        <f t="shared" si="1"/>
        <v>(290,41,70,100,54,0.47)</v>
      </c>
    </row>
    <row r="22" spans="2:19">
      <c r="B22" s="38">
        <v>12</v>
      </c>
      <c r="C22" s="39">
        <v>290</v>
      </c>
      <c r="D22" s="39">
        <v>41</v>
      </c>
      <c r="E22" s="37">
        <v>80</v>
      </c>
      <c r="F22" s="39">
        <v>100</v>
      </c>
      <c r="G22" s="40">
        <f>B22*Assumptions!$C$19*365*24*Assumptions!$D$26*1000/(Assumptions!$G$10*0.001) /10^9</f>
        <v>12.360421353028176</v>
      </c>
      <c r="H22" s="40">
        <f>C22*Assumptions!$C$20*365*24*Assumptions!$D$30*1000/(Assumptions!$G$10*0.001) /10^9</f>
        <v>49.007007641880691</v>
      </c>
      <c r="I22" s="40">
        <f>E22*Assumptions!$C$46/(Assumptions!$G$10*0.001) /10^9</f>
        <v>3.8008323426925386</v>
      </c>
      <c r="J22" s="40">
        <f>D22*Assumptions!$C$56/(Assumptions!$G$10*0.001) /10^9</f>
        <v>2.1967396013422187</v>
      </c>
      <c r="K22" s="40">
        <f>F22*Assumptions!$C$65/(Assumptions!$G$10*0.001) /10^9</f>
        <v>4.4870937379009144</v>
      </c>
      <c r="L22" s="47">
        <f>4*Assumptions!$C$10/Assumptions!$G$10</f>
        <v>3.8524645164669762</v>
      </c>
      <c r="M22" s="39">
        <v>47.41</v>
      </c>
      <c r="N22" s="39">
        <v>53</v>
      </c>
      <c r="O22" s="44">
        <f>N22*Assumptions!$C$97/(Assumptions!$G$11*0.001) /10^9*M22/100</f>
        <v>12.470892848455392</v>
      </c>
      <c r="P22" s="48">
        <f>Assumptions!$C$115*Assumptions!$C$113/(Assumptions!$G$11*0.001) /10^9</f>
        <v>5.5904146014630776</v>
      </c>
      <c r="Q22" s="42">
        <f t="shared" si="0"/>
        <v>93.765866643229998</v>
      </c>
      <c r="S22" s="29" t="str">
        <f t="shared" si="1"/>
        <v>(290,41,80,100,53,0.47)</v>
      </c>
    </row>
    <row r="23" spans="2:19">
      <c r="B23" s="38">
        <v>12</v>
      </c>
      <c r="C23" s="39">
        <v>290</v>
      </c>
      <c r="D23" s="39">
        <v>41</v>
      </c>
      <c r="E23" s="37">
        <v>90</v>
      </c>
      <c r="F23" s="39">
        <v>100</v>
      </c>
      <c r="G23" s="40">
        <f>B23*Assumptions!$C$19*365*24*Assumptions!$D$26*1000/(Assumptions!$G$10*0.001) /10^9</f>
        <v>12.360421353028176</v>
      </c>
      <c r="H23" s="40">
        <f>C23*Assumptions!$C$20*365*24*Assumptions!$D$30*1000/(Assumptions!$G$10*0.001) /10^9</f>
        <v>49.007007641880691</v>
      </c>
      <c r="I23" s="40">
        <f>E23*Assumptions!$C$46/(Assumptions!$G$10*0.001) /10^9</f>
        <v>4.275936385529107</v>
      </c>
      <c r="J23" s="40">
        <f>D23*Assumptions!$C$56/(Assumptions!$G$10*0.001) /10^9</f>
        <v>2.1967396013422187</v>
      </c>
      <c r="K23" s="40">
        <f>F23*Assumptions!$C$65/(Assumptions!$G$10*0.001) /10^9</f>
        <v>4.4870937379009144</v>
      </c>
      <c r="L23" s="47">
        <f>4*Assumptions!$C$10/Assumptions!$G$10</f>
        <v>3.8524645164669762</v>
      </c>
      <c r="M23" s="39">
        <v>47.86</v>
      </c>
      <c r="N23" s="39">
        <v>52</v>
      </c>
      <c r="O23" s="44">
        <f>N23*Assumptions!$C$97/(Assumptions!$G$11*0.001) /10^9*M23/100</f>
        <v>12.351729174964241</v>
      </c>
      <c r="P23" s="48">
        <f>Assumptions!$C$115*Assumptions!$C$113/(Assumptions!$G$11*0.001) /10^9</f>
        <v>5.5904146014630776</v>
      </c>
      <c r="Q23" s="42">
        <f t="shared" si="0"/>
        <v>94.121807012575417</v>
      </c>
      <c r="S23" s="29" t="str">
        <f t="shared" si="1"/>
        <v>(290,41,90,100,52,0.48)</v>
      </c>
    </row>
    <row r="24" spans="2:19">
      <c r="B24" s="38">
        <v>12</v>
      </c>
      <c r="C24" s="39">
        <v>290</v>
      </c>
      <c r="D24" s="39">
        <v>41</v>
      </c>
      <c r="E24" s="37">
        <v>100</v>
      </c>
      <c r="F24" s="39">
        <v>100</v>
      </c>
      <c r="G24" s="40">
        <f>B24*Assumptions!$C$19*365*24*Assumptions!$D$26*1000/(Assumptions!$G$10*0.001) /10^9</f>
        <v>12.360421353028176</v>
      </c>
      <c r="H24" s="40">
        <f>C24*Assumptions!$C$20*365*24*Assumptions!$D$30*1000/(Assumptions!$G$10*0.001) /10^9</f>
        <v>49.007007641880691</v>
      </c>
      <c r="I24" s="40">
        <f>E24*Assumptions!$C$46/(Assumptions!$G$10*0.001) /10^9</f>
        <v>4.7510404283656733</v>
      </c>
      <c r="J24" s="40">
        <f>D24*Assumptions!$C$56/(Assumptions!$G$10*0.001) /10^9</f>
        <v>2.1967396013422187</v>
      </c>
      <c r="K24" s="40">
        <f>F24*Assumptions!$C$65/(Assumptions!$G$10*0.001) /10^9</f>
        <v>4.4870937379009144</v>
      </c>
      <c r="L24" s="47">
        <f>4*Assumptions!$C$10/Assumptions!$G$10</f>
        <v>3.8524645164669762</v>
      </c>
      <c r="M24" s="39">
        <v>48.23</v>
      </c>
      <c r="N24" s="39">
        <v>51</v>
      </c>
      <c r="O24" s="44">
        <f>N24*Assumptions!$C$97/(Assumptions!$G$11*0.001) /10^9*M24/100</f>
        <v>12.207849337625282</v>
      </c>
      <c r="P24" s="48">
        <f>Assumptions!$C$115*Assumptions!$C$113/(Assumptions!$G$11*0.001) /10^9</f>
        <v>5.5904146014630776</v>
      </c>
      <c r="Q24" s="42">
        <f t="shared" si="0"/>
        <v>94.453031218073008</v>
      </c>
      <c r="S24" s="29" t="str">
        <f t="shared" si="1"/>
        <v>(290,41,100,100,51,0.48)</v>
      </c>
    </row>
    <row r="25" spans="2:19">
      <c r="B25" s="38">
        <v>12</v>
      </c>
      <c r="C25" s="39">
        <v>300</v>
      </c>
      <c r="D25" s="39">
        <v>41</v>
      </c>
      <c r="E25" s="37">
        <v>30</v>
      </c>
      <c r="F25" s="39">
        <v>100</v>
      </c>
      <c r="G25" s="40">
        <f>B25*Assumptions!$C$19*365*24*Assumptions!$D$26*1000/(Assumptions!$G$10*0.001) /10^9</f>
        <v>12.360421353028176</v>
      </c>
      <c r="H25" s="40">
        <f>C25*Assumptions!$C$20*365*24*Assumptions!$D$30*1000/(Assumptions!$G$10*0.001) /10^9</f>
        <v>50.696904457117959</v>
      </c>
      <c r="I25" s="40">
        <f>E25*Assumptions!$C$46/(Assumptions!$G$10*0.001) /10^9</f>
        <v>1.4253121285097021</v>
      </c>
      <c r="J25" s="40">
        <f>D25*Assumptions!$C$56/(Assumptions!$G$10*0.001) /10^9</f>
        <v>2.1967396013422187</v>
      </c>
      <c r="K25" s="40">
        <f>F25*Assumptions!$C$65/(Assumptions!$G$10*0.001) /10^9</f>
        <v>4.4870937379009144</v>
      </c>
      <c r="L25" s="47">
        <f>4*Assumptions!$C$10/Assumptions!$G$10</f>
        <v>3.8524645164669762</v>
      </c>
      <c r="M25" s="39">
        <v>37.299999999999997</v>
      </c>
      <c r="N25" s="39">
        <v>74</v>
      </c>
      <c r="O25" s="44">
        <f>N25*Assumptions!$C$97/(Assumptions!$G$11*0.001) /10^9*M25/100</f>
        <v>13.699107520627591</v>
      </c>
      <c r="P25" s="48">
        <f>Assumptions!$C$115*Assumptions!$C$113/(Assumptions!$G$11*0.001) /10^9</f>
        <v>5.5904146014630776</v>
      </c>
      <c r="Q25" s="42">
        <f t="shared" si="0"/>
        <v>94.308457916456632</v>
      </c>
      <c r="S25" s="29" t="str">
        <f t="shared" si="1"/>
        <v>(300,41,30,100,74,0.37)</v>
      </c>
    </row>
    <row r="26" spans="2:19">
      <c r="B26" s="38">
        <v>12</v>
      </c>
      <c r="C26" s="39">
        <v>300</v>
      </c>
      <c r="D26" s="39">
        <v>40</v>
      </c>
      <c r="E26" s="37">
        <v>40</v>
      </c>
      <c r="F26" s="39">
        <v>100</v>
      </c>
      <c r="G26" s="40">
        <f>B26*Assumptions!$C$19*365*24*Assumptions!$D$26*1000/(Assumptions!$G$10*0.001) /10^9</f>
        <v>12.360421353028176</v>
      </c>
      <c r="H26" s="40">
        <f>C26*Assumptions!$C$20*365*24*Assumptions!$D$30*1000/(Assumptions!$G$10*0.001) /10^9</f>
        <v>50.696904457117959</v>
      </c>
      <c r="I26" s="40">
        <f>E26*Assumptions!$C$46/(Assumptions!$G$10*0.001) /10^9</f>
        <v>1.9004161713462693</v>
      </c>
      <c r="J26" s="40">
        <f>D26*Assumptions!$C$56/(Assumptions!$G$10*0.001) /10^9</f>
        <v>2.1431605866753358</v>
      </c>
      <c r="K26" s="40">
        <f>F26*Assumptions!$C$65/(Assumptions!$G$10*0.001) /10^9</f>
        <v>4.4870937379009144</v>
      </c>
      <c r="L26" s="47">
        <f>4*Assumptions!$C$10/Assumptions!$G$10</f>
        <v>3.8524645164669762</v>
      </c>
      <c r="M26" s="39">
        <v>44.09</v>
      </c>
      <c r="N26" s="39">
        <v>57</v>
      </c>
      <c r="O26" s="44">
        <f>N26*Assumptions!$C$97/(Assumptions!$G$11*0.001) /10^9*M26/100</f>
        <v>12.472878082499394</v>
      </c>
      <c r="P26" s="48">
        <f>Assumptions!$C$115*Assumptions!$C$113/(Assumptions!$G$11*0.001) /10^9</f>
        <v>5.5904146014630776</v>
      </c>
      <c r="Q26" s="42">
        <f t="shared" si="0"/>
        <v>93.503753506498114</v>
      </c>
      <c r="S26" s="29" t="str">
        <f t="shared" si="1"/>
        <v>(300,40,40,100,57,0.44)</v>
      </c>
    </row>
    <row r="27" spans="2:19">
      <c r="B27" s="38">
        <v>12</v>
      </c>
      <c r="C27" s="39">
        <v>300</v>
      </c>
      <c r="D27" s="39">
        <v>40</v>
      </c>
      <c r="E27" s="37">
        <v>50</v>
      </c>
      <c r="F27" s="39">
        <v>100</v>
      </c>
      <c r="G27" s="40">
        <f>B27*Assumptions!$C$19*365*24*Assumptions!$D$26*1000/(Assumptions!$G$10*0.001) /10^9</f>
        <v>12.360421353028176</v>
      </c>
      <c r="H27" s="40">
        <f>C27*Assumptions!$C$20*365*24*Assumptions!$D$30*1000/(Assumptions!$G$10*0.001) /10^9</f>
        <v>50.696904457117959</v>
      </c>
      <c r="I27" s="40">
        <f>E27*Assumptions!$C$46/(Assumptions!$G$10*0.001) /10^9</f>
        <v>2.3755202141828367</v>
      </c>
      <c r="J27" s="40">
        <f>D27*Assumptions!$C$56/(Assumptions!$G$10*0.001) /10^9</f>
        <v>2.1431605866753358</v>
      </c>
      <c r="K27" s="40">
        <f>F27*Assumptions!$C$65/(Assumptions!$G$10*0.001) /10^9</f>
        <v>4.4870937379009144</v>
      </c>
      <c r="L27" s="47">
        <f>4*Assumptions!$C$10/Assumptions!$G$10</f>
        <v>3.8524645164669762</v>
      </c>
      <c r="M27" s="39">
        <v>47.63</v>
      </c>
      <c r="N27" s="39">
        <v>51</v>
      </c>
      <c r="O27" s="44">
        <f>N27*Assumptions!$C$97/(Assumptions!$G$11*0.001) /10^9*M27/100</f>
        <v>12.055978933259221</v>
      </c>
      <c r="P27" s="48">
        <f>Assumptions!$C$115*Assumptions!$C$113/(Assumptions!$G$11*0.001) /10^9</f>
        <v>5.5904146014630776</v>
      </c>
      <c r="Q27" s="42">
        <f t="shared" si="0"/>
        <v>93.561958400094525</v>
      </c>
      <c r="S27" s="29" t="str">
        <f t="shared" si="1"/>
        <v>(300,40,50,100,51,0.48)</v>
      </c>
    </row>
    <row r="28" spans="2:19">
      <c r="B28" s="38">
        <v>12</v>
      </c>
      <c r="C28" s="39">
        <v>300</v>
      </c>
      <c r="D28" s="39">
        <v>40</v>
      </c>
      <c r="E28" s="37">
        <v>60</v>
      </c>
      <c r="F28" s="39">
        <v>100</v>
      </c>
      <c r="G28" s="40">
        <f>B28*Assumptions!$C$19*365*24*Assumptions!$D$26*1000/(Assumptions!$G$10*0.001) /10^9</f>
        <v>12.360421353028176</v>
      </c>
      <c r="H28" s="40">
        <f>C28*Assumptions!$C$20*365*24*Assumptions!$D$30*1000/(Assumptions!$G$10*0.001) /10^9</f>
        <v>50.696904457117959</v>
      </c>
      <c r="I28" s="40">
        <f>E28*Assumptions!$C$46/(Assumptions!$G$10*0.001) /10^9</f>
        <v>2.8506242570194043</v>
      </c>
      <c r="J28" s="40">
        <f>D28*Assumptions!$C$56/(Assumptions!$G$10*0.001) /10^9</f>
        <v>2.1431605866753358</v>
      </c>
      <c r="K28" s="40">
        <f>F28*Assumptions!$C$65/(Assumptions!$G$10*0.001) /10^9</f>
        <v>4.4870937379009144</v>
      </c>
      <c r="L28" s="47">
        <f>4*Assumptions!$C$10/Assumptions!$G$10</f>
        <v>3.8524645164669762</v>
      </c>
      <c r="M28" s="39">
        <v>49.72</v>
      </c>
      <c r="N28" s="39">
        <v>48</v>
      </c>
      <c r="O28" s="44">
        <f>N28*Assumptions!$C$97/(Assumptions!$G$11*0.001) /10^9*M28/100</f>
        <v>11.844700400126435</v>
      </c>
      <c r="P28" s="48">
        <f>Assumptions!$C$115*Assumptions!$C$113/(Assumptions!$G$11*0.001) /10^9</f>
        <v>5.5904146014630776</v>
      </c>
      <c r="Q28" s="42">
        <f t="shared" si="0"/>
        <v>93.82578390979829</v>
      </c>
      <c r="S28" s="29" t="str">
        <f t="shared" si="1"/>
        <v>(300,40,60,100,48,0.5)</v>
      </c>
    </row>
    <row r="29" spans="2:19">
      <c r="B29" s="38">
        <v>12</v>
      </c>
      <c r="C29" s="39">
        <v>300</v>
      </c>
      <c r="D29" s="39">
        <v>40</v>
      </c>
      <c r="E29" s="37">
        <v>70</v>
      </c>
      <c r="F29" s="39">
        <v>100</v>
      </c>
      <c r="G29" s="40">
        <f>B29*Assumptions!$C$19*365*24*Assumptions!$D$26*1000/(Assumptions!$G$10*0.001) /10^9</f>
        <v>12.360421353028176</v>
      </c>
      <c r="H29" s="40">
        <f>C29*Assumptions!$C$20*365*24*Assumptions!$D$30*1000/(Assumptions!$G$10*0.001) /10^9</f>
        <v>50.696904457117959</v>
      </c>
      <c r="I29" s="40">
        <f>E29*Assumptions!$C$46/(Assumptions!$G$10*0.001) /10^9</f>
        <v>3.3257282998559714</v>
      </c>
      <c r="J29" s="40">
        <f>D29*Assumptions!$C$56/(Assumptions!$G$10*0.001) /10^9</f>
        <v>2.1431605866753358</v>
      </c>
      <c r="K29" s="40">
        <f>F29*Assumptions!$C$65/(Assumptions!$G$10*0.001) /10^9</f>
        <v>4.4870937379009144</v>
      </c>
      <c r="L29" s="47">
        <f>4*Assumptions!$C$10/Assumptions!$G$10</f>
        <v>3.8524645164669762</v>
      </c>
      <c r="M29" s="39">
        <v>50.77</v>
      </c>
      <c r="N29" s="39">
        <v>47</v>
      </c>
      <c r="O29" s="44">
        <f>N29*Assumptions!$C$97/(Assumptions!$G$11*0.001) /10^9*M29/100</f>
        <v>11.842864058635737</v>
      </c>
      <c r="P29" s="48">
        <f>Assumptions!$C$115*Assumptions!$C$113/(Assumptions!$G$11*0.001) /10^9</f>
        <v>5.5904146014630776</v>
      </c>
      <c r="Q29" s="42">
        <f t="shared" si="0"/>
        <v>94.299051611144165</v>
      </c>
      <c r="S29" s="29" t="str">
        <f t="shared" si="1"/>
        <v>(300,40,70,100,47,0.51)</v>
      </c>
    </row>
    <row r="30" spans="2:19">
      <c r="B30" s="38">
        <v>12</v>
      </c>
      <c r="C30" s="39">
        <v>300</v>
      </c>
      <c r="D30" s="39">
        <v>40</v>
      </c>
      <c r="E30" s="37">
        <v>80</v>
      </c>
      <c r="F30" s="39">
        <v>100</v>
      </c>
      <c r="G30" s="40">
        <f>B30*Assumptions!$C$19*365*24*Assumptions!$D$26*1000/(Assumptions!$G$10*0.001) /10^9</f>
        <v>12.360421353028176</v>
      </c>
      <c r="H30" s="40">
        <f>C30*Assumptions!$C$20*365*24*Assumptions!$D$30*1000/(Assumptions!$G$10*0.001) /10^9</f>
        <v>50.696904457117959</v>
      </c>
      <c r="I30" s="40">
        <f>E30*Assumptions!$C$46/(Assumptions!$G$10*0.001) /10^9</f>
        <v>3.8008323426925386</v>
      </c>
      <c r="J30" s="40">
        <f>D30*Assumptions!$C$56/(Assumptions!$G$10*0.001) /10^9</f>
        <v>2.1431605866753358</v>
      </c>
      <c r="K30" s="40">
        <f>F30*Assumptions!$C$65/(Assumptions!$G$10*0.001) /10^9</f>
        <v>4.4870937379009144</v>
      </c>
      <c r="L30" s="47">
        <f>4*Assumptions!$C$10/Assumptions!$G$10</f>
        <v>3.8524645164669762</v>
      </c>
      <c r="M30" s="39">
        <v>51.55</v>
      </c>
      <c r="N30" s="39">
        <v>46</v>
      </c>
      <c r="O30" s="44">
        <f>N30*Assumptions!$C$97/(Assumptions!$G$11*0.001) /10^9*M30/100</f>
        <v>11.768963721347804</v>
      </c>
      <c r="P30" s="48">
        <f>Assumptions!$C$115*Assumptions!$C$113/(Assumptions!$G$11*0.001) /10^9</f>
        <v>5.5904146014630776</v>
      </c>
      <c r="Q30" s="42">
        <f t="shared" si="0"/>
        <v>94.700255316692804</v>
      </c>
      <c r="S30" s="29" t="str">
        <f t="shared" si="1"/>
        <v>(300,40,80,100,46,0.52)</v>
      </c>
    </row>
    <row r="31" spans="2:19">
      <c r="B31" s="38">
        <v>12</v>
      </c>
      <c r="C31" s="39">
        <v>300</v>
      </c>
      <c r="D31" s="39">
        <v>40</v>
      </c>
      <c r="E31" s="37">
        <v>90</v>
      </c>
      <c r="F31" s="39">
        <v>100</v>
      </c>
      <c r="G31" s="40">
        <f>B31*Assumptions!$C$19*365*24*Assumptions!$D$26*1000/(Assumptions!$G$10*0.001) /10^9</f>
        <v>12.360421353028176</v>
      </c>
      <c r="H31" s="40">
        <f>C31*Assumptions!$C$20*365*24*Assumptions!$D$30*1000/(Assumptions!$G$10*0.001) /10^9</f>
        <v>50.696904457117959</v>
      </c>
      <c r="I31" s="40">
        <f>E31*Assumptions!$C$46/(Assumptions!$G$10*0.001) /10^9</f>
        <v>4.275936385529107</v>
      </c>
      <c r="J31" s="40">
        <f>D31*Assumptions!$C$56/(Assumptions!$G$10*0.001) /10^9</f>
        <v>2.1431605866753358</v>
      </c>
      <c r="K31" s="40">
        <f>F31*Assumptions!$C$65/(Assumptions!$G$10*0.001) /10^9</f>
        <v>4.4870937379009144</v>
      </c>
      <c r="L31" s="47">
        <f>4*Assumptions!$C$10/Assumptions!$G$10</f>
        <v>3.8524645164669762</v>
      </c>
      <c r="M31" s="39">
        <v>52.03</v>
      </c>
      <c r="N31" s="39">
        <v>46</v>
      </c>
      <c r="O31" s="44">
        <f>N31*Assumptions!$C$97/(Assumptions!$G$11*0.001) /10^9*M31/100</f>
        <v>11.87854864057665</v>
      </c>
      <c r="P31" s="48">
        <f>Assumptions!$C$115*Assumptions!$C$113/(Assumptions!$G$11*0.001) /10^9</f>
        <v>5.5904146014630776</v>
      </c>
      <c r="Q31" s="42">
        <f t="shared" si="0"/>
        <v>95.284944278758218</v>
      </c>
      <c r="S31" s="29" t="str">
        <f t="shared" si="1"/>
        <v>(300,40,90,100,46,0.52)</v>
      </c>
    </row>
    <row r="32" spans="2:19">
      <c r="B32" s="38">
        <v>12</v>
      </c>
      <c r="C32" s="39">
        <v>300</v>
      </c>
      <c r="D32" s="39">
        <v>40</v>
      </c>
      <c r="E32" s="37">
        <v>100</v>
      </c>
      <c r="F32" s="39">
        <v>100</v>
      </c>
      <c r="G32" s="40">
        <f>B32*Assumptions!$C$19*365*24*Assumptions!$D$26*1000/(Assumptions!$G$10*0.001) /10^9</f>
        <v>12.360421353028176</v>
      </c>
      <c r="H32" s="40">
        <f>C32*Assumptions!$C$20*365*24*Assumptions!$D$30*1000/(Assumptions!$G$10*0.001) /10^9</f>
        <v>50.696904457117959</v>
      </c>
      <c r="I32" s="40">
        <f>E32*Assumptions!$C$46/(Assumptions!$G$10*0.001) /10^9</f>
        <v>4.7510404283656733</v>
      </c>
      <c r="J32" s="40">
        <f>D32*Assumptions!$C$56/(Assumptions!$G$10*0.001) /10^9</f>
        <v>2.1431605866753358</v>
      </c>
      <c r="K32" s="40">
        <f>F32*Assumptions!$C$65/(Assumptions!$G$10*0.001) /10^9</f>
        <v>4.4870937379009144</v>
      </c>
      <c r="L32" s="47">
        <f>4*Assumptions!$C$10/Assumptions!$G$10</f>
        <v>3.8524645164669762</v>
      </c>
      <c r="M32" s="39">
        <v>52.37</v>
      </c>
      <c r="N32" s="39">
        <v>45</v>
      </c>
      <c r="O32" s="44">
        <f>N32*Assumptions!$C$97/(Assumptions!$G$11*0.001) /10^9*M32/100</f>
        <v>11.696254524486273</v>
      </c>
      <c r="P32" s="48">
        <f>Assumptions!$C$115*Assumptions!$C$113/(Assumptions!$G$11*0.001) /10^9</f>
        <v>5.5904146014630776</v>
      </c>
      <c r="Q32" s="42">
        <f t="shared" si="0"/>
        <v>95.577754205504405</v>
      </c>
      <c r="S32" s="29" t="str">
        <f t="shared" si="1"/>
        <v>(300,40,100,100,45,0.52)</v>
      </c>
    </row>
    <row r="33" spans="2:19">
      <c r="B33" s="38">
        <v>12</v>
      </c>
      <c r="C33" s="39">
        <v>310</v>
      </c>
      <c r="D33" s="39">
        <v>44</v>
      </c>
      <c r="E33" s="37">
        <v>20</v>
      </c>
      <c r="F33" s="39">
        <v>100</v>
      </c>
      <c r="G33" s="40">
        <f>B33*Assumptions!$C$19*365*24*Assumptions!$D$26*1000/(Assumptions!$G$10*0.001) /10^9</f>
        <v>12.360421353028176</v>
      </c>
      <c r="H33" s="40">
        <f>C33*Assumptions!$C$20*365*24*Assumptions!$D$30*1000/(Assumptions!$G$10*0.001) /10^9</f>
        <v>52.386801272355221</v>
      </c>
      <c r="I33" s="40">
        <f>E33*Assumptions!$C$46/(Assumptions!$G$10*0.001) /10^9</f>
        <v>0.95020808567313464</v>
      </c>
      <c r="J33" s="40">
        <f>D33*Assumptions!$C$56/(Assumptions!$G$10*0.001) /10^9</f>
        <v>2.3574766453428695</v>
      </c>
      <c r="K33" s="40">
        <f>F33*Assumptions!$C$65/(Assumptions!$G$10*0.001) /10^9</f>
        <v>4.4870937379009144</v>
      </c>
      <c r="L33" s="47">
        <f>4*Assumptions!$C$10/Assumptions!$G$10</f>
        <v>3.8524645164669762</v>
      </c>
      <c r="M33" s="39">
        <v>28.83</v>
      </c>
      <c r="N33" s="39">
        <v>126</v>
      </c>
      <c r="O33" s="44">
        <f>N33*Assumptions!$C$97/(Assumptions!$G$11*0.001) /10^9*M33/100</f>
        <v>18.028803708891157</v>
      </c>
      <c r="P33" s="48">
        <f>Assumptions!$C$115*Assumptions!$C$113/(Assumptions!$G$11*0.001) /10^9</f>
        <v>5.5904146014630776</v>
      </c>
      <c r="Q33" s="42">
        <f t="shared" si="0"/>
        <v>100.01368392112155</v>
      </c>
      <c r="S33" s="29" t="str">
        <f t="shared" si="1"/>
        <v>(310,44,20,100,126,0.29)</v>
      </c>
    </row>
    <row r="34" spans="2:19">
      <c r="B34" s="38">
        <v>12</v>
      </c>
      <c r="C34" s="39">
        <v>310</v>
      </c>
      <c r="D34" s="39">
        <v>39</v>
      </c>
      <c r="E34" s="37">
        <v>30</v>
      </c>
      <c r="F34" s="39">
        <v>100</v>
      </c>
      <c r="G34" s="40">
        <f>B34*Assumptions!$C$19*365*24*Assumptions!$D$26*1000/(Assumptions!$G$10*0.001) /10^9</f>
        <v>12.360421353028176</v>
      </c>
      <c r="H34" s="40">
        <f>C34*Assumptions!$C$20*365*24*Assumptions!$D$30*1000/(Assumptions!$G$10*0.001) /10^9</f>
        <v>52.386801272355221</v>
      </c>
      <c r="I34" s="40">
        <f>E34*Assumptions!$C$46/(Assumptions!$G$10*0.001) /10^9</f>
        <v>1.4253121285097021</v>
      </c>
      <c r="J34" s="40">
        <f>D34*Assumptions!$C$56/(Assumptions!$G$10*0.001) /10^9</f>
        <v>2.0895815720084521</v>
      </c>
      <c r="K34" s="40">
        <f>F34*Assumptions!$C$65/(Assumptions!$G$10*0.001) /10^9</f>
        <v>4.4870937379009144</v>
      </c>
      <c r="L34" s="47">
        <f>4*Assumptions!$C$10/Assumptions!$G$10</f>
        <v>3.8524645164669762</v>
      </c>
      <c r="M34" s="39">
        <v>42.63</v>
      </c>
      <c r="N34" s="39">
        <v>59</v>
      </c>
      <c r="O34" s="44">
        <f>N34*Assumptions!$C$97/(Assumptions!$G$11*0.001) /10^9*M34/100</f>
        <v>12.483002776123797</v>
      </c>
      <c r="P34" s="48">
        <f>Assumptions!$C$115*Assumptions!$C$113/(Assumptions!$G$11*0.001) /10^9</f>
        <v>5.5904146014630776</v>
      </c>
      <c r="Q34" s="42">
        <f t="shared" si="0"/>
        <v>94.675091957856338</v>
      </c>
      <c r="S34" s="29" t="str">
        <f t="shared" si="1"/>
        <v>(310,39,30,100,59,0.43)</v>
      </c>
    </row>
    <row r="35" spans="2:19">
      <c r="B35" s="38">
        <v>12</v>
      </c>
      <c r="C35" s="39">
        <v>310</v>
      </c>
      <c r="D35" s="39">
        <v>39</v>
      </c>
      <c r="E35" s="37">
        <v>40</v>
      </c>
      <c r="F35" s="39">
        <v>100</v>
      </c>
      <c r="G35" s="40">
        <f>B35*Assumptions!$C$19*365*24*Assumptions!$D$26*1000/(Assumptions!$G$10*0.001) /10^9</f>
        <v>12.360421353028176</v>
      </c>
      <c r="H35" s="40">
        <f>C35*Assumptions!$C$20*365*24*Assumptions!$D$30*1000/(Assumptions!$G$10*0.001) /10^9</f>
        <v>52.386801272355221</v>
      </c>
      <c r="I35" s="40">
        <f>E35*Assumptions!$C$46/(Assumptions!$G$10*0.001) /10^9</f>
        <v>1.9004161713462693</v>
      </c>
      <c r="J35" s="40">
        <f>D35*Assumptions!$C$56/(Assumptions!$G$10*0.001) /10^9</f>
        <v>2.0895815720084521</v>
      </c>
      <c r="K35" s="40">
        <f>F35*Assumptions!$C$65/(Assumptions!$G$10*0.001) /10^9</f>
        <v>4.4870937379009144</v>
      </c>
      <c r="L35" s="47">
        <f>4*Assumptions!$C$10/Assumptions!$G$10</f>
        <v>3.8524645164669762</v>
      </c>
      <c r="M35" s="39">
        <v>48.62</v>
      </c>
      <c r="N35" s="39">
        <v>49</v>
      </c>
      <c r="O35" s="44">
        <f>N35*Assumptions!$C$97/(Assumptions!$G$11*0.001) /10^9*M35/100</f>
        <v>11.823954704366626</v>
      </c>
      <c r="P35" s="48">
        <f>Assumptions!$C$115*Assumptions!$C$113/(Assumptions!$G$11*0.001) /10^9</f>
        <v>5.5904146014630776</v>
      </c>
      <c r="Q35" s="42">
        <f t="shared" si="0"/>
        <v>94.491147928935732</v>
      </c>
      <c r="S35" s="29" t="str">
        <f t="shared" si="1"/>
        <v>(310,39,40,100,49,0.49)</v>
      </c>
    </row>
    <row r="36" spans="2:19">
      <c r="B36" s="38">
        <v>12</v>
      </c>
      <c r="C36" s="39">
        <v>310</v>
      </c>
      <c r="D36" s="39">
        <v>39</v>
      </c>
      <c r="E36" s="37">
        <v>50</v>
      </c>
      <c r="F36" s="39">
        <v>100</v>
      </c>
      <c r="G36" s="40">
        <f>B36*Assumptions!$C$19*365*24*Assumptions!$D$26*1000/(Assumptions!$G$10*0.001) /10^9</f>
        <v>12.360421353028176</v>
      </c>
      <c r="H36" s="40">
        <f>C36*Assumptions!$C$20*365*24*Assumptions!$D$30*1000/(Assumptions!$G$10*0.001) /10^9</f>
        <v>52.386801272355221</v>
      </c>
      <c r="I36" s="40">
        <f>E36*Assumptions!$C$46/(Assumptions!$G$10*0.001) /10^9</f>
        <v>2.3755202141828367</v>
      </c>
      <c r="J36" s="40">
        <f>D36*Assumptions!$C$56/(Assumptions!$G$10*0.001) /10^9</f>
        <v>2.0895815720084521</v>
      </c>
      <c r="K36" s="40">
        <f>F36*Assumptions!$C$65/(Assumptions!$G$10*0.001) /10^9</f>
        <v>4.4870937379009144</v>
      </c>
      <c r="L36" s="47">
        <f>4*Assumptions!$C$10/Assumptions!$G$10</f>
        <v>3.8524645164669762</v>
      </c>
      <c r="M36" s="39">
        <v>51.96</v>
      </c>
      <c r="N36" s="39">
        <v>46</v>
      </c>
      <c r="O36" s="44">
        <f>N36*Assumptions!$C$97/(Assumptions!$G$11*0.001) /10^9*M36/100</f>
        <v>11.862567506522444</v>
      </c>
      <c r="P36" s="48">
        <f>Assumptions!$C$115*Assumptions!$C$113/(Assumptions!$G$11*0.001) /10^9</f>
        <v>5.5904146014630776</v>
      </c>
      <c r="Q36" s="42">
        <f t="shared" si="0"/>
        <v>95.004864773928119</v>
      </c>
      <c r="S36" s="29" t="str">
        <f t="shared" si="1"/>
        <v>(310,39,50,100,46,0.52)</v>
      </c>
    </row>
    <row r="37" spans="2:19">
      <c r="B37" s="38">
        <v>12</v>
      </c>
      <c r="C37" s="39">
        <v>310</v>
      </c>
      <c r="D37" s="39">
        <v>39</v>
      </c>
      <c r="E37" s="37">
        <v>60</v>
      </c>
      <c r="F37" s="39">
        <v>100</v>
      </c>
      <c r="G37" s="40">
        <f>B37*Assumptions!$C$19*365*24*Assumptions!$D$26*1000/(Assumptions!$G$10*0.001) /10^9</f>
        <v>12.360421353028176</v>
      </c>
      <c r="H37" s="40">
        <f>C37*Assumptions!$C$20*365*24*Assumptions!$D$30*1000/(Assumptions!$G$10*0.001) /10^9</f>
        <v>52.386801272355221</v>
      </c>
      <c r="I37" s="40">
        <f>E37*Assumptions!$C$46/(Assumptions!$G$10*0.001) /10^9</f>
        <v>2.8506242570194043</v>
      </c>
      <c r="J37" s="40">
        <f>D37*Assumptions!$C$56/(Assumptions!$G$10*0.001) /10^9</f>
        <v>2.0895815720084521</v>
      </c>
      <c r="K37" s="40">
        <f>F37*Assumptions!$C$65/(Assumptions!$G$10*0.001) /10^9</f>
        <v>4.4870937379009144</v>
      </c>
      <c r="L37" s="47">
        <f>4*Assumptions!$C$10/Assumptions!$G$10</f>
        <v>3.8524645164669762</v>
      </c>
      <c r="M37" s="39">
        <v>53.81</v>
      </c>
      <c r="N37" s="39">
        <v>43</v>
      </c>
      <c r="O37" s="44">
        <f>N37*Assumptions!$C$97/(Assumptions!$G$11*0.001) /10^9*M37/100</f>
        <v>11.483735220075989</v>
      </c>
      <c r="P37" s="48">
        <f>Assumptions!$C$115*Assumptions!$C$113/(Assumptions!$G$11*0.001) /10^9</f>
        <v>5.5904146014630776</v>
      </c>
      <c r="Q37" s="42">
        <f t="shared" si="0"/>
        <v>95.101136530318229</v>
      </c>
      <c r="S37" s="29" t="str">
        <f t="shared" si="1"/>
        <v>(310,39,60,100,43,0.54)</v>
      </c>
    </row>
    <row r="38" spans="2:19">
      <c r="B38" s="38">
        <v>12</v>
      </c>
      <c r="C38" s="39">
        <v>310</v>
      </c>
      <c r="D38" s="39">
        <v>39</v>
      </c>
      <c r="E38" s="37">
        <v>70</v>
      </c>
      <c r="F38" s="39">
        <v>100</v>
      </c>
      <c r="G38" s="40">
        <f>B38*Assumptions!$C$19*365*24*Assumptions!$D$26*1000/(Assumptions!$G$10*0.001) /10^9</f>
        <v>12.360421353028176</v>
      </c>
      <c r="H38" s="40">
        <f>C38*Assumptions!$C$20*365*24*Assumptions!$D$30*1000/(Assumptions!$G$10*0.001) /10^9</f>
        <v>52.386801272355221</v>
      </c>
      <c r="I38" s="40">
        <f>E38*Assumptions!$C$46/(Assumptions!$G$10*0.001) /10^9</f>
        <v>3.3257282998559714</v>
      </c>
      <c r="J38" s="40">
        <f>D38*Assumptions!$C$56/(Assumptions!$G$10*0.001) /10^9</f>
        <v>2.0895815720084521</v>
      </c>
      <c r="K38" s="40">
        <f>F38*Assumptions!$C$65/(Assumptions!$G$10*0.001) /10^9</f>
        <v>4.4870937379009144</v>
      </c>
      <c r="L38" s="47">
        <f>4*Assumptions!$C$10/Assumptions!$G$10</f>
        <v>3.8524645164669762</v>
      </c>
      <c r="M38" s="39">
        <v>54.91</v>
      </c>
      <c r="N38" s="39">
        <v>43</v>
      </c>
      <c r="O38" s="44">
        <f>N38*Assumptions!$C$97/(Assumptions!$G$11*0.001) /10^9*M38/100</f>
        <v>11.718489145779083</v>
      </c>
      <c r="P38" s="48">
        <f>Assumptions!$C$115*Assumptions!$C$113/(Assumptions!$G$11*0.001) /10^9</f>
        <v>5.5904146014630776</v>
      </c>
      <c r="Q38" s="42">
        <f t="shared" si="0"/>
        <v>95.810994498857895</v>
      </c>
      <c r="S38" s="29" t="str">
        <f t="shared" si="1"/>
        <v>(310,39,70,100,43,0.55)</v>
      </c>
    </row>
    <row r="39" spans="2:19">
      <c r="B39" s="38">
        <v>12</v>
      </c>
      <c r="C39" s="39">
        <v>310</v>
      </c>
      <c r="D39" s="39">
        <v>39</v>
      </c>
      <c r="E39" s="37">
        <v>80</v>
      </c>
      <c r="F39" s="39">
        <v>100</v>
      </c>
      <c r="G39" s="40">
        <f>B39*Assumptions!$C$19*365*24*Assumptions!$D$26*1000/(Assumptions!$G$10*0.001) /10^9</f>
        <v>12.360421353028176</v>
      </c>
      <c r="H39" s="40">
        <f>C39*Assumptions!$C$20*365*24*Assumptions!$D$30*1000/(Assumptions!$G$10*0.001) /10^9</f>
        <v>52.386801272355221</v>
      </c>
      <c r="I39" s="40">
        <f>E39*Assumptions!$C$46/(Assumptions!$G$10*0.001) /10^9</f>
        <v>3.8008323426925386</v>
      </c>
      <c r="J39" s="40">
        <f>D39*Assumptions!$C$56/(Assumptions!$G$10*0.001) /10^9</f>
        <v>2.0895815720084521</v>
      </c>
      <c r="K39" s="40">
        <f>F39*Assumptions!$C$65/(Assumptions!$G$10*0.001) /10^9</f>
        <v>4.4870937379009144</v>
      </c>
      <c r="L39" s="47">
        <f>4*Assumptions!$C$10/Assumptions!$G$10</f>
        <v>3.8524645164669762</v>
      </c>
      <c r="M39" s="39">
        <v>55.65</v>
      </c>
      <c r="N39" s="39">
        <v>41</v>
      </c>
      <c r="O39" s="44">
        <f>N39*Assumptions!$C$97/(Assumptions!$G$11*0.001) /10^9*M39/100</f>
        <v>11.324023141236124</v>
      </c>
      <c r="P39" s="48">
        <f>Assumptions!$C$115*Assumptions!$C$113/(Assumptions!$G$11*0.001) /10^9</f>
        <v>5.5904146014630776</v>
      </c>
      <c r="Q39" s="42">
        <f t="shared" si="0"/>
        <v>95.891632537151509</v>
      </c>
      <c r="S39" s="29" t="str">
        <f t="shared" si="1"/>
        <v>(310,39,80,100,41,0.56)</v>
      </c>
    </row>
    <row r="40" spans="2:19">
      <c r="B40" s="38">
        <v>12</v>
      </c>
      <c r="C40" s="39">
        <v>310</v>
      </c>
      <c r="D40" s="39">
        <v>39</v>
      </c>
      <c r="E40" s="37">
        <v>90</v>
      </c>
      <c r="F40" s="39">
        <v>100</v>
      </c>
      <c r="G40" s="40">
        <f>B40*Assumptions!$C$19*365*24*Assumptions!$D$26*1000/(Assumptions!$G$10*0.001) /10^9</f>
        <v>12.360421353028176</v>
      </c>
      <c r="H40" s="40">
        <f>C40*Assumptions!$C$20*365*24*Assumptions!$D$30*1000/(Assumptions!$G$10*0.001) /10^9</f>
        <v>52.386801272355221</v>
      </c>
      <c r="I40" s="40">
        <f>E40*Assumptions!$C$46/(Assumptions!$G$10*0.001) /10^9</f>
        <v>4.275936385529107</v>
      </c>
      <c r="J40" s="40">
        <f>D40*Assumptions!$C$56/(Assumptions!$G$10*0.001) /10^9</f>
        <v>2.0895815720084521</v>
      </c>
      <c r="K40" s="40">
        <f>F40*Assumptions!$C$65/(Assumptions!$G$10*0.001) /10^9</f>
        <v>4.4870937379009144</v>
      </c>
      <c r="L40" s="47">
        <f>4*Assumptions!$C$10/Assumptions!$G$10</f>
        <v>3.8524645164669762</v>
      </c>
      <c r="M40" s="39">
        <v>56.11</v>
      </c>
      <c r="N40" s="39">
        <v>41</v>
      </c>
      <c r="O40" s="44">
        <f>N40*Assumptions!$C$97/(Assumptions!$G$11*0.001) /10^9*M40/100</f>
        <v>11.417626926410762</v>
      </c>
      <c r="P40" s="48">
        <f>Assumptions!$C$115*Assumptions!$C$113/(Assumptions!$G$11*0.001) /10^9</f>
        <v>5.5904146014630776</v>
      </c>
      <c r="Q40" s="42">
        <f t="shared" si="0"/>
        <v>96.460340365162708</v>
      </c>
      <c r="S40" s="29" t="str">
        <f t="shared" si="1"/>
        <v>(310,39,90,100,41,0.56)</v>
      </c>
    </row>
    <row r="41" spans="2:19">
      <c r="B41" s="38">
        <v>12</v>
      </c>
      <c r="C41" s="39">
        <v>310</v>
      </c>
      <c r="D41" s="39">
        <v>39</v>
      </c>
      <c r="E41" s="37">
        <v>100</v>
      </c>
      <c r="F41" s="39">
        <v>100</v>
      </c>
      <c r="G41" s="40">
        <f>B41*Assumptions!$C$19*365*24*Assumptions!$D$26*1000/(Assumptions!$G$10*0.001) /10^9</f>
        <v>12.360421353028176</v>
      </c>
      <c r="H41" s="40">
        <f>C41*Assumptions!$C$20*365*24*Assumptions!$D$30*1000/(Assumptions!$G$10*0.001) /10^9</f>
        <v>52.386801272355221</v>
      </c>
      <c r="I41" s="40">
        <f>E41*Assumptions!$C$46/(Assumptions!$G$10*0.001) /10^9</f>
        <v>4.7510404283656733</v>
      </c>
      <c r="J41" s="40">
        <f>D41*Assumptions!$C$56/(Assumptions!$G$10*0.001) /10^9</f>
        <v>2.0895815720084521</v>
      </c>
      <c r="K41" s="40">
        <f>F41*Assumptions!$C$65/(Assumptions!$G$10*0.001) /10^9</f>
        <v>4.4870937379009144</v>
      </c>
      <c r="L41" s="47">
        <f>4*Assumptions!$C$10/Assumptions!$G$10</f>
        <v>3.8524645164669762</v>
      </c>
      <c r="M41" s="39">
        <v>56.41</v>
      </c>
      <c r="N41" s="39">
        <v>41</v>
      </c>
      <c r="O41" s="44">
        <f>N41*Assumptions!$C$97/(Assumptions!$G$11*0.001) /10^9*M41/100</f>
        <v>11.478672873263786</v>
      </c>
      <c r="P41" s="48">
        <f>Assumptions!$C$115*Assumptions!$C$113/(Assumptions!$G$11*0.001) /10^9</f>
        <v>5.5904146014630776</v>
      </c>
      <c r="Q41" s="42">
        <f t="shared" si="0"/>
        <v>96.996490354852298</v>
      </c>
      <c r="S41" s="29" t="str">
        <f t="shared" si="1"/>
        <v>(310,39,100,100,41,0.56)</v>
      </c>
    </row>
  </sheetData>
  <autoFilter ref="B4:N4"/>
  <mergeCells count="2">
    <mergeCell ref="G2:L2"/>
    <mergeCell ref="M2:R2"/>
  </mergeCells>
  <phoneticPr fontId="15"/>
  <conditionalFormatting sqref="C5:C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9 C17:C4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4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C10:C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41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U75"/>
  <sheetViews>
    <sheetView showGridLines="0" topLeftCell="L1" zoomScale="70" zoomScaleNormal="70" workbookViewId="0">
      <pane ySplit="4" topLeftCell="A50" activePane="bottomLeft" state="frozen"/>
      <selection pane="bottomLeft" activeCell="Q22" sqref="Q22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21">
      <c r="H1" s="25"/>
      <c r="I1" s="25"/>
      <c r="J1" s="25"/>
      <c r="K1" s="25"/>
      <c r="L1" s="25"/>
      <c r="M1" s="25"/>
    </row>
    <row r="2" spans="2:21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21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  <c r="U4" s="4" t="s">
        <v>86</v>
      </c>
    </row>
    <row r="5" spans="2:21">
      <c r="B5" s="38">
        <v>12</v>
      </c>
      <c r="C5" s="39">
        <v>340</v>
      </c>
      <c r="D5" s="39">
        <v>37</v>
      </c>
      <c r="E5" s="39">
        <v>60</v>
      </c>
      <c r="F5" s="39">
        <v>100</v>
      </c>
      <c r="G5" s="40">
        <f>B5*Assumptions!$C$19*365*24*Assumptions!$D$26*1000/(Assumptions!$G$12*0.001) /10^9</f>
        <v>11.926795087504766</v>
      </c>
      <c r="H5" s="40">
        <f>C5*Assumptions!$C$20*365*24*Assumptions!$D$30*1000/(Assumptions!$G$12*0.001) /10^9</f>
        <v>55.440812541589899</v>
      </c>
      <c r="I5" s="40">
        <f>E5*Assumptions!$C$46/(Assumptions!$G$12*0.001) /10^9</f>
        <v>2.7506191264759434</v>
      </c>
      <c r="J5" s="40">
        <f>D5*Assumptions!$C$56/(Assumptions!$G$12*0.001) /10^9</f>
        <v>1.9128764865555095</v>
      </c>
      <c r="K5" s="40">
        <f>F5*Assumptions!$C$65/(Assumptions!$G$12*0.001) /10^9</f>
        <v>4.3296782546380586</v>
      </c>
      <c r="L5" s="47">
        <f>4*Assumptions!$C$10/Assumptions!$G$12</f>
        <v>3.717312990995091</v>
      </c>
      <c r="M5" s="45">
        <v>64.2</v>
      </c>
      <c r="N5" s="39">
        <v>150</v>
      </c>
      <c r="O5" s="44">
        <f>N5*Assumptions!$C$97/(Assumptions!$G$13*0.001) /10^9*M5/100</f>
        <v>37.546768679853677</v>
      </c>
      <c r="P5" s="48">
        <f>Assumptions!$C$115*Assumptions!$C$113/(Assumptions!$G$13*0.001) /10^9</f>
        <v>4.3917597561181276</v>
      </c>
      <c r="Q5" s="42">
        <f>SUM(G5:L5)+O5+P5</f>
        <v>122.01662292373108</v>
      </c>
      <c r="S5" s="29" t="str">
        <f>CONCATENATE("(",C5,",",D5,",",E5,",",F5,",",ROUND(N5,0),",",ROUND(M5/100,2),")")</f>
        <v>(340,37,60,100,150,0.64)</v>
      </c>
      <c r="U5" s="29" t="str">
        <f>CONCATENATE("(",C5,",",D5,",",E5,")")</f>
        <v>(340,37,60)</v>
      </c>
    </row>
    <row r="6" spans="2:21">
      <c r="B6" s="38">
        <v>12</v>
      </c>
      <c r="C6" s="39">
        <v>340</v>
      </c>
      <c r="D6" s="39">
        <v>37</v>
      </c>
      <c r="E6" s="39">
        <v>70</v>
      </c>
      <c r="F6" s="39">
        <v>100</v>
      </c>
      <c r="G6" s="40">
        <f>B6*Assumptions!$C$19*365*24*Assumptions!$D$26*1000/(Assumptions!$G$12*0.001) /10^9</f>
        <v>11.926795087504766</v>
      </c>
      <c r="H6" s="40">
        <f>C6*Assumptions!$C$20*365*24*Assumptions!$D$30*1000/(Assumptions!$G$12*0.001) /10^9</f>
        <v>55.440812541589899</v>
      </c>
      <c r="I6" s="40">
        <f>E6*Assumptions!$C$46/(Assumptions!$G$12*0.001) /10^9</f>
        <v>3.209055647555267</v>
      </c>
      <c r="J6" s="40">
        <f>D6*Assumptions!$C$56/(Assumptions!$G$12*0.001) /10^9</f>
        <v>1.9128764865555095</v>
      </c>
      <c r="K6" s="40">
        <f>F6*Assumptions!$C$65/(Assumptions!$G$12*0.001) /10^9</f>
        <v>4.3296782546380586</v>
      </c>
      <c r="L6" s="47">
        <f>4*Assumptions!$C$10/Assumptions!$G$12</f>
        <v>3.717312990995091</v>
      </c>
      <c r="M6" s="45">
        <v>64.989999999999995</v>
      </c>
      <c r="N6" s="39">
        <v>141</v>
      </c>
      <c r="O6" s="44">
        <f>N6*Assumptions!$C$97/(Assumptions!$G$13*0.001) /10^9*M6/100</f>
        <v>35.728265213605432</v>
      </c>
      <c r="P6" s="48">
        <f>Assumptions!$C$115*Assumptions!$C$113/(Assumptions!$G$13*0.001) /10^9</f>
        <v>4.3917597561181276</v>
      </c>
      <c r="Q6" s="42">
        <f t="shared" ref="Q6:Q50" si="0">SUM(G6:L6)+O6+P6</f>
        <v>120.65655597856214</v>
      </c>
      <c r="S6" s="29" t="str">
        <f t="shared" ref="S6:S50" si="1">CONCATENATE("(",C6,",",D6,",",E6,",",F6,",",ROUND(N6,0),",",ROUND(M6/100,2),")")</f>
        <v>(340,37,70,100,141,0.65)</v>
      </c>
      <c r="U6" s="29" t="str">
        <f t="shared" ref="U6:U69" si="2">CONCATENATE("(",C6,",",D6,",",E6,")")</f>
        <v>(340,37,70)</v>
      </c>
    </row>
    <row r="7" spans="2:21">
      <c r="B7" s="38">
        <v>12</v>
      </c>
      <c r="C7" s="39">
        <v>340</v>
      </c>
      <c r="D7" s="39">
        <v>37</v>
      </c>
      <c r="E7" s="39">
        <v>80</v>
      </c>
      <c r="F7" s="39">
        <v>100</v>
      </c>
      <c r="G7" s="40">
        <f>B7*Assumptions!$C$19*365*24*Assumptions!$D$26*1000/(Assumptions!$G$12*0.001) /10^9</f>
        <v>11.926795087504766</v>
      </c>
      <c r="H7" s="40">
        <f>C7*Assumptions!$C$20*365*24*Assumptions!$D$30*1000/(Assumptions!$G$12*0.001) /10^9</f>
        <v>55.440812541589899</v>
      </c>
      <c r="I7" s="40">
        <f>E7*Assumptions!$C$46/(Assumptions!$G$12*0.001) /10^9</f>
        <v>3.6674921686345905</v>
      </c>
      <c r="J7" s="40">
        <f>D7*Assumptions!$C$56/(Assumptions!$G$12*0.001) /10^9</f>
        <v>1.9128764865555095</v>
      </c>
      <c r="K7" s="40">
        <f>F7*Assumptions!$C$65/(Assumptions!$G$12*0.001) /10^9</f>
        <v>4.3296782546380586</v>
      </c>
      <c r="L7" s="47">
        <f>4*Assumptions!$C$10/Assumptions!$G$12</f>
        <v>3.717312990995091</v>
      </c>
      <c r="M7" s="45">
        <v>65.56</v>
      </c>
      <c r="N7" s="39">
        <v>136</v>
      </c>
      <c r="O7" s="44">
        <f>N7*Assumptions!$C$97/(Assumptions!$G$13*0.001) /10^9*M7/100</f>
        <v>34.76355109372421</v>
      </c>
      <c r="P7" s="48">
        <f>Assumptions!$C$115*Assumptions!$C$113/(Assumptions!$G$13*0.001) /10^9</f>
        <v>4.3917597561181276</v>
      </c>
      <c r="Q7" s="42">
        <f t="shared" si="0"/>
        <v>120.15027837976025</v>
      </c>
      <c r="S7" s="29" t="str">
        <f t="shared" si="1"/>
        <v>(340,37,80,100,136,0.66)</v>
      </c>
      <c r="U7" s="29" t="str">
        <f t="shared" si="2"/>
        <v>(340,37,80)</v>
      </c>
    </row>
    <row r="8" spans="2:21">
      <c r="B8" s="38">
        <v>12</v>
      </c>
      <c r="C8" s="39">
        <v>340</v>
      </c>
      <c r="D8" s="39">
        <v>37</v>
      </c>
      <c r="E8" s="39">
        <v>90</v>
      </c>
      <c r="F8" s="39">
        <v>100</v>
      </c>
      <c r="G8" s="40">
        <f>B8*Assumptions!$C$19*365*24*Assumptions!$D$26*1000/(Assumptions!$G$12*0.001) /10^9</f>
        <v>11.926795087504766</v>
      </c>
      <c r="H8" s="40">
        <f>C8*Assumptions!$C$20*365*24*Assumptions!$D$30*1000/(Assumptions!$G$12*0.001) /10^9</f>
        <v>55.440812541589899</v>
      </c>
      <c r="I8" s="40">
        <f>E8*Assumptions!$C$46/(Assumptions!$G$12*0.001) /10^9</f>
        <v>4.1259286897139145</v>
      </c>
      <c r="J8" s="40">
        <f>D8*Assumptions!$C$56/(Assumptions!$G$12*0.001) /10^9</f>
        <v>1.9128764865555095</v>
      </c>
      <c r="K8" s="40">
        <f>F8*Assumptions!$C$65/(Assumptions!$G$12*0.001) /10^9</f>
        <v>4.3296782546380586</v>
      </c>
      <c r="L8" s="47">
        <f>4*Assumptions!$C$10/Assumptions!$G$12</f>
        <v>3.717312990995091</v>
      </c>
      <c r="M8" s="45">
        <v>65.89</v>
      </c>
      <c r="N8" s="39">
        <v>133</v>
      </c>
      <c r="O8" s="44">
        <f>N8*Assumptions!$C$97/(Assumptions!$G$13*0.001) /10^9*M8/100</f>
        <v>34.167832424295881</v>
      </c>
      <c r="P8" s="48">
        <f>Assumptions!$C$115*Assumptions!$C$113/(Assumptions!$G$13*0.001) /10^9</f>
        <v>4.3917597561181276</v>
      </c>
      <c r="Q8" s="42">
        <f t="shared" si="0"/>
        <v>120.01299623141125</v>
      </c>
      <c r="S8" s="29" t="str">
        <f t="shared" si="1"/>
        <v>(340,37,90,100,133,0.66)</v>
      </c>
      <c r="U8" s="29" t="str">
        <f t="shared" si="2"/>
        <v>(340,37,90)</v>
      </c>
    </row>
    <row r="9" spans="2:21">
      <c r="B9" s="38">
        <v>12</v>
      </c>
      <c r="C9" s="39">
        <v>340</v>
      </c>
      <c r="D9" s="39">
        <v>37</v>
      </c>
      <c r="E9" s="39">
        <v>100</v>
      </c>
      <c r="F9" s="39">
        <v>100</v>
      </c>
      <c r="G9" s="40">
        <f>B9*Assumptions!$C$19*365*24*Assumptions!$D$26*1000/(Assumptions!$G$12*0.001) /10^9</f>
        <v>11.926795087504766</v>
      </c>
      <c r="H9" s="40">
        <f>C9*Assumptions!$C$20*365*24*Assumptions!$D$30*1000/(Assumptions!$G$12*0.001) /10^9</f>
        <v>55.440812541589899</v>
      </c>
      <c r="I9" s="40">
        <f>E9*Assumptions!$C$46/(Assumptions!$G$12*0.001) /10^9</f>
        <v>4.5843652107932389</v>
      </c>
      <c r="J9" s="40">
        <f>D9*Assumptions!$C$56/(Assumptions!$G$12*0.001) /10^9</f>
        <v>1.9128764865555095</v>
      </c>
      <c r="K9" s="40">
        <f>F9*Assumptions!$C$65/(Assumptions!$G$12*0.001) /10^9</f>
        <v>4.3296782546380586</v>
      </c>
      <c r="L9" s="47">
        <f>4*Assumptions!$C$10/Assumptions!$G$12</f>
        <v>3.717312990995091</v>
      </c>
      <c r="M9" s="45">
        <v>66.03</v>
      </c>
      <c r="N9" s="39">
        <v>131</v>
      </c>
      <c r="O9" s="44">
        <f>N9*Assumptions!$C$97/(Assumptions!$G$13*0.001) /10^9*M9/100</f>
        <v>33.725536947759785</v>
      </c>
      <c r="P9" s="48">
        <f>Assumptions!$C$115*Assumptions!$C$113/(Assumptions!$G$13*0.001) /10^9</f>
        <v>4.3917597561181276</v>
      </c>
      <c r="Q9" s="42">
        <f t="shared" si="0"/>
        <v>120.02913727595448</v>
      </c>
      <c r="S9" s="29" t="str">
        <f t="shared" si="1"/>
        <v>(340,37,100,100,131,0.66)</v>
      </c>
      <c r="U9" s="29" t="str">
        <f t="shared" si="2"/>
        <v>(340,37,100)</v>
      </c>
    </row>
    <row r="10" spans="2:21">
      <c r="B10" s="38">
        <v>12</v>
      </c>
      <c r="C10" s="39">
        <v>350</v>
      </c>
      <c r="D10" s="39">
        <v>36</v>
      </c>
      <c r="E10" s="39">
        <v>50</v>
      </c>
      <c r="F10" s="39">
        <v>100</v>
      </c>
      <c r="G10" s="40">
        <f>B10*Assumptions!$C$19*365*24*Assumptions!$D$26*1000/(Assumptions!$G$12*0.001) /10^9</f>
        <v>11.926795087504766</v>
      </c>
      <c r="H10" s="40">
        <f>C10*Assumptions!$C$20*365*24*Assumptions!$D$30*1000/(Assumptions!$G$12*0.001) /10^9</f>
        <v>57.071424675166078</v>
      </c>
      <c r="I10" s="40">
        <f>E10*Assumptions!$C$46/(Assumptions!$G$12*0.001) /10^9</f>
        <v>2.2921826053966194</v>
      </c>
      <c r="J10" s="40">
        <f>D10*Assumptions!$C$56/(Assumptions!$G$12*0.001) /10^9</f>
        <v>1.8611771220540094</v>
      </c>
      <c r="K10" s="40">
        <f>F10*Assumptions!$C$65/(Assumptions!$G$12*0.001) /10^9</f>
        <v>4.3296782546380586</v>
      </c>
      <c r="L10" s="47">
        <f>4*Assumptions!$C$10/Assumptions!$G$12</f>
        <v>3.717312990995091</v>
      </c>
      <c r="M10" s="45">
        <v>67.19</v>
      </c>
      <c r="N10" s="39">
        <v>122</v>
      </c>
      <c r="O10" s="44">
        <f>N10*Assumptions!$C$97/(Assumptions!$G$13*0.001) /10^9*M10/100</f>
        <v>31.960292968548593</v>
      </c>
      <c r="P10" s="48">
        <f>Assumptions!$C$115*Assumptions!$C$113/(Assumptions!$G$13*0.001) /10^9</f>
        <v>4.3917597561181276</v>
      </c>
      <c r="Q10" s="42">
        <f t="shared" si="0"/>
        <v>117.55062346042136</v>
      </c>
      <c r="S10" s="29" t="str">
        <f t="shared" si="1"/>
        <v>(350,36,50,100,122,0.67)</v>
      </c>
      <c r="U10" s="29" t="str">
        <f t="shared" si="2"/>
        <v>(350,36,50)</v>
      </c>
    </row>
    <row r="11" spans="2:21">
      <c r="B11" s="38">
        <v>12</v>
      </c>
      <c r="C11" s="39">
        <v>350</v>
      </c>
      <c r="D11" s="39">
        <v>36</v>
      </c>
      <c r="E11" s="39">
        <v>60</v>
      </c>
      <c r="F11" s="39">
        <v>100</v>
      </c>
      <c r="G11" s="40">
        <f>B11*Assumptions!$C$19*365*24*Assumptions!$D$26*1000/(Assumptions!$G$12*0.001) /10^9</f>
        <v>11.926795087504766</v>
      </c>
      <c r="H11" s="40">
        <f>C11*Assumptions!$C$20*365*24*Assumptions!$D$30*1000/(Assumptions!$G$12*0.001) /10^9</f>
        <v>57.071424675166078</v>
      </c>
      <c r="I11" s="40">
        <f>E11*Assumptions!$C$46/(Assumptions!$G$12*0.001) /10^9</f>
        <v>2.7506191264759434</v>
      </c>
      <c r="J11" s="40">
        <f>D11*Assumptions!$C$56/(Assumptions!$G$12*0.001) /10^9</f>
        <v>1.8611771220540094</v>
      </c>
      <c r="K11" s="40">
        <f>F11*Assumptions!$C$65/(Assumptions!$G$12*0.001) /10^9</f>
        <v>4.3296782546380586</v>
      </c>
      <c r="L11" s="47">
        <f>4*Assumptions!$C$10/Assumptions!$G$12</f>
        <v>3.717312990995091</v>
      </c>
      <c r="M11" s="45">
        <v>67.19</v>
      </c>
      <c r="N11" s="39">
        <v>116</v>
      </c>
      <c r="O11" s="44">
        <f>N11*Assumptions!$C$97/(Assumptions!$G$13*0.001) /10^9*M11/100</f>
        <v>30.388475281570795</v>
      </c>
      <c r="P11" s="48">
        <f>Assumptions!$C$115*Assumptions!$C$113/(Assumptions!$G$13*0.001) /10^9</f>
        <v>4.3917597561181276</v>
      </c>
      <c r="Q11" s="42">
        <f t="shared" si="0"/>
        <v>116.43724229452287</v>
      </c>
      <c r="S11" s="29" t="str">
        <f t="shared" si="1"/>
        <v>(350,36,60,100,116,0.67)</v>
      </c>
      <c r="U11" s="29" t="str">
        <f t="shared" si="2"/>
        <v>(350,36,60)</v>
      </c>
    </row>
    <row r="12" spans="2:21" ht="16.95" customHeight="1">
      <c r="B12" s="38">
        <v>12</v>
      </c>
      <c r="C12" s="39">
        <v>350</v>
      </c>
      <c r="D12" s="39">
        <v>36</v>
      </c>
      <c r="E12" s="39">
        <v>70</v>
      </c>
      <c r="F12" s="39">
        <v>100</v>
      </c>
      <c r="G12" s="40">
        <f>B12*Assumptions!$C$19*365*24*Assumptions!$D$26*1000/(Assumptions!$G$12*0.001) /10^9</f>
        <v>11.926795087504766</v>
      </c>
      <c r="H12" s="40">
        <f>C12*Assumptions!$C$20*365*24*Assumptions!$D$30*1000/(Assumptions!$G$12*0.001) /10^9</f>
        <v>57.071424675166078</v>
      </c>
      <c r="I12" s="40">
        <f>E12*Assumptions!$C$46/(Assumptions!$G$12*0.001) /10^9</f>
        <v>3.209055647555267</v>
      </c>
      <c r="J12" s="40">
        <f>D12*Assumptions!$C$56/(Assumptions!$G$12*0.001) /10^9</f>
        <v>1.8611771220540094</v>
      </c>
      <c r="K12" s="40">
        <f>F12*Assumptions!$C$65/(Assumptions!$G$12*0.001) /10^9</f>
        <v>4.3296782546380586</v>
      </c>
      <c r="L12" s="47">
        <f>4*Assumptions!$C$10/Assumptions!$G$12</f>
        <v>3.717312990995091</v>
      </c>
      <c r="M12" s="45">
        <v>68.05</v>
      </c>
      <c r="N12" s="39">
        <v>113</v>
      </c>
      <c r="O12" s="44">
        <f>N12*Assumptions!$C$97/(Assumptions!$G$13*0.001) /10^9*M12/100</f>
        <v>29.981465189931136</v>
      </c>
      <c r="P12" s="48">
        <f>Assumptions!$C$115*Assumptions!$C$113/(Assumptions!$G$13*0.001) /10^9</f>
        <v>4.3917597561181276</v>
      </c>
      <c r="Q12" s="42">
        <f t="shared" si="0"/>
        <v>116.48866872396253</v>
      </c>
      <c r="S12" s="29" t="str">
        <f t="shared" si="1"/>
        <v>(350,36,70,100,113,0.68)</v>
      </c>
      <c r="U12" s="29" t="str">
        <f t="shared" si="2"/>
        <v>(350,36,70)</v>
      </c>
    </row>
    <row r="13" spans="2:21">
      <c r="B13" s="38">
        <v>12</v>
      </c>
      <c r="C13" s="39">
        <v>350</v>
      </c>
      <c r="D13" s="39">
        <v>36</v>
      </c>
      <c r="E13" s="39">
        <v>80</v>
      </c>
      <c r="F13" s="39">
        <v>100</v>
      </c>
      <c r="G13" s="40">
        <f>B13*Assumptions!$C$19*365*24*Assumptions!$D$26*1000/(Assumptions!$G$12*0.001) /10^9</f>
        <v>11.926795087504766</v>
      </c>
      <c r="H13" s="40">
        <f>C13*Assumptions!$C$20*365*24*Assumptions!$D$30*1000/(Assumptions!$G$12*0.001) /10^9</f>
        <v>57.071424675166078</v>
      </c>
      <c r="I13" s="40">
        <f>E13*Assumptions!$C$46/(Assumptions!$G$12*0.001) /10^9</f>
        <v>3.6674921686345905</v>
      </c>
      <c r="J13" s="40">
        <f>D13*Assumptions!$C$56/(Assumptions!$G$12*0.001) /10^9</f>
        <v>1.8611771220540094</v>
      </c>
      <c r="K13" s="40">
        <f>F13*Assumptions!$C$65/(Assumptions!$G$12*0.001) /10^9</f>
        <v>4.3296782546380586</v>
      </c>
      <c r="L13" s="47">
        <f>4*Assumptions!$C$10/Assumptions!$G$12</f>
        <v>3.717312990995091</v>
      </c>
      <c r="M13" s="45">
        <v>68.55</v>
      </c>
      <c r="N13" s="39">
        <v>111</v>
      </c>
      <c r="O13" s="44">
        <f>N13*Assumptions!$C$97/(Assumptions!$G$13*0.001) /10^9*M13/100</f>
        <v>29.667210822787194</v>
      </c>
      <c r="P13" s="48">
        <f>Assumptions!$C$115*Assumptions!$C$113/(Assumptions!$G$13*0.001) /10^9</f>
        <v>4.3917597561181276</v>
      </c>
      <c r="Q13" s="42">
        <f t="shared" si="0"/>
        <v>116.63285087789794</v>
      </c>
      <c r="S13" s="29" t="str">
        <f t="shared" si="1"/>
        <v>(350,36,80,100,111,0.69)</v>
      </c>
      <c r="U13" s="29" t="str">
        <f t="shared" si="2"/>
        <v>(350,36,80)</v>
      </c>
    </row>
    <row r="14" spans="2:21">
      <c r="B14" s="38">
        <v>12</v>
      </c>
      <c r="C14" s="39">
        <v>350</v>
      </c>
      <c r="D14" s="39">
        <v>36</v>
      </c>
      <c r="E14" s="39">
        <v>90</v>
      </c>
      <c r="F14" s="39">
        <v>100</v>
      </c>
      <c r="G14" s="40">
        <f>B14*Assumptions!$C$19*365*24*Assumptions!$D$26*1000/(Assumptions!$G$12*0.001) /10^9</f>
        <v>11.926795087504766</v>
      </c>
      <c r="H14" s="40">
        <f>C14*Assumptions!$C$20*365*24*Assumptions!$D$30*1000/(Assumptions!$G$12*0.001) /10^9</f>
        <v>57.071424675166078</v>
      </c>
      <c r="I14" s="40">
        <f>E14*Assumptions!$C$46/(Assumptions!$G$12*0.001) /10^9</f>
        <v>4.1259286897139145</v>
      </c>
      <c r="J14" s="40">
        <f>D14*Assumptions!$C$56/(Assumptions!$G$12*0.001) /10^9</f>
        <v>1.8611771220540094</v>
      </c>
      <c r="K14" s="40">
        <f>F14*Assumptions!$C$65/(Assumptions!$G$12*0.001) /10^9</f>
        <v>4.3296782546380586</v>
      </c>
      <c r="L14" s="47">
        <f>4*Assumptions!$C$10/Assumptions!$G$12</f>
        <v>3.717312990995091</v>
      </c>
      <c r="M14" s="45">
        <v>68.86</v>
      </c>
      <c r="N14" s="39">
        <v>110</v>
      </c>
      <c r="O14" s="44">
        <f>N14*Assumptions!$C$97/(Assumptions!$G$13*0.001) /10^9*M14/100</f>
        <v>29.532892423927272</v>
      </c>
      <c r="P14" s="48">
        <f>Assumptions!$C$115*Assumptions!$C$113/(Assumptions!$G$13*0.001) /10^9</f>
        <v>4.3917597561181276</v>
      </c>
      <c r="Q14" s="42">
        <f t="shared" si="0"/>
        <v>116.95696900011733</v>
      </c>
      <c r="S14" s="29" t="str">
        <f t="shared" si="1"/>
        <v>(350,36,90,100,110,0.69)</v>
      </c>
      <c r="U14" s="29" t="str">
        <f t="shared" si="2"/>
        <v>(350,36,90)</v>
      </c>
    </row>
    <row r="15" spans="2:21" ht="16.95" customHeight="1">
      <c r="B15" s="38">
        <v>12</v>
      </c>
      <c r="C15" s="39">
        <v>350</v>
      </c>
      <c r="D15" s="39">
        <v>36</v>
      </c>
      <c r="E15" s="39">
        <v>100</v>
      </c>
      <c r="F15" s="39">
        <v>100</v>
      </c>
      <c r="G15" s="40">
        <f>B15*Assumptions!$C$19*365*24*Assumptions!$D$26*1000/(Assumptions!$G$12*0.001) /10^9</f>
        <v>11.926795087504766</v>
      </c>
      <c r="H15" s="40">
        <f>C15*Assumptions!$C$20*365*24*Assumptions!$D$30*1000/(Assumptions!$G$12*0.001) /10^9</f>
        <v>57.071424675166078</v>
      </c>
      <c r="I15" s="40">
        <f>E15*Assumptions!$C$46/(Assumptions!$G$12*0.001) /10^9</f>
        <v>4.5843652107932389</v>
      </c>
      <c r="J15" s="40">
        <f>D15*Assumptions!$C$56/(Assumptions!$G$12*0.001) /10^9</f>
        <v>1.8611771220540094</v>
      </c>
      <c r="K15" s="40">
        <f>F15*Assumptions!$C$65/(Assumptions!$G$12*0.001) /10^9</f>
        <v>4.3296782546380586</v>
      </c>
      <c r="L15" s="47">
        <f>4*Assumptions!$C$10/Assumptions!$G$12</f>
        <v>3.717312990995091</v>
      </c>
      <c r="M15" s="45">
        <v>69.040000000000006</v>
      </c>
      <c r="N15" s="39">
        <v>109</v>
      </c>
      <c r="O15" s="44">
        <f>N15*Assumptions!$C$97/(Assumptions!$G$13*0.001) /10^9*M15/100</f>
        <v>29.340908738590205</v>
      </c>
      <c r="P15" s="48">
        <f>Assumptions!$C$115*Assumptions!$C$113/(Assumptions!$G$13*0.001) /10^9</f>
        <v>4.3917597561181276</v>
      </c>
      <c r="Q15" s="42">
        <f t="shared" si="0"/>
        <v>117.22342183585958</v>
      </c>
      <c r="S15" s="29" t="str">
        <f t="shared" si="1"/>
        <v>(350,36,100,100,109,0.69)</v>
      </c>
      <c r="U15" s="29" t="str">
        <f t="shared" si="2"/>
        <v>(350,36,100)</v>
      </c>
    </row>
    <row r="16" spans="2:21" ht="16.95" customHeight="1">
      <c r="B16" s="38">
        <v>12</v>
      </c>
      <c r="C16" s="39">
        <v>360</v>
      </c>
      <c r="D16" s="39">
        <v>35</v>
      </c>
      <c r="E16" s="39">
        <v>40</v>
      </c>
      <c r="F16" s="39">
        <v>100</v>
      </c>
      <c r="G16" s="40">
        <f>B16*Assumptions!$C$19*365*24*Assumptions!$D$26*1000/(Assumptions!$G$12*0.001) /10^9</f>
        <v>11.926795087504766</v>
      </c>
      <c r="H16" s="40">
        <f>C16*Assumptions!$C$20*365*24*Assumptions!$D$30*1000/(Assumptions!$G$12*0.001) /10^9</f>
        <v>58.702036808742243</v>
      </c>
      <c r="I16" s="40">
        <f>E16*Assumptions!$C$46/(Assumptions!$G$12*0.001) /10^9</f>
        <v>1.8337460843172952</v>
      </c>
      <c r="J16" s="40">
        <f>D16*Assumptions!$C$56/(Assumptions!$G$12*0.001) /10^9</f>
        <v>1.8094777575525094</v>
      </c>
      <c r="K16" s="40">
        <f>F16*Assumptions!$C$65/(Assumptions!$G$12*0.001) /10^9</f>
        <v>4.3296782546380586</v>
      </c>
      <c r="L16" s="47">
        <f>4*Assumptions!$C$10/Assumptions!$G$12</f>
        <v>3.717312990995091</v>
      </c>
      <c r="M16" s="45">
        <v>66.7</v>
      </c>
      <c r="N16" s="39">
        <v>112</v>
      </c>
      <c r="O16" s="44">
        <f>N16*Assumptions!$C$97/(Assumptions!$G$13*0.001) /10^9*M16/100</f>
        <v>29.126623130423567</v>
      </c>
      <c r="P16" s="48">
        <f>Assumptions!$C$115*Assumptions!$C$113/(Assumptions!$G$13*0.001) /10^9</f>
        <v>4.3917597561181276</v>
      </c>
      <c r="Q16" s="42">
        <f t="shared" si="0"/>
        <v>115.83742987029167</v>
      </c>
      <c r="S16" s="29" t="str">
        <f t="shared" si="1"/>
        <v>(360,35,40,100,112,0.67)</v>
      </c>
      <c r="U16" s="29" t="str">
        <f t="shared" si="2"/>
        <v>(360,35,40)</v>
      </c>
    </row>
    <row r="17" spans="2:21" ht="16.95" customHeight="1">
      <c r="B17" s="38">
        <v>12</v>
      </c>
      <c r="C17" s="39">
        <v>360</v>
      </c>
      <c r="D17" s="39">
        <v>35</v>
      </c>
      <c r="E17" s="39">
        <v>50</v>
      </c>
      <c r="F17" s="39">
        <v>100</v>
      </c>
      <c r="G17" s="40">
        <f>B17*Assumptions!$C$19*365*24*Assumptions!$D$26*1000/(Assumptions!$G$12*0.001) /10^9</f>
        <v>11.926795087504766</v>
      </c>
      <c r="H17" s="40">
        <f>C17*Assumptions!$C$20*365*24*Assumptions!$D$30*1000/(Assumptions!$G$12*0.001) /10^9</f>
        <v>58.702036808742243</v>
      </c>
      <c r="I17" s="40">
        <f>E17*Assumptions!$C$46/(Assumptions!$G$12*0.001) /10^9</f>
        <v>2.2921826053966194</v>
      </c>
      <c r="J17" s="40">
        <f>D17*Assumptions!$C$56/(Assumptions!$G$12*0.001) /10^9</f>
        <v>1.8094777575525094</v>
      </c>
      <c r="K17" s="40">
        <f>F17*Assumptions!$C$65/(Assumptions!$G$12*0.001) /10^9</f>
        <v>4.3296782546380586</v>
      </c>
      <c r="L17" s="47">
        <f>4*Assumptions!$C$10/Assumptions!$G$12</f>
        <v>3.717312990995091</v>
      </c>
      <c r="M17" s="45">
        <v>68.739999999999995</v>
      </c>
      <c r="N17" s="39">
        <v>105</v>
      </c>
      <c r="O17" s="44">
        <f>N17*Assumptions!$C$97/(Assumptions!$G$13*0.001) /10^9*M17/100</f>
        <v>28.1413616096137</v>
      </c>
      <c r="P17" s="48">
        <f>Assumptions!$C$115*Assumptions!$C$113/(Assumptions!$G$13*0.001) /10^9</f>
        <v>4.3917597561181276</v>
      </c>
      <c r="Q17" s="42">
        <f t="shared" si="0"/>
        <v>115.31060487056112</v>
      </c>
      <c r="S17" s="29" t="str">
        <f t="shared" si="1"/>
        <v>(360,35,50,100,105,0.69)</v>
      </c>
      <c r="U17" s="29" t="str">
        <f t="shared" si="2"/>
        <v>(360,35,50)</v>
      </c>
    </row>
    <row r="18" spans="2:21" ht="16.95" customHeight="1">
      <c r="B18" s="38">
        <v>12</v>
      </c>
      <c r="C18" s="39">
        <v>360</v>
      </c>
      <c r="D18" s="39">
        <v>35</v>
      </c>
      <c r="E18" s="39">
        <v>60</v>
      </c>
      <c r="F18" s="39">
        <v>100</v>
      </c>
      <c r="G18" s="40">
        <f>B18*Assumptions!$C$19*365*24*Assumptions!$D$26*1000/(Assumptions!$G$12*0.001) /10^9</f>
        <v>11.926795087504766</v>
      </c>
      <c r="H18" s="40">
        <f>C18*Assumptions!$C$20*365*24*Assumptions!$D$30*1000/(Assumptions!$G$12*0.001) /10^9</f>
        <v>58.702036808742243</v>
      </c>
      <c r="I18" s="40">
        <f>E18*Assumptions!$C$46/(Assumptions!$G$12*0.001) /10^9</f>
        <v>2.7506191264759434</v>
      </c>
      <c r="J18" s="40">
        <f>D18*Assumptions!$C$56/(Assumptions!$G$12*0.001) /10^9</f>
        <v>1.8094777575525094</v>
      </c>
      <c r="K18" s="40">
        <f>F18*Assumptions!$C$65/(Assumptions!$G$12*0.001) /10^9</f>
        <v>4.3296782546380586</v>
      </c>
      <c r="L18" s="47">
        <f>4*Assumptions!$C$10/Assumptions!$G$12</f>
        <v>3.717312990995091</v>
      </c>
      <c r="M18" s="45">
        <v>69.89</v>
      </c>
      <c r="N18" s="39">
        <v>102</v>
      </c>
      <c r="O18" s="44">
        <f>N18*Assumptions!$C$97/(Assumptions!$G$13*0.001) /10^9*M18/100</f>
        <v>27.79466808199037</v>
      </c>
      <c r="P18" s="48">
        <f>Assumptions!$C$115*Assumptions!$C$113/(Assumptions!$G$13*0.001) /10^9</f>
        <v>4.3917597561181276</v>
      </c>
      <c r="Q18" s="42">
        <f t="shared" si="0"/>
        <v>115.42234786401711</v>
      </c>
      <c r="S18" s="29" t="str">
        <f t="shared" si="1"/>
        <v>(360,35,60,100,102,0.7)</v>
      </c>
      <c r="U18" s="29" t="str">
        <f t="shared" si="2"/>
        <v>(360,35,60)</v>
      </c>
    </row>
    <row r="19" spans="2:21">
      <c r="B19" s="38">
        <v>12</v>
      </c>
      <c r="C19" s="39">
        <v>360</v>
      </c>
      <c r="D19" s="39">
        <v>35</v>
      </c>
      <c r="E19" s="39">
        <v>70</v>
      </c>
      <c r="F19" s="39">
        <v>100</v>
      </c>
      <c r="G19" s="40">
        <f>B19*Assumptions!$C$19*365*24*Assumptions!$D$26*1000/(Assumptions!$G$12*0.001) /10^9</f>
        <v>11.926795087504766</v>
      </c>
      <c r="H19" s="40">
        <f>C19*Assumptions!$C$20*365*24*Assumptions!$D$30*1000/(Assumptions!$G$12*0.001) /10^9</f>
        <v>58.702036808742243</v>
      </c>
      <c r="I19" s="40">
        <f>E19*Assumptions!$C$46/(Assumptions!$G$12*0.001) /10^9</f>
        <v>3.209055647555267</v>
      </c>
      <c r="J19" s="40">
        <f>D19*Assumptions!$C$56/(Assumptions!$G$12*0.001) /10^9</f>
        <v>1.8094777575525094</v>
      </c>
      <c r="K19" s="40">
        <f>F19*Assumptions!$C$65/(Assumptions!$G$12*0.001) /10^9</f>
        <v>4.3296782546380586</v>
      </c>
      <c r="L19" s="47">
        <f>4*Assumptions!$C$10/Assumptions!$G$12</f>
        <v>3.717312990995091</v>
      </c>
      <c r="M19" s="45">
        <v>70.62</v>
      </c>
      <c r="N19" s="39">
        <v>99</v>
      </c>
      <c r="O19" s="44">
        <f>N19*Assumptions!$C$97/(Assumptions!$G$13*0.001) /10^9*M19/100</f>
        <v>27.258954061573771</v>
      </c>
      <c r="P19" s="48">
        <f>Assumptions!$C$115*Assumptions!$C$113/(Assumptions!$G$13*0.001) /10^9</f>
        <v>4.3917597561181276</v>
      </c>
      <c r="Q19" s="42">
        <f t="shared" si="0"/>
        <v>115.34507036467984</v>
      </c>
      <c r="S19" s="29" t="str">
        <f t="shared" si="1"/>
        <v>(360,35,70,100,99,0.71)</v>
      </c>
      <c r="U19" s="29" t="str">
        <f t="shared" si="2"/>
        <v>(360,35,70)</v>
      </c>
    </row>
    <row r="20" spans="2:21">
      <c r="B20" s="38">
        <v>12</v>
      </c>
      <c r="C20" s="39">
        <v>360</v>
      </c>
      <c r="D20" s="39">
        <v>35</v>
      </c>
      <c r="E20" s="39">
        <v>80</v>
      </c>
      <c r="F20" s="39">
        <v>100</v>
      </c>
      <c r="G20" s="40">
        <f>B20*Assumptions!$C$19*365*24*Assumptions!$D$26*1000/(Assumptions!$G$12*0.001) /10^9</f>
        <v>11.926795087504766</v>
      </c>
      <c r="H20" s="40">
        <f>C20*Assumptions!$C$20*365*24*Assumptions!$D$30*1000/(Assumptions!$G$12*0.001) /10^9</f>
        <v>58.702036808742243</v>
      </c>
      <c r="I20" s="40">
        <f>E20*Assumptions!$C$46/(Assumptions!$G$12*0.001) /10^9</f>
        <v>3.6674921686345905</v>
      </c>
      <c r="J20" s="40">
        <f>D20*Assumptions!$C$56/(Assumptions!$G$12*0.001) /10^9</f>
        <v>1.8094777575525094</v>
      </c>
      <c r="K20" s="40">
        <f>F20*Assumptions!$C$65/(Assumptions!$G$12*0.001) /10^9</f>
        <v>4.3296782546380586</v>
      </c>
      <c r="L20" s="47">
        <f>4*Assumptions!$C$10/Assumptions!$G$12</f>
        <v>3.717312990995091</v>
      </c>
      <c r="M20" s="45">
        <v>71.069999999999993</v>
      </c>
      <c r="N20" s="39">
        <v>98</v>
      </c>
      <c r="O20" s="44">
        <f>N20*Assumptions!$C$97/(Assumptions!$G$13*0.001) /10^9*M20/100</f>
        <v>27.155554237545761</v>
      </c>
      <c r="P20" s="48">
        <f>Assumptions!$C$115*Assumptions!$C$113/(Assumptions!$G$13*0.001) /10^9</f>
        <v>4.3917597561181276</v>
      </c>
      <c r="Q20" s="42">
        <f t="shared" si="0"/>
        <v>115.70010706173116</v>
      </c>
      <c r="S20" s="29" t="str">
        <f t="shared" si="1"/>
        <v>(360,35,80,100,98,0.71)</v>
      </c>
      <c r="U20" s="29" t="str">
        <f t="shared" si="2"/>
        <v>(360,35,80)</v>
      </c>
    </row>
    <row r="21" spans="2:21">
      <c r="B21" s="38">
        <v>12</v>
      </c>
      <c r="C21" s="39">
        <v>360</v>
      </c>
      <c r="D21" s="39">
        <v>35</v>
      </c>
      <c r="E21" s="39">
        <v>90</v>
      </c>
      <c r="F21" s="39">
        <v>100</v>
      </c>
      <c r="G21" s="40">
        <f>B21*Assumptions!$C$19*365*24*Assumptions!$D$26*1000/(Assumptions!$G$12*0.001) /10^9</f>
        <v>11.926795087504766</v>
      </c>
      <c r="H21" s="40">
        <f>C21*Assumptions!$C$20*365*24*Assumptions!$D$30*1000/(Assumptions!$G$12*0.001) /10^9</f>
        <v>58.702036808742243</v>
      </c>
      <c r="I21" s="40">
        <f>E21*Assumptions!$C$46/(Assumptions!$G$12*0.001) /10^9</f>
        <v>4.1259286897139145</v>
      </c>
      <c r="J21" s="40">
        <f>D21*Assumptions!$C$56/(Assumptions!$G$12*0.001) /10^9</f>
        <v>1.8094777575525094</v>
      </c>
      <c r="K21" s="40">
        <f>F21*Assumptions!$C$65/(Assumptions!$G$12*0.001) /10^9</f>
        <v>4.3296782546380586</v>
      </c>
      <c r="L21" s="47">
        <f>4*Assumptions!$C$10/Assumptions!$G$12</f>
        <v>3.717312990995091</v>
      </c>
      <c r="M21" s="45">
        <v>71.34</v>
      </c>
      <c r="N21" s="39">
        <v>98</v>
      </c>
      <c r="O21" s="44">
        <f>N21*Assumptions!$C$97/(Assumptions!$G$13*0.001) /10^9*M21/100</f>
        <v>27.25872012532032</v>
      </c>
      <c r="P21" s="48">
        <f>Assumptions!$C$115*Assumptions!$C$113/(Assumptions!$G$13*0.001) /10^9</f>
        <v>4.3917597561181276</v>
      </c>
      <c r="Q21" s="42">
        <f t="shared" si="0"/>
        <v>116.26170947058505</v>
      </c>
      <c r="S21" s="29" t="str">
        <f t="shared" si="1"/>
        <v>(360,35,90,100,98,0.71)</v>
      </c>
      <c r="U21" s="29" t="str">
        <f t="shared" si="2"/>
        <v>(360,35,90)</v>
      </c>
    </row>
    <row r="22" spans="2:21">
      <c r="B22" s="38">
        <v>12</v>
      </c>
      <c r="C22" s="39">
        <v>360</v>
      </c>
      <c r="D22" s="39">
        <v>35</v>
      </c>
      <c r="E22" s="39">
        <v>100</v>
      </c>
      <c r="F22" s="39">
        <v>100</v>
      </c>
      <c r="G22" s="40">
        <f>B22*Assumptions!$C$19*365*24*Assumptions!$D$26*1000/(Assumptions!$G$12*0.001) /10^9</f>
        <v>11.926795087504766</v>
      </c>
      <c r="H22" s="40">
        <f>C22*Assumptions!$C$20*365*24*Assumptions!$D$30*1000/(Assumptions!$G$12*0.001) /10^9</f>
        <v>58.702036808742243</v>
      </c>
      <c r="I22" s="40">
        <f>E22*Assumptions!$C$46/(Assumptions!$G$12*0.001) /10^9</f>
        <v>4.5843652107932389</v>
      </c>
      <c r="J22" s="40">
        <f>D22*Assumptions!$C$56/(Assumptions!$G$12*0.001) /10^9</f>
        <v>1.8094777575525094</v>
      </c>
      <c r="K22" s="40">
        <f>F22*Assumptions!$C$65/(Assumptions!$G$12*0.001) /10^9</f>
        <v>4.3296782546380586</v>
      </c>
      <c r="L22" s="47">
        <f>4*Assumptions!$C$10/Assumptions!$G$12</f>
        <v>3.717312990995091</v>
      </c>
      <c r="M22" s="45">
        <v>71.53</v>
      </c>
      <c r="N22" s="39">
        <v>97</v>
      </c>
      <c r="O22" s="44">
        <f>N22*Assumptions!$C$97/(Assumptions!$G$13*0.001) /10^9*M22/100</f>
        <v>27.052427339146792</v>
      </c>
      <c r="P22" s="48">
        <f>Assumptions!$C$115*Assumptions!$C$113/(Assumptions!$G$13*0.001) /10^9</f>
        <v>4.3917597561181276</v>
      </c>
      <c r="Q22" s="42">
        <f t="shared" si="0"/>
        <v>116.51385320549083</v>
      </c>
      <c r="S22" s="29" t="str">
        <f t="shared" si="1"/>
        <v>(360,35,100,100,97,0.72)</v>
      </c>
      <c r="U22" s="29" t="str">
        <f t="shared" si="2"/>
        <v>(360,35,100)</v>
      </c>
    </row>
    <row r="23" spans="2:21">
      <c r="B23" s="38">
        <v>12</v>
      </c>
      <c r="C23" s="39">
        <v>370</v>
      </c>
      <c r="D23" s="39">
        <v>34</v>
      </c>
      <c r="E23" s="39">
        <v>30</v>
      </c>
      <c r="F23" s="39">
        <v>100</v>
      </c>
      <c r="G23" s="40">
        <f>B23*Assumptions!$C$19*365*24*Assumptions!$D$26*1000/(Assumptions!$G$12*0.001) /10^9</f>
        <v>11.926795087504766</v>
      </c>
      <c r="H23" s="40">
        <f>C23*Assumptions!$C$20*365*24*Assumptions!$D$30*1000/(Assumptions!$G$12*0.001) /10^9</f>
        <v>60.332648942318421</v>
      </c>
      <c r="I23" s="40">
        <f>E23*Assumptions!$C$46/(Assumptions!$G$12*0.001) /10^9</f>
        <v>1.3753095632379717</v>
      </c>
      <c r="J23" s="40">
        <f>D23*Assumptions!$C$56/(Assumptions!$G$12*0.001) /10^9</f>
        <v>1.7577783930510089</v>
      </c>
      <c r="K23" s="40">
        <f>F23*Assumptions!$C$65/(Assumptions!$G$12*0.001) /10^9</f>
        <v>4.3296782546380586</v>
      </c>
      <c r="L23" s="47">
        <f>4*Assumptions!$C$10/Assumptions!$G$12</f>
        <v>3.717312990995091</v>
      </c>
      <c r="M23" s="45">
        <v>65.72</v>
      </c>
      <c r="N23" s="39">
        <v>110</v>
      </c>
      <c r="O23" s="44">
        <f>N23*Assumptions!$C$97/(Assumptions!$G$13*0.001) /10^9*M23/100</f>
        <v>28.186199391526294</v>
      </c>
      <c r="P23" s="48">
        <f>Assumptions!$C$115*Assumptions!$C$113/(Assumptions!$G$13*0.001) /10^9</f>
        <v>4.3917597561181276</v>
      </c>
      <c r="Q23" s="42">
        <f t="shared" si="0"/>
        <v>116.01748237938976</v>
      </c>
      <c r="S23" s="29" t="str">
        <f t="shared" si="1"/>
        <v>(370,34,30,100,110,0.66)</v>
      </c>
      <c r="U23" s="29" t="str">
        <f t="shared" si="2"/>
        <v>(370,34,30)</v>
      </c>
    </row>
    <row r="24" spans="2:21">
      <c r="B24" s="38">
        <v>12</v>
      </c>
      <c r="C24" s="39">
        <v>370</v>
      </c>
      <c r="D24" s="39">
        <v>34</v>
      </c>
      <c r="E24" s="39">
        <v>40</v>
      </c>
      <c r="F24" s="39">
        <v>100</v>
      </c>
      <c r="G24" s="40">
        <f>B24*Assumptions!$C$19*365*24*Assumptions!$D$26*1000/(Assumptions!$G$12*0.001) /10^9</f>
        <v>11.926795087504766</v>
      </c>
      <c r="H24" s="40">
        <f>C24*Assumptions!$C$20*365*24*Assumptions!$D$30*1000/(Assumptions!$G$12*0.001) /10^9</f>
        <v>60.332648942318421</v>
      </c>
      <c r="I24" s="40">
        <f>E24*Assumptions!$C$46/(Assumptions!$G$12*0.001) /10^9</f>
        <v>1.8337460843172952</v>
      </c>
      <c r="J24" s="40">
        <f>D24*Assumptions!$C$56/(Assumptions!$G$12*0.001) /10^9</f>
        <v>1.7577783930510089</v>
      </c>
      <c r="K24" s="40">
        <f>F24*Assumptions!$C$65/(Assumptions!$G$12*0.001) /10^9</f>
        <v>4.3296782546380586</v>
      </c>
      <c r="L24" s="47">
        <f>4*Assumptions!$C$10/Assumptions!$G$12</f>
        <v>3.717312990995091</v>
      </c>
      <c r="M24" s="45">
        <v>69.209999999999994</v>
      </c>
      <c r="N24" s="39">
        <v>99</v>
      </c>
      <c r="O24" s="44">
        <f>N24*Assumptions!$C$97/(Assumptions!$G$13*0.001) /10^9*M24/100</f>
        <v>26.714701367905981</v>
      </c>
      <c r="P24" s="48">
        <f>Assumptions!$C$115*Assumptions!$C$113/(Assumptions!$G$13*0.001) /10^9</f>
        <v>4.3917597561181276</v>
      </c>
      <c r="Q24" s="42">
        <f t="shared" si="0"/>
        <v>115.00442087684876</v>
      </c>
      <c r="S24" s="29" t="str">
        <f t="shared" si="1"/>
        <v>(370,34,40,100,99,0.69)</v>
      </c>
      <c r="U24" s="29" t="str">
        <f t="shared" si="2"/>
        <v>(370,34,40)</v>
      </c>
    </row>
    <row r="25" spans="2:21">
      <c r="B25" s="38">
        <v>12</v>
      </c>
      <c r="C25" s="39">
        <v>370</v>
      </c>
      <c r="D25" s="39">
        <v>34</v>
      </c>
      <c r="E25" s="39">
        <v>50</v>
      </c>
      <c r="F25" s="39">
        <v>100</v>
      </c>
      <c r="G25" s="40">
        <f>B25*Assumptions!$C$19*365*24*Assumptions!$D$26*1000/(Assumptions!$G$12*0.001) /10^9</f>
        <v>11.926795087504766</v>
      </c>
      <c r="H25" s="40">
        <f>C25*Assumptions!$C$20*365*24*Assumptions!$D$30*1000/(Assumptions!$G$12*0.001) /10^9</f>
        <v>60.332648942318421</v>
      </c>
      <c r="I25" s="40">
        <f>E25*Assumptions!$C$46/(Assumptions!$G$12*0.001) /10^9</f>
        <v>2.2921826053966194</v>
      </c>
      <c r="J25" s="40">
        <f>D25*Assumptions!$C$56/(Assumptions!$G$12*0.001) /10^9</f>
        <v>1.7577783930510089</v>
      </c>
      <c r="K25" s="40">
        <f>F25*Assumptions!$C$65/(Assumptions!$G$12*0.001) /10^9</f>
        <v>4.3296782546380586</v>
      </c>
      <c r="L25" s="47">
        <f>4*Assumptions!$C$10/Assumptions!$G$12</f>
        <v>3.717312990995091</v>
      </c>
      <c r="M25" s="45">
        <v>71.12</v>
      </c>
      <c r="N25" s="39">
        <v>95</v>
      </c>
      <c r="O25" s="44">
        <f>N25*Assumptions!$C$97/(Assumptions!$G$13*0.001) /10^9*M25/100</f>
        <v>26.342781714284882</v>
      </c>
      <c r="P25" s="48">
        <f>Assumptions!$C$115*Assumptions!$C$113/(Assumptions!$G$13*0.001) /10^9</f>
        <v>4.3917597561181276</v>
      </c>
      <c r="Q25" s="42">
        <f t="shared" si="0"/>
        <v>115.09093774430698</v>
      </c>
      <c r="S25" s="29" t="str">
        <f t="shared" si="1"/>
        <v>(370,34,50,100,95,0.71)</v>
      </c>
      <c r="U25" s="29" t="str">
        <f t="shared" si="2"/>
        <v>(370,34,50)</v>
      </c>
    </row>
    <row r="26" spans="2:21">
      <c r="B26" s="38">
        <v>12</v>
      </c>
      <c r="C26" s="39">
        <v>370</v>
      </c>
      <c r="D26" s="39">
        <v>34</v>
      </c>
      <c r="E26" s="39">
        <v>60</v>
      </c>
      <c r="F26" s="39">
        <v>100</v>
      </c>
      <c r="G26" s="40">
        <f>B26*Assumptions!$C$19*365*24*Assumptions!$D$26*1000/(Assumptions!$G$12*0.001) /10^9</f>
        <v>11.926795087504766</v>
      </c>
      <c r="H26" s="40">
        <f>C26*Assumptions!$C$20*365*24*Assumptions!$D$30*1000/(Assumptions!$G$12*0.001) /10^9</f>
        <v>60.332648942318421</v>
      </c>
      <c r="I26" s="40">
        <f>E26*Assumptions!$C$46/(Assumptions!$G$12*0.001) /10^9</f>
        <v>2.7506191264759434</v>
      </c>
      <c r="J26" s="40">
        <f>D26*Assumptions!$C$56/(Assumptions!$G$12*0.001) /10^9</f>
        <v>1.7577783930510089</v>
      </c>
      <c r="K26" s="40">
        <f>F26*Assumptions!$C$65/(Assumptions!$G$12*0.001) /10^9</f>
        <v>4.3296782546380586</v>
      </c>
      <c r="L26" s="47">
        <f>4*Assumptions!$C$10/Assumptions!$G$12</f>
        <v>3.717312990995091</v>
      </c>
      <c r="M26" s="45">
        <v>72.11</v>
      </c>
      <c r="N26" s="39">
        <v>92</v>
      </c>
      <c r="O26" s="44">
        <f>N26*Assumptions!$C$97/(Assumptions!$G$13*0.001) /10^9*M26/100</f>
        <v>25.866019629739455</v>
      </c>
      <c r="P26" s="48">
        <f>Assumptions!$C$115*Assumptions!$C$113/(Assumptions!$G$13*0.001) /10^9</f>
        <v>4.3917597561181276</v>
      </c>
      <c r="Q26" s="42">
        <f t="shared" si="0"/>
        <v>115.07261218084088</v>
      </c>
      <c r="S26" s="29" t="str">
        <f t="shared" si="1"/>
        <v>(370,34,60,100,92,0.72)</v>
      </c>
      <c r="U26" s="29" t="str">
        <f t="shared" si="2"/>
        <v>(370,34,60)</v>
      </c>
    </row>
    <row r="27" spans="2:21">
      <c r="B27" s="38">
        <v>12</v>
      </c>
      <c r="C27" s="39">
        <v>370</v>
      </c>
      <c r="D27" s="39">
        <v>34</v>
      </c>
      <c r="E27" s="39">
        <v>70</v>
      </c>
      <c r="F27" s="39">
        <v>100</v>
      </c>
      <c r="G27" s="40">
        <f>B27*Assumptions!$C$19*365*24*Assumptions!$D$26*1000/(Assumptions!$G$12*0.001) /10^9</f>
        <v>11.926795087504766</v>
      </c>
      <c r="H27" s="40">
        <f>C27*Assumptions!$C$20*365*24*Assumptions!$D$30*1000/(Assumptions!$G$12*0.001) /10^9</f>
        <v>60.332648942318421</v>
      </c>
      <c r="I27" s="40">
        <f>E27*Assumptions!$C$46/(Assumptions!$G$12*0.001) /10^9</f>
        <v>3.209055647555267</v>
      </c>
      <c r="J27" s="40">
        <f>D27*Assumptions!$C$56/(Assumptions!$G$12*0.001) /10^9</f>
        <v>1.7577783930510089</v>
      </c>
      <c r="K27" s="40">
        <f>F27*Assumptions!$C$65/(Assumptions!$G$12*0.001) /10^9</f>
        <v>4.3296782546380586</v>
      </c>
      <c r="L27" s="47">
        <f>4*Assumptions!$C$10/Assumptions!$G$12</f>
        <v>3.717312990995091</v>
      </c>
      <c r="M27" s="45">
        <v>72.819999999999993</v>
      </c>
      <c r="N27" s="39">
        <v>91</v>
      </c>
      <c r="O27" s="44">
        <f>N27*Assumptions!$C$97/(Assumptions!$G$13*0.001) /10^9*M27/100</f>
        <v>25.836777598057314</v>
      </c>
      <c r="P27" s="48">
        <f>Assumptions!$C$115*Assumptions!$C$113/(Assumptions!$G$13*0.001) /10^9</f>
        <v>4.3917597561181276</v>
      </c>
      <c r="Q27" s="42">
        <f t="shared" si="0"/>
        <v>115.50180667023805</v>
      </c>
      <c r="S27" s="29" t="str">
        <f t="shared" si="1"/>
        <v>(370,34,70,100,91,0.73)</v>
      </c>
      <c r="U27" s="29" t="str">
        <f t="shared" si="2"/>
        <v>(370,34,70)</v>
      </c>
    </row>
    <row r="28" spans="2:21">
      <c r="B28" s="38">
        <v>12</v>
      </c>
      <c r="C28" s="39">
        <v>370</v>
      </c>
      <c r="D28" s="39">
        <v>34</v>
      </c>
      <c r="E28" s="39">
        <v>80</v>
      </c>
      <c r="F28" s="39">
        <v>100</v>
      </c>
      <c r="G28" s="40">
        <f>B28*Assumptions!$C$19*365*24*Assumptions!$D$26*1000/(Assumptions!$G$12*0.001) /10^9</f>
        <v>11.926795087504766</v>
      </c>
      <c r="H28" s="40">
        <f>C28*Assumptions!$C$20*365*24*Assumptions!$D$30*1000/(Assumptions!$G$12*0.001) /10^9</f>
        <v>60.332648942318421</v>
      </c>
      <c r="I28" s="40">
        <f>E28*Assumptions!$C$46/(Assumptions!$G$12*0.001) /10^9</f>
        <v>3.6674921686345905</v>
      </c>
      <c r="J28" s="40">
        <f>D28*Assumptions!$C$56/(Assumptions!$G$12*0.001) /10^9</f>
        <v>1.7577783930510089</v>
      </c>
      <c r="K28" s="40">
        <f>F28*Assumptions!$C$65/(Assumptions!$G$12*0.001) /10^9</f>
        <v>4.3296782546380586</v>
      </c>
      <c r="L28" s="47">
        <f>4*Assumptions!$C$10/Assumptions!$G$12</f>
        <v>3.717312990995091</v>
      </c>
      <c r="M28" s="45">
        <v>73.14</v>
      </c>
      <c r="N28" s="39">
        <v>90</v>
      </c>
      <c r="O28" s="44">
        <f>N28*Assumptions!$C$97/(Assumptions!$G$13*0.001) /10^9*M28/100</f>
        <v>25.665146366771008</v>
      </c>
      <c r="P28" s="48">
        <f>Assumptions!$C$115*Assumptions!$C$113/(Assumptions!$G$13*0.001) /10^9</f>
        <v>4.3917597561181276</v>
      </c>
      <c r="Q28" s="42">
        <f t="shared" si="0"/>
        <v>115.78861196003109</v>
      </c>
      <c r="S28" s="29" t="str">
        <f t="shared" si="1"/>
        <v>(370,34,80,100,90,0.73)</v>
      </c>
      <c r="U28" s="29" t="str">
        <f t="shared" si="2"/>
        <v>(370,34,80)</v>
      </c>
    </row>
    <row r="29" spans="2:21">
      <c r="B29" s="38">
        <v>12</v>
      </c>
      <c r="C29" s="39">
        <v>370</v>
      </c>
      <c r="D29" s="39">
        <v>34</v>
      </c>
      <c r="E29" s="39">
        <v>90</v>
      </c>
      <c r="F29" s="39">
        <v>100</v>
      </c>
      <c r="G29" s="40">
        <f>B29*Assumptions!$C$19*365*24*Assumptions!$D$26*1000/(Assumptions!$G$12*0.001) /10^9</f>
        <v>11.926795087504766</v>
      </c>
      <c r="H29" s="40">
        <f>C29*Assumptions!$C$20*365*24*Assumptions!$D$30*1000/(Assumptions!$G$12*0.001) /10^9</f>
        <v>60.332648942318421</v>
      </c>
      <c r="I29" s="40">
        <f>E29*Assumptions!$C$46/(Assumptions!$G$12*0.001) /10^9</f>
        <v>4.1259286897139145</v>
      </c>
      <c r="J29" s="40">
        <f>D29*Assumptions!$C$56/(Assumptions!$G$12*0.001) /10^9</f>
        <v>1.7577783930510089</v>
      </c>
      <c r="K29" s="40">
        <f>F29*Assumptions!$C$65/(Assumptions!$G$12*0.001) /10^9</f>
        <v>4.3296782546380586</v>
      </c>
      <c r="L29" s="47">
        <f>4*Assumptions!$C$10/Assumptions!$G$12</f>
        <v>3.717312990995091</v>
      </c>
      <c r="M29" s="45">
        <v>73.37</v>
      </c>
      <c r="N29" s="39">
        <v>89</v>
      </c>
      <c r="O29" s="44">
        <f>N29*Assumptions!$C$97/(Assumptions!$G$13*0.001) /10^9*M29/100</f>
        <v>25.459789325611315</v>
      </c>
      <c r="P29" s="48">
        <f>Assumptions!$C$115*Assumptions!$C$113/(Assumptions!$G$13*0.001) /10^9</f>
        <v>4.3917597561181276</v>
      </c>
      <c r="Q29" s="42">
        <f t="shared" si="0"/>
        <v>116.04169143995071</v>
      </c>
      <c r="S29" s="29" t="str">
        <f t="shared" si="1"/>
        <v>(370,34,90,100,89,0.73)</v>
      </c>
      <c r="U29" s="29" t="str">
        <f t="shared" si="2"/>
        <v>(370,34,90)</v>
      </c>
    </row>
    <row r="30" spans="2:21">
      <c r="B30" s="38">
        <v>12</v>
      </c>
      <c r="C30" s="39">
        <v>370</v>
      </c>
      <c r="D30" s="39">
        <v>34</v>
      </c>
      <c r="E30" s="39">
        <v>100</v>
      </c>
      <c r="F30" s="39">
        <v>100</v>
      </c>
      <c r="G30" s="40">
        <f>B30*Assumptions!$C$19*365*24*Assumptions!$D$26*1000/(Assumptions!$G$12*0.001) /10^9</f>
        <v>11.926795087504766</v>
      </c>
      <c r="H30" s="40">
        <f>C30*Assumptions!$C$20*365*24*Assumptions!$D$30*1000/(Assumptions!$G$12*0.001) /10^9</f>
        <v>60.332648942318421</v>
      </c>
      <c r="I30" s="40">
        <f>E30*Assumptions!$C$46/(Assumptions!$G$12*0.001) /10^9</f>
        <v>4.5843652107932389</v>
      </c>
      <c r="J30" s="40">
        <f>D30*Assumptions!$C$56/(Assumptions!$G$12*0.001) /10^9</f>
        <v>1.7577783930510089</v>
      </c>
      <c r="K30" s="40">
        <f>F30*Assumptions!$C$65/(Assumptions!$G$12*0.001) /10^9</f>
        <v>4.3296782546380586</v>
      </c>
      <c r="L30" s="47">
        <f>4*Assumptions!$C$10/Assumptions!$G$12</f>
        <v>3.717312990995091</v>
      </c>
      <c r="M30" s="45">
        <v>73.56</v>
      </c>
      <c r="N30" s="39">
        <v>89</v>
      </c>
      <c r="O30" s="44">
        <f>N30*Assumptions!$C$97/(Assumptions!$G$13*0.001) /10^9*M30/100</f>
        <v>25.525720359710622</v>
      </c>
      <c r="P30" s="48">
        <f>Assumptions!$C$115*Assumptions!$C$113/(Assumptions!$G$13*0.001) /10^9</f>
        <v>4.3917597561181276</v>
      </c>
      <c r="Q30" s="42">
        <f t="shared" si="0"/>
        <v>116.56605899512934</v>
      </c>
      <c r="S30" s="29" t="str">
        <f t="shared" si="1"/>
        <v>(370,34,100,100,89,0.74)</v>
      </c>
      <c r="U30" s="29" t="str">
        <f t="shared" si="2"/>
        <v>(370,34,100)</v>
      </c>
    </row>
    <row r="31" spans="2:21">
      <c r="B31" s="38">
        <v>12</v>
      </c>
      <c r="C31" s="39">
        <v>380</v>
      </c>
      <c r="D31" s="39">
        <v>34</v>
      </c>
      <c r="E31" s="39">
        <v>20</v>
      </c>
      <c r="F31" s="39">
        <v>100</v>
      </c>
      <c r="G31" s="40">
        <f>B31*Assumptions!$C$19*365*24*Assumptions!$D$26*1000/(Assumptions!$G$12*0.001) /10^9</f>
        <v>11.926795087504766</v>
      </c>
      <c r="H31" s="40">
        <f>C31*Assumptions!$C$20*365*24*Assumptions!$D$30*1000/(Assumptions!$G$12*0.001) /10^9</f>
        <v>61.963261075894593</v>
      </c>
      <c r="I31" s="40">
        <f>E31*Assumptions!$C$46/(Assumptions!$G$12*0.001) /10^9</f>
        <v>0.91687304215864762</v>
      </c>
      <c r="J31" s="40">
        <f>D31*Assumptions!$C$56/(Assumptions!$G$12*0.001) /10^9</f>
        <v>1.7577783930510089</v>
      </c>
      <c r="K31" s="40">
        <f>F31*Assumptions!$C$65/(Assumptions!$G$12*0.001) /10^9</f>
        <v>4.3296782546380586</v>
      </c>
      <c r="L31" s="47">
        <f>4*Assumptions!$C$10/Assumptions!$G$12</f>
        <v>3.717312990995091</v>
      </c>
      <c r="M31" s="45">
        <v>61.14</v>
      </c>
      <c r="N31" s="39">
        <v>124</v>
      </c>
      <c r="O31" s="44">
        <f>N31*Assumptions!$C$97/(Assumptions!$G$13*0.001) /10^9*M31/100</f>
        <v>29.559249241816769</v>
      </c>
      <c r="P31" s="48">
        <f>Assumptions!$C$115*Assumptions!$C$113/(Assumptions!$G$13*0.001) /10^9</f>
        <v>4.3917597561181276</v>
      </c>
      <c r="Q31" s="42">
        <f t="shared" si="0"/>
        <v>118.56270784217708</v>
      </c>
      <c r="S31" s="29" t="str">
        <f t="shared" si="1"/>
        <v>(380,34,20,100,124,0.61)</v>
      </c>
      <c r="U31" s="29" t="str">
        <f t="shared" si="2"/>
        <v>(380,34,20)</v>
      </c>
    </row>
    <row r="32" spans="2:21">
      <c r="B32" s="38">
        <v>12</v>
      </c>
      <c r="C32" s="39">
        <v>380</v>
      </c>
      <c r="D32" s="39">
        <v>33</v>
      </c>
      <c r="E32" s="39">
        <v>30</v>
      </c>
      <c r="F32" s="39">
        <v>100</v>
      </c>
      <c r="G32" s="40">
        <f>B32*Assumptions!$C$19*365*24*Assumptions!$D$26*1000/(Assumptions!$G$12*0.001) /10^9</f>
        <v>11.926795087504766</v>
      </c>
      <c r="H32" s="40">
        <f>C32*Assumptions!$C$20*365*24*Assumptions!$D$30*1000/(Assumptions!$G$12*0.001) /10^9</f>
        <v>61.963261075894593</v>
      </c>
      <c r="I32" s="40">
        <f>E32*Assumptions!$C$46/(Assumptions!$G$12*0.001) /10^9</f>
        <v>1.3753095632379717</v>
      </c>
      <c r="J32" s="40">
        <f>D32*Assumptions!$C$56/(Assumptions!$G$12*0.001) /10^9</f>
        <v>1.7060790285495089</v>
      </c>
      <c r="K32" s="40">
        <f>F32*Assumptions!$C$65/(Assumptions!$G$12*0.001) /10^9</f>
        <v>4.3296782546380586</v>
      </c>
      <c r="L32" s="47">
        <f>4*Assumptions!$C$10/Assumptions!$G$12</f>
        <v>3.717312990995091</v>
      </c>
      <c r="M32" s="45">
        <v>68.58</v>
      </c>
      <c r="N32" s="39">
        <v>98</v>
      </c>
      <c r="O32" s="44">
        <f>N32*Assumptions!$C$97/(Assumptions!$G$13*0.001) /10^9*M32/100</f>
        <v>26.204135494736015</v>
      </c>
      <c r="P32" s="48">
        <f>Assumptions!$C$115*Assumptions!$C$113/(Assumptions!$G$13*0.001) /10^9</f>
        <v>4.3917597561181276</v>
      </c>
      <c r="Q32" s="42">
        <f t="shared" si="0"/>
        <v>115.61433125167416</v>
      </c>
      <c r="S32" s="29" t="str">
        <f t="shared" si="1"/>
        <v>(380,33,30,100,98,0.69)</v>
      </c>
      <c r="U32" s="29" t="str">
        <f t="shared" si="2"/>
        <v>(380,33,30)</v>
      </c>
    </row>
    <row r="33" spans="2:21">
      <c r="B33" s="38">
        <v>12</v>
      </c>
      <c r="C33" s="39">
        <v>380</v>
      </c>
      <c r="D33" s="39">
        <v>33</v>
      </c>
      <c r="E33" s="39">
        <v>40</v>
      </c>
      <c r="F33" s="39">
        <v>100</v>
      </c>
      <c r="G33" s="40">
        <f>B33*Assumptions!$C$19*365*24*Assumptions!$D$26*1000/(Assumptions!$G$12*0.001) /10^9</f>
        <v>11.926795087504766</v>
      </c>
      <c r="H33" s="40">
        <f>C33*Assumptions!$C$20*365*24*Assumptions!$D$30*1000/(Assumptions!$G$12*0.001) /10^9</f>
        <v>61.963261075894593</v>
      </c>
      <c r="I33" s="40">
        <f>E33*Assumptions!$C$46/(Assumptions!$G$12*0.001) /10^9</f>
        <v>1.8337460843172952</v>
      </c>
      <c r="J33" s="40">
        <f>D33*Assumptions!$C$56/(Assumptions!$G$12*0.001) /10^9</f>
        <v>1.7060790285495089</v>
      </c>
      <c r="K33" s="40">
        <f>F33*Assumptions!$C$65/(Assumptions!$G$12*0.001) /10^9</f>
        <v>4.3296782546380586</v>
      </c>
      <c r="L33" s="47">
        <f>4*Assumptions!$C$10/Assumptions!$G$12</f>
        <v>3.717312990995091</v>
      </c>
      <c r="M33" s="45">
        <v>71.849999999999994</v>
      </c>
      <c r="N33" s="39">
        <v>91</v>
      </c>
      <c r="O33" s="44">
        <f>N33*Assumptions!$C$97/(Assumptions!$G$13*0.001) /10^9*M33/100</f>
        <v>25.492618379846448</v>
      </c>
      <c r="P33" s="48">
        <f>Assumptions!$C$115*Assumptions!$C$113/(Assumptions!$G$13*0.001) /10^9</f>
        <v>4.3917597561181276</v>
      </c>
      <c r="Q33" s="42">
        <f t="shared" si="0"/>
        <v>115.36125065786391</v>
      </c>
      <c r="S33" s="29" t="str">
        <f t="shared" si="1"/>
        <v>(380,33,40,100,91,0.72)</v>
      </c>
      <c r="U33" s="29" t="str">
        <f t="shared" si="2"/>
        <v>(380,33,40)</v>
      </c>
    </row>
    <row r="34" spans="2:21">
      <c r="B34" s="38">
        <v>12</v>
      </c>
      <c r="C34" s="39">
        <v>380</v>
      </c>
      <c r="D34" s="39">
        <v>33</v>
      </c>
      <c r="E34" s="39">
        <v>50</v>
      </c>
      <c r="F34" s="39">
        <v>100</v>
      </c>
      <c r="G34" s="40">
        <f>B34*Assumptions!$C$19*365*24*Assumptions!$D$26*1000/(Assumptions!$G$12*0.001) /10^9</f>
        <v>11.926795087504766</v>
      </c>
      <c r="H34" s="40">
        <f>C34*Assumptions!$C$20*365*24*Assumptions!$D$30*1000/(Assumptions!$G$12*0.001) /10^9</f>
        <v>61.963261075894593</v>
      </c>
      <c r="I34" s="40">
        <f>E34*Assumptions!$C$46/(Assumptions!$G$12*0.001) /10^9</f>
        <v>2.2921826053966194</v>
      </c>
      <c r="J34" s="40">
        <f>D34*Assumptions!$C$56/(Assumptions!$G$12*0.001) /10^9</f>
        <v>1.7060790285495089</v>
      </c>
      <c r="K34" s="40">
        <f>F34*Assumptions!$C$65/(Assumptions!$G$12*0.001) /10^9</f>
        <v>4.3296782546380586</v>
      </c>
      <c r="L34" s="47">
        <f>4*Assumptions!$C$10/Assumptions!$G$12</f>
        <v>3.717312990995091</v>
      </c>
      <c r="M34" s="45">
        <v>73.459999999999994</v>
      </c>
      <c r="N34" s="39">
        <v>87</v>
      </c>
      <c r="O34" s="44">
        <f>N34*Assumptions!$C$97/(Assumptions!$G$13*0.001) /10^9*M34/100</f>
        <v>24.918187909482704</v>
      </c>
      <c r="P34" s="48">
        <f>Assumptions!$C$115*Assumptions!$C$113/(Assumptions!$G$13*0.001) /10^9</f>
        <v>4.3917597561181276</v>
      </c>
      <c r="Q34" s="42">
        <f t="shared" si="0"/>
        <v>115.24525670857948</v>
      </c>
      <c r="S34" s="29" t="str">
        <f t="shared" si="1"/>
        <v>(380,33,50,100,87,0.73)</v>
      </c>
      <c r="U34" s="29" t="str">
        <f t="shared" si="2"/>
        <v>(380,33,50)</v>
      </c>
    </row>
    <row r="35" spans="2:21">
      <c r="B35" s="38">
        <v>12</v>
      </c>
      <c r="C35" s="39">
        <v>380</v>
      </c>
      <c r="D35" s="39">
        <v>33</v>
      </c>
      <c r="E35" s="39">
        <v>60</v>
      </c>
      <c r="F35" s="39">
        <v>100</v>
      </c>
      <c r="G35" s="40">
        <f>B35*Assumptions!$C$19*365*24*Assumptions!$D$26*1000/(Assumptions!$G$12*0.001) /10^9</f>
        <v>11.926795087504766</v>
      </c>
      <c r="H35" s="40">
        <f>C35*Assumptions!$C$20*365*24*Assumptions!$D$30*1000/(Assumptions!$G$12*0.001) /10^9</f>
        <v>61.963261075894593</v>
      </c>
      <c r="I35" s="40">
        <f>E35*Assumptions!$C$46/(Assumptions!$G$12*0.001) /10^9</f>
        <v>2.7506191264759434</v>
      </c>
      <c r="J35" s="40">
        <f>D35*Assumptions!$C$56/(Assumptions!$G$12*0.001) /10^9</f>
        <v>1.7060790285495089</v>
      </c>
      <c r="K35" s="40">
        <f>F35*Assumptions!$C$65/(Assumptions!$G$12*0.001) /10^9</f>
        <v>4.3296782546380586</v>
      </c>
      <c r="L35" s="47">
        <f>4*Assumptions!$C$10/Assumptions!$G$12</f>
        <v>3.717312990995091</v>
      </c>
      <c r="M35" s="45">
        <v>74.48</v>
      </c>
      <c r="N35" s="39">
        <v>85</v>
      </c>
      <c r="O35" s="44">
        <f>N35*Assumptions!$C$97/(Assumptions!$G$13*0.001) /10^9*M35/100</f>
        <v>24.683393889762996</v>
      </c>
      <c r="P35" s="48">
        <f>Assumptions!$C$115*Assumptions!$C$113/(Assumptions!$G$13*0.001) /10^9</f>
        <v>4.3917597561181276</v>
      </c>
      <c r="Q35" s="42">
        <f t="shared" si="0"/>
        <v>115.4688992099391</v>
      </c>
      <c r="S35" s="29" t="str">
        <f t="shared" si="1"/>
        <v>(380,33,60,100,85,0.74)</v>
      </c>
      <c r="U35" s="29" t="str">
        <f t="shared" si="2"/>
        <v>(380,33,60)</v>
      </c>
    </row>
    <row r="36" spans="2:21">
      <c r="B36" s="38">
        <v>12</v>
      </c>
      <c r="C36" s="39">
        <v>380</v>
      </c>
      <c r="D36" s="39">
        <v>33</v>
      </c>
      <c r="E36" s="39">
        <v>70</v>
      </c>
      <c r="F36" s="39">
        <v>100</v>
      </c>
      <c r="G36" s="40">
        <f>B36*Assumptions!$C$19*365*24*Assumptions!$D$26*1000/(Assumptions!$G$12*0.001) /10^9</f>
        <v>11.926795087504766</v>
      </c>
      <c r="H36" s="40">
        <f>C36*Assumptions!$C$20*365*24*Assumptions!$D$30*1000/(Assumptions!$G$12*0.001) /10^9</f>
        <v>61.963261075894593</v>
      </c>
      <c r="I36" s="40">
        <f>E36*Assumptions!$C$46/(Assumptions!$G$12*0.001) /10^9</f>
        <v>3.209055647555267</v>
      </c>
      <c r="J36" s="40">
        <f>D36*Assumptions!$C$56/(Assumptions!$G$12*0.001) /10^9</f>
        <v>1.7060790285495089</v>
      </c>
      <c r="K36" s="40">
        <f>F36*Assumptions!$C$65/(Assumptions!$G$12*0.001) /10^9</f>
        <v>4.3296782546380586</v>
      </c>
      <c r="L36" s="47">
        <f>4*Assumptions!$C$10/Assumptions!$G$12</f>
        <v>3.717312990995091</v>
      </c>
      <c r="M36" s="45">
        <v>75.03</v>
      </c>
      <c r="N36" s="39">
        <v>84</v>
      </c>
      <c r="O36" s="44">
        <f>N36*Assumptions!$C$97/(Assumptions!$G$13*0.001) /10^9*M36/100</f>
        <v>24.573131935633583</v>
      </c>
      <c r="P36" s="48">
        <f>Assumptions!$C$115*Assumptions!$C$113/(Assumptions!$G$13*0.001) /10^9</f>
        <v>4.3917597561181276</v>
      </c>
      <c r="Q36" s="42">
        <f t="shared" si="0"/>
        <v>115.817073776889</v>
      </c>
      <c r="S36" s="29" t="str">
        <f t="shared" si="1"/>
        <v>(380,33,70,100,84,0.75)</v>
      </c>
      <c r="U36" s="29" t="str">
        <f t="shared" si="2"/>
        <v>(380,33,70)</v>
      </c>
    </row>
    <row r="37" spans="2:21">
      <c r="B37" s="38">
        <v>12</v>
      </c>
      <c r="C37" s="39">
        <v>380</v>
      </c>
      <c r="D37" s="39">
        <v>33</v>
      </c>
      <c r="E37" s="39">
        <v>80</v>
      </c>
      <c r="F37" s="39">
        <v>100</v>
      </c>
      <c r="G37" s="40">
        <f>B37*Assumptions!$C$19*365*24*Assumptions!$D$26*1000/(Assumptions!$G$12*0.001) /10^9</f>
        <v>11.926795087504766</v>
      </c>
      <c r="H37" s="40">
        <f>C37*Assumptions!$C$20*365*24*Assumptions!$D$30*1000/(Assumptions!$G$12*0.001) /10^9</f>
        <v>61.963261075894593</v>
      </c>
      <c r="I37" s="40">
        <f>E37*Assumptions!$C$46/(Assumptions!$G$12*0.001) /10^9</f>
        <v>3.6674921686345905</v>
      </c>
      <c r="J37" s="40">
        <f>D37*Assumptions!$C$56/(Assumptions!$G$12*0.001) /10^9</f>
        <v>1.7060790285495089</v>
      </c>
      <c r="K37" s="40">
        <f>F37*Assumptions!$C$65/(Assumptions!$G$12*0.001) /10^9</f>
        <v>4.3296782546380586</v>
      </c>
      <c r="L37" s="47">
        <f>4*Assumptions!$C$10/Assumptions!$G$12</f>
        <v>3.717312990995091</v>
      </c>
      <c r="M37" s="45">
        <v>75.37</v>
      </c>
      <c r="N37" s="39">
        <v>84</v>
      </c>
      <c r="O37" s="44">
        <f>N37*Assumptions!$C$97/(Assumptions!$G$13*0.001) /10^9*M37/100</f>
        <v>24.684485592279131</v>
      </c>
      <c r="P37" s="48">
        <f>Assumptions!$C$115*Assumptions!$C$113/(Assumptions!$G$13*0.001) /10^9</f>
        <v>4.3917597561181276</v>
      </c>
      <c r="Q37" s="42">
        <f t="shared" si="0"/>
        <v>116.38686395461389</v>
      </c>
      <c r="S37" s="29" t="str">
        <f t="shared" si="1"/>
        <v>(380,33,80,100,84,0.75)</v>
      </c>
      <c r="U37" s="29" t="str">
        <f t="shared" si="2"/>
        <v>(380,33,80)</v>
      </c>
    </row>
    <row r="38" spans="2:21">
      <c r="B38" s="38">
        <v>12</v>
      </c>
      <c r="C38" s="39">
        <v>380</v>
      </c>
      <c r="D38" s="39">
        <v>33</v>
      </c>
      <c r="E38" s="39">
        <v>90</v>
      </c>
      <c r="F38" s="39">
        <v>100</v>
      </c>
      <c r="G38" s="40">
        <f>B38*Assumptions!$C$19*365*24*Assumptions!$D$26*1000/(Assumptions!$G$12*0.001) /10^9</f>
        <v>11.926795087504766</v>
      </c>
      <c r="H38" s="40">
        <f>C38*Assumptions!$C$20*365*24*Assumptions!$D$30*1000/(Assumptions!$G$12*0.001) /10^9</f>
        <v>61.963261075894593</v>
      </c>
      <c r="I38" s="40">
        <f>E38*Assumptions!$C$46/(Assumptions!$G$12*0.001) /10^9</f>
        <v>4.1259286897139145</v>
      </c>
      <c r="J38" s="40">
        <f>D38*Assumptions!$C$56/(Assumptions!$G$12*0.001) /10^9</f>
        <v>1.7060790285495089</v>
      </c>
      <c r="K38" s="40">
        <f>F38*Assumptions!$C$65/(Assumptions!$G$12*0.001) /10^9</f>
        <v>4.3296782546380586</v>
      </c>
      <c r="L38" s="47">
        <f>4*Assumptions!$C$10/Assumptions!$G$12</f>
        <v>3.717312990995091</v>
      </c>
      <c r="M38" s="45">
        <v>75.59</v>
      </c>
      <c r="N38" s="39">
        <v>83</v>
      </c>
      <c r="O38" s="44">
        <f>N38*Assumptions!$C$97/(Assumptions!$G$13*0.001) /10^9*M38/100</f>
        <v>24.46181726836361</v>
      </c>
      <c r="P38" s="48">
        <f>Assumptions!$C$115*Assumptions!$C$113/(Assumptions!$G$13*0.001) /10^9</f>
        <v>4.3917597561181276</v>
      </c>
      <c r="Q38" s="42">
        <f t="shared" si="0"/>
        <v>116.62263215177769</v>
      </c>
      <c r="S38" s="29" t="str">
        <f t="shared" si="1"/>
        <v>(380,33,90,100,83,0.76)</v>
      </c>
      <c r="U38" s="29" t="str">
        <f t="shared" si="2"/>
        <v>(380,33,90)</v>
      </c>
    </row>
    <row r="39" spans="2:21">
      <c r="B39" s="38">
        <v>12</v>
      </c>
      <c r="C39" s="39">
        <v>380</v>
      </c>
      <c r="D39" s="39">
        <v>33</v>
      </c>
      <c r="E39" s="39">
        <v>100</v>
      </c>
      <c r="F39" s="39">
        <v>100</v>
      </c>
      <c r="G39" s="40">
        <f>B39*Assumptions!$C$19*365*24*Assumptions!$D$26*1000/(Assumptions!$G$12*0.001) /10^9</f>
        <v>11.926795087504766</v>
      </c>
      <c r="H39" s="40">
        <f>C39*Assumptions!$C$20*365*24*Assumptions!$D$30*1000/(Assumptions!$G$12*0.001) /10^9</f>
        <v>61.963261075894593</v>
      </c>
      <c r="I39" s="40">
        <f>E39*Assumptions!$C$46/(Assumptions!$G$12*0.001) /10^9</f>
        <v>4.5843652107932389</v>
      </c>
      <c r="J39" s="40">
        <f>D39*Assumptions!$C$56/(Assumptions!$G$12*0.001) /10^9</f>
        <v>1.7060790285495089</v>
      </c>
      <c r="K39" s="40">
        <f>F39*Assumptions!$C$65/(Assumptions!$G$12*0.001) /10^9</f>
        <v>4.3296782546380586</v>
      </c>
      <c r="L39" s="47">
        <f>4*Assumptions!$C$10/Assumptions!$G$12</f>
        <v>3.717312990995091</v>
      </c>
      <c r="M39" s="45">
        <v>75.73</v>
      </c>
      <c r="N39" s="39">
        <v>83</v>
      </c>
      <c r="O39" s="44">
        <f>N39*Assumptions!$C$97/(Assumptions!$G$13*0.001) /10^9*M39/100</f>
        <v>24.507122922783125</v>
      </c>
      <c r="P39" s="48">
        <f>Assumptions!$C$115*Assumptions!$C$113/(Assumptions!$G$13*0.001) /10^9</f>
        <v>4.3917597561181276</v>
      </c>
      <c r="Q39" s="42">
        <f t="shared" si="0"/>
        <v>117.12637432727652</v>
      </c>
      <c r="S39" s="29" t="str">
        <f t="shared" si="1"/>
        <v>(380,33,100,100,83,0.76)</v>
      </c>
      <c r="U39" s="29" t="str">
        <f t="shared" si="2"/>
        <v>(380,33,100)</v>
      </c>
    </row>
    <row r="40" spans="2:21">
      <c r="B40" s="38">
        <v>12</v>
      </c>
      <c r="C40" s="39">
        <v>390</v>
      </c>
      <c r="D40" s="39">
        <v>33</v>
      </c>
      <c r="E40" s="39">
        <v>20</v>
      </c>
      <c r="F40" s="39">
        <v>100</v>
      </c>
      <c r="G40" s="40">
        <f>B40*Assumptions!$C$19*365*24*Assumptions!$D$26*1000/(Assumptions!$G$12*0.001) /10^9</f>
        <v>11.926795087504766</v>
      </c>
      <c r="H40" s="40">
        <f>C40*Assumptions!$C$20*365*24*Assumptions!$D$30*1000/(Assumptions!$G$12*0.001) /10^9</f>
        <v>63.593873209470772</v>
      </c>
      <c r="I40" s="40">
        <f>E40*Assumptions!$C$46/(Assumptions!$G$12*0.001) /10^9</f>
        <v>0.91687304215864762</v>
      </c>
      <c r="J40" s="40">
        <f>D40*Assumptions!$C$56/(Assumptions!$G$12*0.001) /10^9</f>
        <v>1.7060790285495089</v>
      </c>
      <c r="K40" s="40">
        <f>F40*Assumptions!$C$65/(Assumptions!$G$12*0.001) /10^9</f>
        <v>4.3296782546380586</v>
      </c>
      <c r="L40" s="47">
        <f>4*Assumptions!$C$10/Assumptions!$G$12</f>
        <v>3.717312990995091</v>
      </c>
      <c r="M40" s="45">
        <v>64.290000000000006</v>
      </c>
      <c r="N40" s="39">
        <v>107</v>
      </c>
      <c r="O40" s="44">
        <f>N40*Assumptions!$C$97/(Assumptions!$G$13*0.001) /10^9*M40/100</f>
        <v>26.820908426975478</v>
      </c>
      <c r="P40" s="48">
        <f>Assumptions!$C$115*Assumptions!$C$113/(Assumptions!$G$13*0.001) /10^9</f>
        <v>4.3917597561181276</v>
      </c>
      <c r="Q40" s="42">
        <f t="shared" si="0"/>
        <v>117.40327979641046</v>
      </c>
      <c r="S40" s="29" t="str">
        <f t="shared" si="1"/>
        <v>(390,33,20,100,107,0.64)</v>
      </c>
      <c r="U40" s="29" t="str">
        <f t="shared" si="2"/>
        <v>(390,33,20)</v>
      </c>
    </row>
    <row r="41" spans="2:21">
      <c r="B41" s="38">
        <v>12</v>
      </c>
      <c r="C41" s="39">
        <v>390</v>
      </c>
      <c r="D41" s="39">
        <v>33</v>
      </c>
      <c r="E41" s="39">
        <v>30</v>
      </c>
      <c r="F41" s="39">
        <v>100</v>
      </c>
      <c r="G41" s="40">
        <f>B41*Assumptions!$C$19*365*24*Assumptions!$D$26*1000/(Assumptions!$G$12*0.001) /10^9</f>
        <v>11.926795087504766</v>
      </c>
      <c r="H41" s="40">
        <f>C41*Assumptions!$C$20*365*24*Assumptions!$D$30*1000/(Assumptions!$G$12*0.001) /10^9</f>
        <v>63.593873209470772</v>
      </c>
      <c r="I41" s="40">
        <f>E41*Assumptions!$C$46/(Assumptions!$G$12*0.001) /10^9</f>
        <v>1.3753095632379717</v>
      </c>
      <c r="J41" s="40">
        <f>D41*Assumptions!$C$56/(Assumptions!$G$12*0.001) /10^9</f>
        <v>1.7060790285495089</v>
      </c>
      <c r="K41" s="40">
        <f>F41*Assumptions!$C$65/(Assumptions!$G$12*0.001) /10^9</f>
        <v>4.3296782546380586</v>
      </c>
      <c r="L41" s="47">
        <f>4*Assumptions!$C$10/Assumptions!$G$12</f>
        <v>3.717312990995091</v>
      </c>
      <c r="M41" s="45">
        <v>70.930000000000007</v>
      </c>
      <c r="N41" s="39">
        <v>90</v>
      </c>
      <c r="O41" s="44">
        <f>N41*Assumptions!$C$97/(Assumptions!$G$13*0.001) /10^9*M41/100</f>
        <v>24.889647686560952</v>
      </c>
      <c r="P41" s="48">
        <f>Assumptions!$C$115*Assumptions!$C$113/(Assumptions!$G$13*0.001) /10^9</f>
        <v>4.3917597561181276</v>
      </c>
      <c r="Q41" s="42">
        <f t="shared" si="0"/>
        <v>115.93045557707526</v>
      </c>
      <c r="S41" s="29" t="str">
        <f t="shared" si="1"/>
        <v>(390,33,30,100,90,0.71)</v>
      </c>
      <c r="U41" s="29" t="str">
        <f t="shared" si="2"/>
        <v>(390,33,30)</v>
      </c>
    </row>
    <row r="42" spans="2:21">
      <c r="B42" s="38">
        <v>12</v>
      </c>
      <c r="C42" s="39">
        <v>390</v>
      </c>
      <c r="D42" s="39">
        <v>33</v>
      </c>
      <c r="E42" s="39">
        <v>40</v>
      </c>
      <c r="F42" s="39">
        <v>100</v>
      </c>
      <c r="G42" s="40">
        <f>B42*Assumptions!$C$19*365*24*Assumptions!$D$26*1000/(Assumptions!$G$12*0.001) /10^9</f>
        <v>11.926795087504766</v>
      </c>
      <c r="H42" s="40">
        <f>C42*Assumptions!$C$20*365*24*Assumptions!$D$30*1000/(Assumptions!$G$12*0.001) /10^9</f>
        <v>63.593873209470772</v>
      </c>
      <c r="I42" s="40">
        <f>E42*Assumptions!$C$46/(Assumptions!$G$12*0.001) /10^9</f>
        <v>1.8337460843172952</v>
      </c>
      <c r="J42" s="40">
        <f>D42*Assumptions!$C$56/(Assumptions!$G$12*0.001) /10^9</f>
        <v>1.7060790285495089</v>
      </c>
      <c r="K42" s="40">
        <f>F42*Assumptions!$C$65/(Assumptions!$G$12*0.001) /10^9</f>
        <v>4.3296782546380586</v>
      </c>
      <c r="L42" s="47">
        <f>4*Assumptions!$C$10/Assumptions!$G$12</f>
        <v>3.717312990995091</v>
      </c>
      <c r="M42" s="45">
        <v>73.88</v>
      </c>
      <c r="N42" s="39">
        <v>84</v>
      </c>
      <c r="O42" s="44">
        <f>N42*Assumptions!$C$97/(Assumptions!$G$13*0.001) /10^9*M42/100</f>
        <v>24.196494567567758</v>
      </c>
      <c r="P42" s="48">
        <f>Assumptions!$C$115*Assumptions!$C$113/(Assumptions!$G$13*0.001) /10^9</f>
        <v>4.3917597561181276</v>
      </c>
      <c r="Q42" s="42">
        <f t="shared" si="0"/>
        <v>115.69573897916139</v>
      </c>
      <c r="S42" s="29" t="str">
        <f t="shared" si="1"/>
        <v>(390,33,40,100,84,0.74)</v>
      </c>
      <c r="U42" s="29" t="str">
        <f t="shared" si="2"/>
        <v>(390,33,40)</v>
      </c>
    </row>
    <row r="43" spans="2:21">
      <c r="B43" s="38">
        <v>12</v>
      </c>
      <c r="C43" s="39">
        <v>390</v>
      </c>
      <c r="D43" s="39">
        <v>33</v>
      </c>
      <c r="E43" s="39">
        <v>50</v>
      </c>
      <c r="F43" s="39">
        <v>100</v>
      </c>
      <c r="G43" s="40">
        <f>B43*Assumptions!$C$19*365*24*Assumptions!$D$26*1000/(Assumptions!$G$12*0.001) /10^9</f>
        <v>11.926795087504766</v>
      </c>
      <c r="H43" s="40">
        <f>C43*Assumptions!$C$20*365*24*Assumptions!$D$30*1000/(Assumptions!$G$12*0.001) /10^9</f>
        <v>63.593873209470772</v>
      </c>
      <c r="I43" s="40">
        <f>E43*Assumptions!$C$46/(Assumptions!$G$12*0.001) /10^9</f>
        <v>2.2921826053966194</v>
      </c>
      <c r="J43" s="40">
        <f>D43*Assumptions!$C$56/(Assumptions!$G$12*0.001) /10^9</f>
        <v>1.7060790285495089</v>
      </c>
      <c r="K43" s="40">
        <f>F43*Assumptions!$C$65/(Assumptions!$G$12*0.001) /10^9</f>
        <v>4.3296782546380586</v>
      </c>
      <c r="L43" s="47">
        <f>4*Assumptions!$C$10/Assumptions!$G$12</f>
        <v>3.717312990995091</v>
      </c>
      <c r="M43" s="45">
        <v>75.47</v>
      </c>
      <c r="N43" s="39">
        <v>81</v>
      </c>
      <c r="O43" s="44">
        <f>N43*Assumptions!$C$97/(Assumptions!$G$13*0.001) /10^9*M43/100</f>
        <v>23.834478215343001</v>
      </c>
      <c r="P43" s="48">
        <f>Assumptions!$C$115*Assumptions!$C$113/(Assumptions!$G$13*0.001) /10^9</f>
        <v>4.3917597561181276</v>
      </c>
      <c r="Q43" s="42">
        <f t="shared" si="0"/>
        <v>115.79215914801595</v>
      </c>
      <c r="S43" s="29" t="str">
        <f t="shared" si="1"/>
        <v>(390,33,50,100,81,0.75)</v>
      </c>
      <c r="U43" s="29" t="str">
        <f t="shared" si="2"/>
        <v>(390,33,50)</v>
      </c>
    </row>
    <row r="44" spans="2:21">
      <c r="B44" s="38">
        <v>12</v>
      </c>
      <c r="C44" s="39">
        <v>390</v>
      </c>
      <c r="D44" s="39">
        <v>33</v>
      </c>
      <c r="E44" s="39">
        <v>60</v>
      </c>
      <c r="F44" s="39">
        <v>100</v>
      </c>
      <c r="G44" s="40">
        <f>B44*Assumptions!$C$19*365*24*Assumptions!$D$26*1000/(Assumptions!$G$12*0.001) /10^9</f>
        <v>11.926795087504766</v>
      </c>
      <c r="H44" s="40">
        <f>C44*Assumptions!$C$20*365*24*Assumptions!$D$30*1000/(Assumptions!$G$12*0.001) /10^9</f>
        <v>63.593873209470772</v>
      </c>
      <c r="I44" s="40">
        <f>E44*Assumptions!$C$46/(Assumptions!$G$12*0.001) /10^9</f>
        <v>2.7506191264759434</v>
      </c>
      <c r="J44" s="40">
        <f>D44*Assumptions!$C$56/(Assumptions!$G$12*0.001) /10^9</f>
        <v>1.7060790285495089</v>
      </c>
      <c r="K44" s="40">
        <f>F44*Assumptions!$C$65/(Assumptions!$G$12*0.001) /10^9</f>
        <v>4.3296782546380586</v>
      </c>
      <c r="L44" s="47">
        <f>4*Assumptions!$C$10/Assumptions!$G$12</f>
        <v>3.717312990995091</v>
      </c>
      <c r="M44" s="45">
        <v>76.34</v>
      </c>
      <c r="N44" s="39">
        <v>80</v>
      </c>
      <c r="O44" s="44">
        <f>N44*Assumptions!$C$97/(Assumptions!$G$13*0.001) /10^9*M44/100</f>
        <v>23.811591451879796</v>
      </c>
      <c r="P44" s="48">
        <f>Assumptions!$C$115*Assumptions!$C$113/(Assumptions!$G$13*0.001) /10^9</f>
        <v>4.3917597561181276</v>
      </c>
      <c r="Q44" s="42">
        <f t="shared" si="0"/>
        <v>116.22770890563207</v>
      </c>
      <c r="S44" s="29" t="str">
        <f t="shared" si="1"/>
        <v>(390,33,60,100,80,0.76)</v>
      </c>
      <c r="U44" s="29" t="str">
        <f t="shared" si="2"/>
        <v>(390,33,60)</v>
      </c>
    </row>
    <row r="45" spans="2:21">
      <c r="B45" s="38">
        <v>12</v>
      </c>
      <c r="C45" s="39">
        <v>390</v>
      </c>
      <c r="D45" s="39">
        <v>33</v>
      </c>
      <c r="E45" s="39">
        <v>70</v>
      </c>
      <c r="F45" s="39">
        <v>100</v>
      </c>
      <c r="G45" s="40">
        <f>B45*Assumptions!$C$19*365*24*Assumptions!$D$26*1000/(Assumptions!$G$12*0.001) /10^9</f>
        <v>11.926795087504766</v>
      </c>
      <c r="H45" s="40">
        <f>C45*Assumptions!$C$20*365*24*Assumptions!$D$30*1000/(Assumptions!$G$12*0.001) /10^9</f>
        <v>63.593873209470772</v>
      </c>
      <c r="I45" s="40">
        <f>E45*Assumptions!$C$46/(Assumptions!$G$12*0.001) /10^9</f>
        <v>3.209055647555267</v>
      </c>
      <c r="J45" s="40">
        <f>D45*Assumptions!$C$56/(Assumptions!$G$12*0.001) /10^9</f>
        <v>1.7060790285495089</v>
      </c>
      <c r="K45" s="40">
        <f>F45*Assumptions!$C$65/(Assumptions!$G$12*0.001) /10^9</f>
        <v>4.3296782546380586</v>
      </c>
      <c r="L45" s="47">
        <f>4*Assumptions!$C$10/Assumptions!$G$12</f>
        <v>3.717312990995091</v>
      </c>
      <c r="M45" s="45">
        <v>76.89</v>
      </c>
      <c r="N45" s="39">
        <v>79</v>
      </c>
      <c r="O45" s="44">
        <f>N45*Assumptions!$C$97/(Assumptions!$G$13*0.001) /10^9*M45/100</f>
        <v>23.683355395609759</v>
      </c>
      <c r="P45" s="48">
        <f>Assumptions!$C$115*Assumptions!$C$113/(Assumptions!$G$13*0.001) /10^9</f>
        <v>4.3917597561181276</v>
      </c>
      <c r="Q45" s="42">
        <f t="shared" si="0"/>
        <v>116.55790937044135</v>
      </c>
      <c r="S45" s="29" t="str">
        <f t="shared" si="1"/>
        <v>(390,33,70,100,79,0.77)</v>
      </c>
      <c r="U45" s="29" t="str">
        <f t="shared" si="2"/>
        <v>(390,33,70)</v>
      </c>
    </row>
    <row r="46" spans="2:21">
      <c r="B46" s="38">
        <v>12</v>
      </c>
      <c r="C46" s="39">
        <v>390</v>
      </c>
      <c r="D46" s="39">
        <v>33</v>
      </c>
      <c r="E46" s="39">
        <v>80</v>
      </c>
      <c r="F46" s="39">
        <v>100</v>
      </c>
      <c r="G46" s="40">
        <f>B46*Assumptions!$C$19*365*24*Assumptions!$D$26*1000/(Assumptions!$G$12*0.001) /10^9</f>
        <v>11.926795087504766</v>
      </c>
      <c r="H46" s="40">
        <f>C46*Assumptions!$C$20*365*24*Assumptions!$D$30*1000/(Assumptions!$G$12*0.001) /10^9</f>
        <v>63.593873209470772</v>
      </c>
      <c r="I46" s="40">
        <f>E46*Assumptions!$C$46/(Assumptions!$G$12*0.001) /10^9</f>
        <v>3.6674921686345905</v>
      </c>
      <c r="J46" s="40">
        <f>D46*Assumptions!$C$56/(Assumptions!$G$12*0.001) /10^9</f>
        <v>1.7060790285495089</v>
      </c>
      <c r="K46" s="40">
        <f>F46*Assumptions!$C$65/(Assumptions!$G$12*0.001) /10^9</f>
        <v>4.3296782546380586</v>
      </c>
      <c r="L46" s="47">
        <f>4*Assumptions!$C$10/Assumptions!$G$12</f>
        <v>3.717312990995091</v>
      </c>
      <c r="M46" s="45">
        <v>77.13</v>
      </c>
      <c r="N46" s="39">
        <v>79</v>
      </c>
      <c r="O46" s="44">
        <f>N46*Assumptions!$C$97/(Assumptions!$G$13*0.001) /10^9*M46/100</f>
        <v>23.75727925170218</v>
      </c>
      <c r="P46" s="48">
        <f>Assumptions!$C$115*Assumptions!$C$113/(Assumptions!$G$13*0.001) /10^9</f>
        <v>4.3917597561181276</v>
      </c>
      <c r="Q46" s="42">
        <f t="shared" si="0"/>
        <v>117.09026974761311</v>
      </c>
      <c r="S46" s="29" t="str">
        <f t="shared" si="1"/>
        <v>(390,33,80,100,79,0.77)</v>
      </c>
      <c r="U46" s="29" t="str">
        <f t="shared" si="2"/>
        <v>(390,33,80)</v>
      </c>
    </row>
    <row r="47" spans="2:21">
      <c r="B47" s="38">
        <v>12</v>
      </c>
      <c r="C47" s="39">
        <v>390</v>
      </c>
      <c r="D47" s="39">
        <v>33</v>
      </c>
      <c r="E47" s="39">
        <v>90</v>
      </c>
      <c r="F47" s="39">
        <v>100</v>
      </c>
      <c r="G47" s="40">
        <f>B47*Assumptions!$C$19*365*24*Assumptions!$D$26*1000/(Assumptions!$G$12*0.001) /10^9</f>
        <v>11.926795087504766</v>
      </c>
      <c r="H47" s="40">
        <f>C47*Assumptions!$C$20*365*24*Assumptions!$D$30*1000/(Assumptions!$G$12*0.001) /10^9</f>
        <v>63.593873209470772</v>
      </c>
      <c r="I47" s="40">
        <f>E47*Assumptions!$C$46/(Assumptions!$G$12*0.001) /10^9</f>
        <v>4.1259286897139145</v>
      </c>
      <c r="J47" s="40">
        <f>D47*Assumptions!$C$56/(Assumptions!$G$12*0.001) /10^9</f>
        <v>1.7060790285495089</v>
      </c>
      <c r="K47" s="40">
        <f>F47*Assumptions!$C$65/(Assumptions!$G$12*0.001) /10^9</f>
        <v>4.3296782546380586</v>
      </c>
      <c r="L47" s="47">
        <f>4*Assumptions!$C$10/Assumptions!$G$12</f>
        <v>3.717312990995091</v>
      </c>
      <c r="M47" s="45">
        <v>77.39</v>
      </c>
      <c r="N47" s="39">
        <v>78</v>
      </c>
      <c r="O47" s="44">
        <f>N47*Assumptions!$C$97/(Assumptions!$G$13*0.001) /10^9*M47/100</f>
        <v>23.535624651551643</v>
      </c>
      <c r="P47" s="48">
        <f>Assumptions!$C$115*Assumptions!$C$113/(Assumptions!$G$13*0.001) /10^9</f>
        <v>4.3917597561181276</v>
      </c>
      <c r="Q47" s="42">
        <f t="shared" si="0"/>
        <v>117.3270516685419</v>
      </c>
      <c r="S47" s="29" t="str">
        <f t="shared" si="1"/>
        <v>(390,33,90,100,78,0.77)</v>
      </c>
      <c r="U47" s="29" t="str">
        <f t="shared" si="2"/>
        <v>(390,33,90)</v>
      </c>
    </row>
    <row r="48" spans="2:21">
      <c r="B48" s="38">
        <v>12</v>
      </c>
      <c r="C48" s="39">
        <v>390</v>
      </c>
      <c r="D48" s="39">
        <v>33</v>
      </c>
      <c r="E48" s="39">
        <v>100</v>
      </c>
      <c r="F48" s="39">
        <v>100</v>
      </c>
      <c r="G48" s="40">
        <f>B48*Assumptions!$C$19*365*24*Assumptions!$D$26*1000/(Assumptions!$G$12*0.001) /10^9</f>
        <v>11.926795087504766</v>
      </c>
      <c r="H48" s="40">
        <f>C48*Assumptions!$C$20*365*24*Assumptions!$D$30*1000/(Assumptions!$G$12*0.001) /10^9</f>
        <v>63.593873209470772</v>
      </c>
      <c r="I48" s="40">
        <f>E48*Assumptions!$C$46/(Assumptions!$G$12*0.001) /10^9</f>
        <v>4.5843652107932389</v>
      </c>
      <c r="J48" s="40">
        <f>D48*Assumptions!$C$56/(Assumptions!$G$12*0.001) /10^9</f>
        <v>1.7060790285495089</v>
      </c>
      <c r="K48" s="40">
        <f>F48*Assumptions!$C$65/(Assumptions!$G$12*0.001) /10^9</f>
        <v>4.3296782546380586</v>
      </c>
      <c r="L48" s="47">
        <f>4*Assumptions!$C$10/Assumptions!$G$12</f>
        <v>3.717312990995091</v>
      </c>
      <c r="M48" s="45">
        <v>77.53</v>
      </c>
      <c r="N48" s="39">
        <v>78</v>
      </c>
      <c r="O48" s="44">
        <f>N48*Assumptions!$C$97/(Assumptions!$G$13*0.001) /10^9*M48/100</f>
        <v>23.578201049680825</v>
      </c>
      <c r="P48" s="48">
        <f>Assumptions!$C$115*Assumptions!$C$113/(Assumptions!$G$13*0.001) /10^9</f>
        <v>4.3917597561181276</v>
      </c>
      <c r="Q48" s="42">
        <f t="shared" si="0"/>
        <v>117.8280645877504</v>
      </c>
      <c r="S48" s="29" t="str">
        <f t="shared" si="1"/>
        <v>(390,33,100,100,78,0.78)</v>
      </c>
      <c r="U48" s="29" t="str">
        <f t="shared" si="2"/>
        <v>(390,33,100)</v>
      </c>
    </row>
    <row r="49" spans="2:21">
      <c r="B49" s="38">
        <v>12</v>
      </c>
      <c r="C49" s="39">
        <v>400</v>
      </c>
      <c r="D49" s="39">
        <v>32</v>
      </c>
      <c r="E49" s="39">
        <v>20</v>
      </c>
      <c r="F49" s="39">
        <v>100</v>
      </c>
      <c r="G49" s="40">
        <f>B49*Assumptions!$C$19*365*24*Assumptions!$D$26*1000/(Assumptions!$G$12*0.001) /10^9</f>
        <v>11.926795087504766</v>
      </c>
      <c r="H49" s="40">
        <f>C49*Assumptions!$C$20*365*24*Assumptions!$D$30*1000/(Assumptions!$G$12*0.001) /10^9</f>
        <v>65.224485343046936</v>
      </c>
      <c r="I49" s="40">
        <f>E49*Assumptions!$C$46/(Assumptions!$G$12*0.001) /10^9</f>
        <v>0.91687304215864762</v>
      </c>
      <c r="J49" s="40">
        <f>D49*Assumptions!$C$56/(Assumptions!$G$12*0.001) /10^9</f>
        <v>1.6543796640480084</v>
      </c>
      <c r="K49" s="40">
        <f>F49*Assumptions!$C$65/(Assumptions!$G$12*0.001) /10^9</f>
        <v>4.3296782546380586</v>
      </c>
      <c r="L49" s="47">
        <f>4*Assumptions!$C$10/Assumptions!$G$12</f>
        <v>3.717312990995091</v>
      </c>
      <c r="M49" s="45">
        <v>67.069999999999993</v>
      </c>
      <c r="N49" s="39">
        <v>96</v>
      </c>
      <c r="O49" s="44">
        <f>N49*Assumptions!$C$97/(Assumptions!$G$13*0.001) /10^9*M49/100</f>
        <v>25.104167230981044</v>
      </c>
      <c r="P49" s="48">
        <f>Assumptions!$C$115*Assumptions!$C$113/(Assumptions!$G$13*0.001) /10^9</f>
        <v>4.3917597561181276</v>
      </c>
      <c r="Q49" s="42">
        <f t="shared" si="0"/>
        <v>117.26545136949069</v>
      </c>
      <c r="S49" s="29" t="str">
        <f t="shared" si="1"/>
        <v>(400,32,20,100,96,0.67)</v>
      </c>
      <c r="U49" s="29" t="str">
        <f t="shared" si="2"/>
        <v>(400,32,20)</v>
      </c>
    </row>
    <row r="50" spans="2:21">
      <c r="B50" s="38">
        <v>12</v>
      </c>
      <c r="C50" s="39">
        <v>400</v>
      </c>
      <c r="D50" s="39">
        <v>32</v>
      </c>
      <c r="E50" s="39">
        <v>30</v>
      </c>
      <c r="F50" s="39">
        <v>100</v>
      </c>
      <c r="G50" s="40">
        <f>B50*Assumptions!$C$19*365*24*Assumptions!$D$26*1000/(Assumptions!$G$12*0.001) /10^9</f>
        <v>11.926795087504766</v>
      </c>
      <c r="H50" s="40">
        <f>C50*Assumptions!$C$20*365*24*Assumptions!$D$30*1000/(Assumptions!$G$12*0.001) /10^9</f>
        <v>65.224485343046936</v>
      </c>
      <c r="I50" s="40">
        <f>E50*Assumptions!$C$46/(Assumptions!$G$12*0.001) /10^9</f>
        <v>1.3753095632379717</v>
      </c>
      <c r="J50" s="40">
        <f>D50*Assumptions!$C$56/(Assumptions!$G$12*0.001) /10^9</f>
        <v>1.6543796640480084</v>
      </c>
      <c r="K50" s="40">
        <f>F50*Assumptions!$C$65/(Assumptions!$G$12*0.001) /10^9</f>
        <v>4.3296782546380586</v>
      </c>
      <c r="L50" s="47">
        <f>4*Assumptions!$C$10/Assumptions!$G$12</f>
        <v>3.717312990995091</v>
      </c>
      <c r="M50" s="45">
        <v>73.14</v>
      </c>
      <c r="N50" s="39">
        <v>84</v>
      </c>
      <c r="O50" s="44">
        <f>N50*Assumptions!$C$97/(Assumptions!$G$13*0.001) /10^9*M50/100</f>
        <v>23.954136608986275</v>
      </c>
      <c r="P50" s="48">
        <f>Assumptions!$C$115*Assumptions!$C$113/(Assumptions!$G$13*0.001) /10^9</f>
        <v>4.3917597561181276</v>
      </c>
      <c r="Q50" s="42">
        <f t="shared" si="0"/>
        <v>116.57385726857525</v>
      </c>
      <c r="S50" s="29" t="str">
        <f t="shared" si="1"/>
        <v>(400,32,30,100,84,0.73)</v>
      </c>
      <c r="U50" s="29" t="str">
        <f t="shared" si="2"/>
        <v>(400,32,30)</v>
      </c>
    </row>
    <row r="51" spans="2:21">
      <c r="B51" s="38">
        <v>12</v>
      </c>
      <c r="C51" s="39">
        <v>400</v>
      </c>
      <c r="D51" s="39">
        <v>32</v>
      </c>
      <c r="E51" s="39">
        <v>40</v>
      </c>
      <c r="F51" s="39">
        <v>100</v>
      </c>
      <c r="G51" s="40">
        <f>B51*Assumptions!$C$19*365*24*Assumptions!$D$26*1000/(Assumptions!$G$12*0.001) /10^9</f>
        <v>11.926795087504766</v>
      </c>
      <c r="H51" s="40">
        <f>C51*Assumptions!$C$20*365*24*Assumptions!$D$30*1000/(Assumptions!$G$12*0.001) /10^9</f>
        <v>65.224485343046936</v>
      </c>
      <c r="I51" s="40">
        <f>E51*Assumptions!$C$46/(Assumptions!$G$12*0.001) /10^9</f>
        <v>1.8337460843172952</v>
      </c>
      <c r="J51" s="40">
        <f>D51*Assumptions!$C$56/(Assumptions!$G$12*0.001) /10^9</f>
        <v>1.6543796640480084</v>
      </c>
      <c r="K51" s="40">
        <f>F51*Assumptions!$C$65/(Assumptions!$G$12*0.001) /10^9</f>
        <v>4.3296782546380586</v>
      </c>
      <c r="L51" s="47">
        <f>4*Assumptions!$C$10/Assumptions!$G$12</f>
        <v>3.717312990995091</v>
      </c>
      <c r="M51" s="45">
        <v>75.89</v>
      </c>
      <c r="N51" s="39">
        <v>79</v>
      </c>
      <c r="O51" s="44">
        <f>N51*Assumptions!$C$97/(Assumptions!$G$13*0.001) /10^9*M51/100</f>
        <v>23.375339328558002</v>
      </c>
      <c r="P51" s="48">
        <f>Assumptions!$C$115*Assumptions!$C$113/(Assumptions!$G$13*0.001) /10^9</f>
        <v>4.3917597561181276</v>
      </c>
      <c r="Q51" s="42">
        <f t="shared" ref="Q51:Q75" si="3">SUM(G51:L51)+O51+P51</f>
        <v>116.4534965092263</v>
      </c>
      <c r="S51" s="29" t="str">
        <f t="shared" ref="S51:S75" si="4">CONCATENATE("(",C51,",",D51,",",E51,",",F51,",",ROUND(N51,0),",",ROUND(M51/100,2),")")</f>
        <v>(400,32,40,100,79,0.76)</v>
      </c>
      <c r="U51" s="29" t="str">
        <f t="shared" si="2"/>
        <v>(400,32,40)</v>
      </c>
    </row>
    <row r="52" spans="2:21">
      <c r="B52" s="38">
        <v>12</v>
      </c>
      <c r="C52" s="39">
        <v>400</v>
      </c>
      <c r="D52" s="39">
        <v>32</v>
      </c>
      <c r="E52" s="39">
        <v>50</v>
      </c>
      <c r="F52" s="39">
        <v>100</v>
      </c>
      <c r="G52" s="40">
        <f>B52*Assumptions!$C$19*365*24*Assumptions!$D$26*1000/(Assumptions!$G$12*0.001) /10^9</f>
        <v>11.926795087504766</v>
      </c>
      <c r="H52" s="40">
        <f>C52*Assumptions!$C$20*365*24*Assumptions!$D$30*1000/(Assumptions!$G$12*0.001) /10^9</f>
        <v>65.224485343046936</v>
      </c>
      <c r="I52" s="40">
        <f>E52*Assumptions!$C$46/(Assumptions!$G$12*0.001) /10^9</f>
        <v>2.2921826053966194</v>
      </c>
      <c r="J52" s="40">
        <f>D52*Assumptions!$C$56/(Assumptions!$G$12*0.001) /10^9</f>
        <v>1.6543796640480084</v>
      </c>
      <c r="K52" s="40">
        <f>F52*Assumptions!$C$65/(Assumptions!$G$12*0.001) /10^9</f>
        <v>4.3296782546380586</v>
      </c>
      <c r="L52" s="47">
        <f>4*Assumptions!$C$10/Assumptions!$G$12</f>
        <v>3.717312990995091</v>
      </c>
      <c r="M52" s="45">
        <v>75.89</v>
      </c>
      <c r="N52" s="39">
        <v>77</v>
      </c>
      <c r="O52" s="44">
        <f>N52*Assumptions!$C$97/(Assumptions!$G$13*0.001) /10^9*M52/100</f>
        <v>22.783558586062863</v>
      </c>
      <c r="P52" s="48">
        <f>Assumptions!$C$115*Assumptions!$C$113/(Assumptions!$G$13*0.001) /10^9</f>
        <v>4.3917597561181276</v>
      </c>
      <c r="Q52" s="42">
        <f t="shared" si="3"/>
        <v>116.32015228781049</v>
      </c>
      <c r="S52" s="29" t="str">
        <f t="shared" si="4"/>
        <v>(400,32,50,100,77,0.76)</v>
      </c>
      <c r="U52" s="29" t="str">
        <f t="shared" si="2"/>
        <v>(400,32,50)</v>
      </c>
    </row>
    <row r="53" spans="2:21">
      <c r="B53" s="38">
        <v>12</v>
      </c>
      <c r="C53" s="39">
        <v>400</v>
      </c>
      <c r="D53" s="39">
        <v>32</v>
      </c>
      <c r="E53" s="39">
        <v>60</v>
      </c>
      <c r="F53" s="39">
        <v>100</v>
      </c>
      <c r="G53" s="40">
        <f>B53*Assumptions!$C$19*365*24*Assumptions!$D$26*1000/(Assumptions!$G$12*0.001) /10^9</f>
        <v>11.926795087504766</v>
      </c>
      <c r="H53" s="40">
        <f>C53*Assumptions!$C$20*365*24*Assumptions!$D$30*1000/(Assumptions!$G$12*0.001) /10^9</f>
        <v>65.224485343046936</v>
      </c>
      <c r="I53" s="40">
        <f>E53*Assumptions!$C$46/(Assumptions!$G$12*0.001) /10^9</f>
        <v>2.7506191264759434</v>
      </c>
      <c r="J53" s="40">
        <f>D53*Assumptions!$C$56/(Assumptions!$G$12*0.001) /10^9</f>
        <v>1.6543796640480084</v>
      </c>
      <c r="K53" s="40">
        <f>F53*Assumptions!$C$65/(Assumptions!$G$12*0.001) /10^9</f>
        <v>4.3296782546380586</v>
      </c>
      <c r="L53" s="47">
        <f>4*Assumptions!$C$10/Assumptions!$G$12</f>
        <v>3.717312990995091</v>
      </c>
      <c r="M53" s="45">
        <v>78.12</v>
      </c>
      <c r="N53" s="39">
        <v>76</v>
      </c>
      <c r="O53" s="44">
        <f>N53*Assumptions!$C$97/(Assumptions!$G$13*0.001) /10^9*M53/100</f>
        <v>23.148460152080258</v>
      </c>
      <c r="P53" s="48">
        <f>Assumptions!$C$115*Assumptions!$C$113/(Assumptions!$G$13*0.001) /10^9</f>
        <v>4.3917597561181276</v>
      </c>
      <c r="Q53" s="42">
        <f t="shared" si="3"/>
        <v>117.1434903749072</v>
      </c>
      <c r="S53" s="29" t="str">
        <f t="shared" si="4"/>
        <v>(400,32,60,100,76,0.78)</v>
      </c>
      <c r="U53" s="29" t="str">
        <f t="shared" si="2"/>
        <v>(400,32,60)</v>
      </c>
    </row>
    <row r="54" spans="2:21">
      <c r="B54" s="38">
        <v>12</v>
      </c>
      <c r="C54" s="39">
        <v>400</v>
      </c>
      <c r="D54" s="39">
        <v>32</v>
      </c>
      <c r="E54" s="39">
        <v>70</v>
      </c>
      <c r="F54" s="39">
        <v>100</v>
      </c>
      <c r="G54" s="40">
        <f>B54*Assumptions!$C$19*365*24*Assumptions!$D$26*1000/(Assumptions!$G$12*0.001) /10^9</f>
        <v>11.926795087504766</v>
      </c>
      <c r="H54" s="40">
        <f>C54*Assumptions!$C$20*365*24*Assumptions!$D$30*1000/(Assumptions!$G$12*0.001) /10^9</f>
        <v>65.224485343046936</v>
      </c>
      <c r="I54" s="40">
        <f>E54*Assumptions!$C$46/(Assumptions!$G$12*0.001) /10^9</f>
        <v>3.209055647555267</v>
      </c>
      <c r="J54" s="40">
        <f>D54*Assumptions!$C$56/(Assumptions!$G$12*0.001) /10^9</f>
        <v>1.6543796640480084</v>
      </c>
      <c r="K54" s="40">
        <f>F54*Assumptions!$C$65/(Assumptions!$G$12*0.001) /10^9</f>
        <v>4.3296782546380586</v>
      </c>
      <c r="L54" s="47">
        <f>4*Assumptions!$C$10/Assumptions!$G$12</f>
        <v>3.717312990995091</v>
      </c>
      <c r="M54" s="45">
        <v>78.569999999999993</v>
      </c>
      <c r="N54" s="39">
        <v>75</v>
      </c>
      <c r="O54" s="44">
        <f>N54*Assumptions!$C$97/(Assumptions!$G$13*0.001) /10^9*M54/100</f>
        <v>22.975464292648777</v>
      </c>
      <c r="P54" s="48">
        <f>Assumptions!$C$115*Assumptions!$C$113/(Assumptions!$G$13*0.001) /10^9</f>
        <v>4.3917597561181276</v>
      </c>
      <c r="Q54" s="42">
        <f t="shared" si="3"/>
        <v>117.42893103655504</v>
      </c>
      <c r="S54" s="29" t="str">
        <f t="shared" si="4"/>
        <v>(400,32,70,100,75,0.79)</v>
      </c>
      <c r="U54" s="29" t="str">
        <f t="shared" si="2"/>
        <v>(400,32,70)</v>
      </c>
    </row>
    <row r="55" spans="2:21">
      <c r="B55" s="38">
        <v>12</v>
      </c>
      <c r="C55" s="39">
        <v>400</v>
      </c>
      <c r="D55" s="39">
        <v>32</v>
      </c>
      <c r="E55" s="39">
        <v>80</v>
      </c>
      <c r="F55" s="39">
        <v>100</v>
      </c>
      <c r="G55" s="40">
        <f>B55*Assumptions!$C$19*365*24*Assumptions!$D$26*1000/(Assumptions!$G$12*0.001) /10^9</f>
        <v>11.926795087504766</v>
      </c>
      <c r="H55" s="40">
        <f>C55*Assumptions!$C$20*365*24*Assumptions!$D$30*1000/(Assumptions!$G$12*0.001) /10^9</f>
        <v>65.224485343046936</v>
      </c>
      <c r="I55" s="40">
        <f>E55*Assumptions!$C$46/(Assumptions!$G$12*0.001) /10^9</f>
        <v>3.6674921686345905</v>
      </c>
      <c r="J55" s="40">
        <f>D55*Assumptions!$C$56/(Assumptions!$G$12*0.001) /10^9</f>
        <v>1.6543796640480084</v>
      </c>
      <c r="K55" s="40">
        <f>F55*Assumptions!$C$65/(Assumptions!$G$12*0.001) /10^9</f>
        <v>4.3296782546380586</v>
      </c>
      <c r="L55" s="47">
        <f>4*Assumptions!$C$10/Assumptions!$G$12</f>
        <v>3.717312990995091</v>
      </c>
      <c r="M55" s="45">
        <v>78.819999999999993</v>
      </c>
      <c r="N55" s="39">
        <v>75</v>
      </c>
      <c r="O55" s="44">
        <f>N55*Assumptions!$C$97/(Assumptions!$G$13*0.001) /10^9*M55/100</f>
        <v>23.0485693718541</v>
      </c>
      <c r="P55" s="48">
        <f>Assumptions!$C$115*Assumptions!$C$113/(Assumptions!$G$13*0.001) /10^9</f>
        <v>4.3917597561181276</v>
      </c>
      <c r="Q55" s="42">
        <f t="shared" si="3"/>
        <v>117.9604726368397</v>
      </c>
      <c r="S55" s="29" t="str">
        <f t="shared" si="4"/>
        <v>(400,32,80,100,75,0.79)</v>
      </c>
      <c r="U55" s="29" t="str">
        <f t="shared" si="2"/>
        <v>(400,32,80)</v>
      </c>
    </row>
    <row r="56" spans="2:21">
      <c r="B56" s="38">
        <v>12</v>
      </c>
      <c r="C56" s="39">
        <v>400</v>
      </c>
      <c r="D56" s="39">
        <v>32</v>
      </c>
      <c r="E56" s="39">
        <v>90</v>
      </c>
      <c r="F56" s="39">
        <v>100</v>
      </c>
      <c r="G56" s="40">
        <f>B56*Assumptions!$C$19*365*24*Assumptions!$D$26*1000/(Assumptions!$G$12*0.001) /10^9</f>
        <v>11.926795087504766</v>
      </c>
      <c r="H56" s="40">
        <f>C56*Assumptions!$C$20*365*24*Assumptions!$D$30*1000/(Assumptions!$G$12*0.001) /10^9</f>
        <v>65.224485343046936</v>
      </c>
      <c r="I56" s="40">
        <f>E56*Assumptions!$C$46/(Assumptions!$G$12*0.001) /10^9</f>
        <v>4.1259286897139145</v>
      </c>
      <c r="J56" s="40">
        <f>D56*Assumptions!$C$56/(Assumptions!$G$12*0.001) /10^9</f>
        <v>1.6543796640480084</v>
      </c>
      <c r="K56" s="40">
        <f>F56*Assumptions!$C$65/(Assumptions!$G$12*0.001) /10^9</f>
        <v>4.3296782546380586</v>
      </c>
      <c r="L56" s="47">
        <f>4*Assumptions!$C$10/Assumptions!$G$12</f>
        <v>3.717312990995091</v>
      </c>
      <c r="M56" s="45">
        <v>79.099999999999994</v>
      </c>
      <c r="N56" s="39">
        <v>75</v>
      </c>
      <c r="O56" s="44">
        <f>N56*Assumptions!$C$97/(Assumptions!$G$13*0.001) /10^9*M56/100</f>
        <v>23.130447060564062</v>
      </c>
      <c r="P56" s="48">
        <f>Assumptions!$C$115*Assumptions!$C$113/(Assumptions!$G$13*0.001) /10^9</f>
        <v>4.3917597561181276</v>
      </c>
      <c r="Q56" s="42">
        <f t="shared" si="3"/>
        <v>118.50078684662898</v>
      </c>
      <c r="S56" s="29" t="str">
        <f t="shared" si="4"/>
        <v>(400,32,90,100,75,0.79)</v>
      </c>
      <c r="U56" s="29" t="str">
        <f t="shared" si="2"/>
        <v>(400,32,90)</v>
      </c>
    </row>
    <row r="57" spans="2:21">
      <c r="B57" s="38">
        <v>12</v>
      </c>
      <c r="C57" s="39">
        <v>400</v>
      </c>
      <c r="D57" s="39">
        <v>32</v>
      </c>
      <c r="E57" s="39">
        <v>100</v>
      </c>
      <c r="F57" s="39">
        <v>100</v>
      </c>
      <c r="G57" s="40">
        <f>B57*Assumptions!$C$19*365*24*Assumptions!$D$26*1000/(Assumptions!$G$12*0.001) /10^9</f>
        <v>11.926795087504766</v>
      </c>
      <c r="H57" s="40">
        <f>C57*Assumptions!$C$20*365*24*Assumptions!$D$30*1000/(Assumptions!$G$12*0.001) /10^9</f>
        <v>65.224485343046936</v>
      </c>
      <c r="I57" s="40">
        <f>E57*Assumptions!$C$46/(Assumptions!$G$12*0.001) /10^9</f>
        <v>4.5843652107932389</v>
      </c>
      <c r="J57" s="40">
        <f>D57*Assumptions!$C$56/(Assumptions!$G$12*0.001) /10^9</f>
        <v>1.6543796640480084</v>
      </c>
      <c r="K57" s="40">
        <f>F57*Assumptions!$C$65/(Assumptions!$G$12*0.001) /10^9</f>
        <v>4.3296782546380586</v>
      </c>
      <c r="L57" s="47">
        <f>4*Assumptions!$C$10/Assumptions!$G$12</f>
        <v>3.717312990995091</v>
      </c>
      <c r="M57" s="45">
        <v>79.180000000000007</v>
      </c>
      <c r="N57" s="39">
        <v>74</v>
      </c>
      <c r="O57" s="44">
        <f>N57*Assumptions!$C$97/(Assumptions!$G$13*0.001) /10^9*M57/100</f>
        <v>22.845122810097635</v>
      </c>
      <c r="P57" s="48">
        <f>Assumptions!$C$115*Assumptions!$C$113/(Assumptions!$G$13*0.001) /10^9</f>
        <v>4.3917597561181276</v>
      </c>
      <c r="Q57" s="42">
        <f t="shared" si="3"/>
        <v>118.67389911724187</v>
      </c>
      <c r="S57" s="29" t="str">
        <f t="shared" si="4"/>
        <v>(400,32,100,100,74,0.79)</v>
      </c>
      <c r="U57" s="29" t="str">
        <f t="shared" si="2"/>
        <v>(400,32,100)</v>
      </c>
    </row>
    <row r="58" spans="2:21">
      <c r="B58" s="38">
        <v>12</v>
      </c>
      <c r="C58" s="39">
        <v>410</v>
      </c>
      <c r="D58" s="39">
        <v>31</v>
      </c>
      <c r="E58" s="39">
        <v>20</v>
      </c>
      <c r="F58" s="39">
        <v>100</v>
      </c>
      <c r="G58" s="40">
        <f>B58*Assumptions!$C$19*365*24*Assumptions!$D$26*1000/(Assumptions!$G$12*0.001) /10^9</f>
        <v>11.926795087504766</v>
      </c>
      <c r="H58" s="40">
        <f>C58*Assumptions!$C$20*365*24*Assumptions!$D$30*1000/(Assumptions!$G$12*0.001) /10^9</f>
        <v>66.855097476623115</v>
      </c>
      <c r="I58" s="40">
        <f>E58*Assumptions!$C$46/(Assumptions!$G$12*0.001) /10^9</f>
        <v>0.91687304215864762</v>
      </c>
      <c r="J58" s="40">
        <f>D58*Assumptions!$C$56/(Assumptions!$G$12*0.001) /10^9</f>
        <v>1.6026802995465081</v>
      </c>
      <c r="K58" s="40">
        <f>F58*Assumptions!$C$65/(Assumptions!$G$12*0.001) /10^9</f>
        <v>4.3296782546380586</v>
      </c>
      <c r="L58" s="47">
        <f>4*Assumptions!$C$10/Assumptions!$G$12</f>
        <v>3.717312990995091</v>
      </c>
      <c r="M58" s="45">
        <v>69.75</v>
      </c>
      <c r="N58" s="39">
        <v>88</v>
      </c>
      <c r="O58" s="44">
        <f>N58*Assumptions!$C$97/(Assumptions!$G$13*0.001) /10^9*M58/100</f>
        <v>23.931678728654401</v>
      </c>
      <c r="P58" s="48">
        <f>Assumptions!$C$115*Assumptions!$C$113/(Assumptions!$G$13*0.001) /10^9</f>
        <v>4.3917597561181276</v>
      </c>
      <c r="Q58" s="42">
        <f t="shared" si="3"/>
        <v>117.67187563623872</v>
      </c>
      <c r="S58" s="29" t="str">
        <f t="shared" si="4"/>
        <v>(410,31,20,100,88,0.7)</v>
      </c>
      <c r="U58" s="29" t="str">
        <f t="shared" si="2"/>
        <v>(410,31,20)</v>
      </c>
    </row>
    <row r="59" spans="2:21">
      <c r="B59" s="38">
        <v>12</v>
      </c>
      <c r="C59" s="39">
        <v>410</v>
      </c>
      <c r="D59" s="39">
        <v>31</v>
      </c>
      <c r="E59" s="39">
        <v>30</v>
      </c>
      <c r="F59" s="39">
        <v>100</v>
      </c>
      <c r="G59" s="40">
        <f>B59*Assumptions!$C$19*365*24*Assumptions!$D$26*1000/(Assumptions!$G$12*0.001) /10^9</f>
        <v>11.926795087504766</v>
      </c>
      <c r="H59" s="40">
        <f>C59*Assumptions!$C$20*365*24*Assumptions!$D$30*1000/(Assumptions!$G$12*0.001) /10^9</f>
        <v>66.855097476623115</v>
      </c>
      <c r="I59" s="40">
        <f>E59*Assumptions!$C$46/(Assumptions!$G$12*0.001) /10^9</f>
        <v>1.3753095632379717</v>
      </c>
      <c r="J59" s="40">
        <f>D59*Assumptions!$C$56/(Assumptions!$G$12*0.001) /10^9</f>
        <v>1.6026802995465081</v>
      </c>
      <c r="K59" s="40">
        <f>F59*Assumptions!$C$65/(Assumptions!$G$12*0.001) /10^9</f>
        <v>4.3296782546380586</v>
      </c>
      <c r="L59" s="47">
        <f>4*Assumptions!$C$10/Assumptions!$G$12</f>
        <v>3.717312990995091</v>
      </c>
      <c r="M59" s="45">
        <v>75.34</v>
      </c>
      <c r="N59" s="39">
        <v>79</v>
      </c>
      <c r="O59" s="44">
        <f>N59*Assumptions!$C$97/(Assumptions!$G$13*0.001) /10^9*M59/100</f>
        <v>23.205930491679531</v>
      </c>
      <c r="P59" s="48">
        <f>Assumptions!$C$115*Assumptions!$C$113/(Assumptions!$G$13*0.001) /10^9</f>
        <v>4.3917597561181276</v>
      </c>
      <c r="Q59" s="42">
        <f t="shared" si="3"/>
        <v>117.40456392034319</v>
      </c>
      <c r="S59" s="29" t="str">
        <f t="shared" si="4"/>
        <v>(410,31,30,100,79,0.75)</v>
      </c>
      <c r="U59" s="29" t="str">
        <f t="shared" si="2"/>
        <v>(410,31,30)</v>
      </c>
    </row>
    <row r="60" spans="2:21">
      <c r="B60" s="38">
        <v>12</v>
      </c>
      <c r="C60" s="39">
        <v>410</v>
      </c>
      <c r="D60" s="39">
        <v>31</v>
      </c>
      <c r="E60" s="39">
        <v>40</v>
      </c>
      <c r="F60" s="39">
        <v>100</v>
      </c>
      <c r="G60" s="40">
        <f>B60*Assumptions!$C$19*365*24*Assumptions!$D$26*1000/(Assumptions!$G$12*0.001) /10^9</f>
        <v>11.926795087504766</v>
      </c>
      <c r="H60" s="40">
        <f>C60*Assumptions!$C$20*365*24*Assumptions!$D$30*1000/(Assumptions!$G$12*0.001) /10^9</f>
        <v>66.855097476623115</v>
      </c>
      <c r="I60" s="40">
        <f>E60*Assumptions!$C$46/(Assumptions!$G$12*0.001) /10^9</f>
        <v>1.8337460843172952</v>
      </c>
      <c r="J60" s="40">
        <f>D60*Assumptions!$C$56/(Assumptions!$G$12*0.001) /10^9</f>
        <v>1.6026802995465081</v>
      </c>
      <c r="K60" s="40">
        <f>F60*Assumptions!$C$65/(Assumptions!$G$12*0.001) /10^9</f>
        <v>4.3296782546380586</v>
      </c>
      <c r="L60" s="47">
        <f>4*Assumptions!$C$10/Assumptions!$G$12</f>
        <v>3.717312990995091</v>
      </c>
      <c r="M60" s="45">
        <v>77.89</v>
      </c>
      <c r="N60" s="39">
        <v>75</v>
      </c>
      <c r="O60" s="44">
        <f>N60*Assumptions!$C$97/(Assumptions!$G$13*0.001) /10^9*M60/100</f>
        <v>22.776618477210306</v>
      </c>
      <c r="P60" s="48">
        <f>Assumptions!$C$115*Assumptions!$C$113/(Assumptions!$G$13*0.001) /10^9</f>
        <v>4.3917597561181276</v>
      </c>
      <c r="Q60" s="42">
        <f t="shared" si="3"/>
        <v>117.43368842695328</v>
      </c>
      <c r="S60" s="29" t="str">
        <f t="shared" si="4"/>
        <v>(410,31,40,100,75,0.78)</v>
      </c>
      <c r="U60" s="29" t="str">
        <f t="shared" si="2"/>
        <v>(410,31,40)</v>
      </c>
    </row>
    <row r="61" spans="2:21">
      <c r="B61" s="38">
        <v>12</v>
      </c>
      <c r="C61" s="39">
        <v>410</v>
      </c>
      <c r="D61" s="39">
        <v>31</v>
      </c>
      <c r="E61" s="39">
        <v>50</v>
      </c>
      <c r="F61" s="39">
        <v>100</v>
      </c>
      <c r="G61" s="40">
        <f>B61*Assumptions!$C$19*365*24*Assumptions!$D$26*1000/(Assumptions!$G$12*0.001) /10^9</f>
        <v>11.926795087504766</v>
      </c>
      <c r="H61" s="40">
        <f>C61*Assumptions!$C$20*365*24*Assumptions!$D$30*1000/(Assumptions!$G$12*0.001) /10^9</f>
        <v>66.855097476623115</v>
      </c>
      <c r="I61" s="40">
        <f>E61*Assumptions!$C$46/(Assumptions!$G$12*0.001) /10^9</f>
        <v>2.2921826053966194</v>
      </c>
      <c r="J61" s="40">
        <f>D61*Assumptions!$C$56/(Assumptions!$G$12*0.001) /10^9</f>
        <v>1.6026802995465081</v>
      </c>
      <c r="K61" s="40">
        <f>F61*Assumptions!$C$65/(Assumptions!$G$12*0.001) /10^9</f>
        <v>4.3296782546380586</v>
      </c>
      <c r="L61" s="47">
        <f>4*Assumptions!$C$10/Assumptions!$G$12</f>
        <v>3.717312990995091</v>
      </c>
      <c r="M61" s="45">
        <v>79.19</v>
      </c>
      <c r="N61" s="39">
        <v>73</v>
      </c>
      <c r="O61" s="44">
        <f>N61*Assumptions!$C$97/(Assumptions!$G$13*0.001) /10^9*M61/100</f>
        <v>22.539251158702569</v>
      </c>
      <c r="P61" s="48">
        <f>Assumptions!$C$115*Assumptions!$C$113/(Assumptions!$G$13*0.001) /10^9</f>
        <v>4.3917597561181276</v>
      </c>
      <c r="Q61" s="42">
        <f t="shared" si="3"/>
        <v>117.65475762952487</v>
      </c>
      <c r="S61" s="29" t="str">
        <f t="shared" si="4"/>
        <v>(410,31,50,100,73,0.79)</v>
      </c>
      <c r="U61" s="29" t="str">
        <f t="shared" si="2"/>
        <v>(410,31,50)</v>
      </c>
    </row>
    <row r="62" spans="2:21">
      <c r="B62" s="38">
        <v>12</v>
      </c>
      <c r="C62" s="39">
        <v>410</v>
      </c>
      <c r="D62" s="39">
        <v>31</v>
      </c>
      <c r="E62" s="39">
        <v>60</v>
      </c>
      <c r="F62" s="39">
        <v>100</v>
      </c>
      <c r="G62" s="40">
        <f>B62*Assumptions!$C$19*365*24*Assumptions!$D$26*1000/(Assumptions!$G$12*0.001) /10^9</f>
        <v>11.926795087504766</v>
      </c>
      <c r="H62" s="40">
        <f>C62*Assumptions!$C$20*365*24*Assumptions!$D$30*1000/(Assumptions!$G$12*0.001) /10^9</f>
        <v>66.855097476623115</v>
      </c>
      <c r="I62" s="40">
        <f>E62*Assumptions!$C$46/(Assumptions!$G$12*0.001) /10^9</f>
        <v>2.7506191264759434</v>
      </c>
      <c r="J62" s="40">
        <f>D62*Assumptions!$C$56/(Assumptions!$G$12*0.001) /10^9</f>
        <v>1.6026802995465081</v>
      </c>
      <c r="K62" s="40">
        <f>F62*Assumptions!$C$65/(Assumptions!$G$12*0.001) /10^9</f>
        <v>4.3296782546380586</v>
      </c>
      <c r="L62" s="47">
        <f>4*Assumptions!$C$10/Assumptions!$G$12</f>
        <v>3.717312990995091</v>
      </c>
      <c r="M62" s="45">
        <v>79.88</v>
      </c>
      <c r="N62" s="39">
        <v>72</v>
      </c>
      <c r="O62" s="44">
        <f>N62*Assumptions!$C$97/(Assumptions!$G$13*0.001) /10^9*M62/100</f>
        <v>22.424193511377283</v>
      </c>
      <c r="P62" s="48">
        <f>Assumptions!$C$115*Assumptions!$C$113/(Assumptions!$G$13*0.001) /10^9</f>
        <v>4.3917597561181276</v>
      </c>
      <c r="Q62" s="42">
        <f t="shared" si="3"/>
        <v>117.9981365032789</v>
      </c>
      <c r="S62" s="29" t="str">
        <f t="shared" si="4"/>
        <v>(410,31,60,100,72,0.8)</v>
      </c>
      <c r="U62" s="29" t="str">
        <f t="shared" si="2"/>
        <v>(410,31,60)</v>
      </c>
    </row>
    <row r="63" spans="2:21">
      <c r="B63" s="38">
        <v>12</v>
      </c>
      <c r="C63" s="39">
        <v>410</v>
      </c>
      <c r="D63" s="39">
        <v>31</v>
      </c>
      <c r="E63" s="39">
        <v>70</v>
      </c>
      <c r="F63" s="39">
        <v>100</v>
      </c>
      <c r="G63" s="40">
        <f>B63*Assumptions!$C$19*365*24*Assumptions!$D$26*1000/(Assumptions!$G$12*0.001) /10^9</f>
        <v>11.926795087504766</v>
      </c>
      <c r="H63" s="40">
        <f>C63*Assumptions!$C$20*365*24*Assumptions!$D$30*1000/(Assumptions!$G$12*0.001) /10^9</f>
        <v>66.855097476623115</v>
      </c>
      <c r="I63" s="40">
        <f>E63*Assumptions!$C$46/(Assumptions!$G$12*0.001) /10^9</f>
        <v>3.209055647555267</v>
      </c>
      <c r="J63" s="40">
        <f>D63*Assumptions!$C$56/(Assumptions!$G$12*0.001) /10^9</f>
        <v>1.6026802995465081</v>
      </c>
      <c r="K63" s="40">
        <f>F63*Assumptions!$C$65/(Assumptions!$G$12*0.001) /10^9</f>
        <v>4.3296782546380586</v>
      </c>
      <c r="L63" s="47">
        <f>4*Assumptions!$C$10/Assumptions!$G$12</f>
        <v>3.717312990995091</v>
      </c>
      <c r="M63" s="45">
        <v>80.25</v>
      </c>
      <c r="N63" s="39">
        <v>72</v>
      </c>
      <c r="O63" s="44">
        <f>N63*Assumptions!$C$97/(Assumptions!$G$13*0.001) /10^9*M63/100</f>
        <v>22.528061207912206</v>
      </c>
      <c r="P63" s="48">
        <f>Assumptions!$C$115*Assumptions!$C$113/(Assumptions!$G$13*0.001) /10^9</f>
        <v>4.3917597561181276</v>
      </c>
      <c r="Q63" s="42">
        <f t="shared" si="3"/>
        <v>118.56044072089314</v>
      </c>
      <c r="S63" s="29" t="str">
        <f t="shared" si="4"/>
        <v>(410,31,70,100,72,0.8)</v>
      </c>
      <c r="U63" s="29" t="str">
        <f t="shared" si="2"/>
        <v>(410,31,70)</v>
      </c>
    </row>
    <row r="64" spans="2:21">
      <c r="B64" s="38">
        <v>12</v>
      </c>
      <c r="C64" s="39">
        <v>410</v>
      </c>
      <c r="D64" s="39">
        <v>31</v>
      </c>
      <c r="E64" s="39">
        <v>80</v>
      </c>
      <c r="F64" s="39">
        <v>100</v>
      </c>
      <c r="G64" s="40">
        <f>B64*Assumptions!$C$19*365*24*Assumptions!$D$26*1000/(Assumptions!$G$12*0.001) /10^9</f>
        <v>11.926795087504766</v>
      </c>
      <c r="H64" s="40">
        <f>C64*Assumptions!$C$20*365*24*Assumptions!$D$30*1000/(Assumptions!$G$12*0.001) /10^9</f>
        <v>66.855097476623115</v>
      </c>
      <c r="I64" s="40">
        <f>E64*Assumptions!$C$46/(Assumptions!$G$12*0.001) /10^9</f>
        <v>3.6674921686345905</v>
      </c>
      <c r="J64" s="40">
        <f>D64*Assumptions!$C$56/(Assumptions!$G$12*0.001) /10^9</f>
        <v>1.6026802995465081</v>
      </c>
      <c r="K64" s="40">
        <f>F64*Assumptions!$C$65/(Assumptions!$G$12*0.001) /10^9</f>
        <v>4.3296782546380586</v>
      </c>
      <c r="L64" s="47">
        <f>4*Assumptions!$C$10/Assumptions!$G$12</f>
        <v>3.717312990995091</v>
      </c>
      <c r="M64" s="45">
        <v>80.58</v>
      </c>
      <c r="N64" s="39">
        <v>72</v>
      </c>
      <c r="O64" s="44">
        <f>N64*Assumptions!$C$97/(Assumptions!$G$13*0.001) /10^9*M64/100</f>
        <v>22.62069996428119</v>
      </c>
      <c r="P64" s="48">
        <f>Assumptions!$C$115*Assumptions!$C$113/(Assumptions!$G$13*0.001) /10^9</f>
        <v>4.3917597561181276</v>
      </c>
      <c r="Q64" s="42">
        <f t="shared" si="3"/>
        <v>119.11151599834146</v>
      </c>
      <c r="S64" s="29" t="str">
        <f t="shared" si="4"/>
        <v>(410,31,80,100,72,0.81)</v>
      </c>
      <c r="U64" s="29" t="str">
        <f t="shared" si="2"/>
        <v>(410,31,80)</v>
      </c>
    </row>
    <row r="65" spans="2:21">
      <c r="B65" s="38">
        <v>12</v>
      </c>
      <c r="C65" s="39">
        <v>410</v>
      </c>
      <c r="D65" s="39">
        <v>31</v>
      </c>
      <c r="E65" s="39">
        <v>90</v>
      </c>
      <c r="F65" s="39">
        <v>100</v>
      </c>
      <c r="G65" s="40">
        <f>B65*Assumptions!$C$19*365*24*Assumptions!$D$26*1000/(Assumptions!$G$12*0.001) /10^9</f>
        <v>11.926795087504766</v>
      </c>
      <c r="H65" s="40">
        <f>C65*Assumptions!$C$20*365*24*Assumptions!$D$30*1000/(Assumptions!$G$12*0.001) /10^9</f>
        <v>66.855097476623115</v>
      </c>
      <c r="I65" s="40">
        <f>E65*Assumptions!$C$46/(Assumptions!$G$12*0.001) /10^9</f>
        <v>4.1259286897139145</v>
      </c>
      <c r="J65" s="40">
        <f>D65*Assumptions!$C$56/(Assumptions!$G$12*0.001) /10^9</f>
        <v>1.6026802995465081</v>
      </c>
      <c r="K65" s="40">
        <f>F65*Assumptions!$C$65/(Assumptions!$G$12*0.001) /10^9</f>
        <v>4.3296782546380586</v>
      </c>
      <c r="L65" s="47">
        <f>4*Assumptions!$C$10/Assumptions!$G$12</f>
        <v>3.717312990995091</v>
      </c>
      <c r="M65" s="45">
        <v>80.709999999999994</v>
      </c>
      <c r="N65" s="39">
        <v>71</v>
      </c>
      <c r="O65" s="44">
        <f>N65*Assumptions!$C$97/(Assumptions!$G$13*0.001) /10^9*M65/100</f>
        <v>22.3425107695452</v>
      </c>
      <c r="P65" s="48">
        <f>Assumptions!$C$115*Assumptions!$C$113/(Assumptions!$G$13*0.001) /10^9</f>
        <v>4.3917597561181276</v>
      </c>
      <c r="Q65" s="42">
        <f t="shared" si="3"/>
        <v>119.29176332468479</v>
      </c>
      <c r="S65" s="29" t="str">
        <f t="shared" si="4"/>
        <v>(410,31,90,100,71,0.81)</v>
      </c>
      <c r="U65" s="29" t="str">
        <f t="shared" si="2"/>
        <v>(410,31,90)</v>
      </c>
    </row>
    <row r="66" spans="2:21">
      <c r="B66" s="38">
        <v>12</v>
      </c>
      <c r="C66" s="39">
        <v>410</v>
      </c>
      <c r="D66" s="39">
        <v>31</v>
      </c>
      <c r="E66" s="39">
        <v>100</v>
      </c>
      <c r="F66" s="39">
        <v>100</v>
      </c>
      <c r="G66" s="40">
        <f>B66*Assumptions!$C$19*365*24*Assumptions!$D$26*1000/(Assumptions!$G$12*0.001) /10^9</f>
        <v>11.926795087504766</v>
      </c>
      <c r="H66" s="40">
        <f>C66*Assumptions!$C$20*365*24*Assumptions!$D$30*1000/(Assumptions!$G$12*0.001) /10^9</f>
        <v>66.855097476623115</v>
      </c>
      <c r="I66" s="40">
        <f>E66*Assumptions!$C$46/(Assumptions!$G$12*0.001) /10^9</f>
        <v>4.5843652107932389</v>
      </c>
      <c r="J66" s="40">
        <f>D66*Assumptions!$C$56/(Assumptions!$G$12*0.001) /10^9</f>
        <v>1.6026802995465081</v>
      </c>
      <c r="K66" s="40">
        <f>F66*Assumptions!$C$65/(Assumptions!$G$12*0.001) /10^9</f>
        <v>4.3296782546380586</v>
      </c>
      <c r="L66" s="47">
        <f>4*Assumptions!$C$10/Assumptions!$G$12</f>
        <v>3.717312990995091</v>
      </c>
      <c r="M66" s="45">
        <v>80.819999999999993</v>
      </c>
      <c r="N66">
        <v>71</v>
      </c>
      <c r="O66" s="44">
        <f>N66*Assumptions!$C$97/(Assumptions!$G$13*0.001) /10^9*M66/100</f>
        <v>22.372961471870191</v>
      </c>
      <c r="P66" s="48">
        <f>Assumptions!$C$115*Assumptions!$C$113/(Assumptions!$G$13*0.001) /10^9</f>
        <v>4.3917597561181276</v>
      </c>
      <c r="Q66" s="42">
        <f t="shared" si="3"/>
        <v>119.7806505480891</v>
      </c>
      <c r="S66" s="29" t="str">
        <f t="shared" si="4"/>
        <v>(410,31,100,100,71,0.81)</v>
      </c>
      <c r="U66" s="29" t="str">
        <f t="shared" si="2"/>
        <v>(410,31,100)</v>
      </c>
    </row>
    <row r="67" spans="2:21">
      <c r="B67" s="38">
        <v>12</v>
      </c>
      <c r="C67" s="39">
        <v>420</v>
      </c>
      <c r="D67" s="39">
        <v>31</v>
      </c>
      <c r="E67" s="39">
        <v>20</v>
      </c>
      <c r="F67" s="39">
        <v>100</v>
      </c>
      <c r="G67" s="40">
        <f>B67*Assumptions!$C$19*365*24*Assumptions!$D$26*1000/(Assumptions!$G$12*0.001) /10^9</f>
        <v>11.926795087504766</v>
      </c>
      <c r="H67" s="40">
        <f>C67*Assumptions!$C$20*365*24*Assumptions!$D$30*1000/(Assumptions!$G$12*0.001) /10^9</f>
        <v>68.485709610199294</v>
      </c>
      <c r="I67" s="40">
        <f>E67*Assumptions!$C$46/(Assumptions!$G$12*0.001) /10^9</f>
        <v>0.91687304215864762</v>
      </c>
      <c r="J67" s="40">
        <f>D67*Assumptions!$C$56/(Assumptions!$G$12*0.001) /10^9</f>
        <v>1.6026802995465081</v>
      </c>
      <c r="K67" s="40">
        <f>F67*Assumptions!$C$65/(Assumptions!$G$12*0.001) /10^9</f>
        <v>4.3296782546380586</v>
      </c>
      <c r="L67" s="47">
        <f>4*Assumptions!$C$10/Assumptions!$G$12</f>
        <v>3.717312990995091</v>
      </c>
      <c r="M67" s="45">
        <v>72.09</v>
      </c>
      <c r="N67" s="39">
        <v>82</v>
      </c>
      <c r="O67" s="44">
        <f>N67*Assumptions!$C$97/(Assumptions!$G$13*0.001) /10^9*M67/100</f>
        <v>23.04810149934719</v>
      </c>
      <c r="P67" s="48">
        <f>Assumptions!$C$115*Assumptions!$C$113/(Assumptions!$G$13*0.001) /10^9</f>
        <v>4.3917597561181276</v>
      </c>
      <c r="Q67" s="42">
        <f t="shared" si="3"/>
        <v>118.4189105405077</v>
      </c>
      <c r="S67" s="29" t="str">
        <f t="shared" si="4"/>
        <v>(420,31,20,100,82,0.72)</v>
      </c>
      <c r="U67" s="29" t="str">
        <f t="shared" si="2"/>
        <v>(420,31,20)</v>
      </c>
    </row>
    <row r="68" spans="2:21">
      <c r="B68" s="38">
        <v>12</v>
      </c>
      <c r="C68" s="39">
        <v>420</v>
      </c>
      <c r="D68" s="39">
        <v>31</v>
      </c>
      <c r="E68" s="39">
        <v>30</v>
      </c>
      <c r="F68" s="39">
        <v>100</v>
      </c>
      <c r="G68" s="40">
        <f>B68*Assumptions!$C$19*365*24*Assumptions!$D$26*1000/(Assumptions!$G$12*0.001) /10^9</f>
        <v>11.926795087504766</v>
      </c>
      <c r="H68" s="40">
        <f>C68*Assumptions!$C$20*365*24*Assumptions!$D$30*1000/(Assumptions!$G$12*0.001) /10^9</f>
        <v>68.485709610199294</v>
      </c>
      <c r="I68" s="40">
        <f>E68*Assumptions!$C$46/(Assumptions!$G$12*0.001) /10^9</f>
        <v>1.3753095632379717</v>
      </c>
      <c r="J68" s="40">
        <f>D68*Assumptions!$C$56/(Assumptions!$G$12*0.001) /10^9</f>
        <v>1.6026802995465081</v>
      </c>
      <c r="K68" s="40">
        <f>F68*Assumptions!$C$65/(Assumptions!$G$12*0.001) /10^9</f>
        <v>4.3296782546380586</v>
      </c>
      <c r="L68" s="47">
        <f>4*Assumptions!$C$10/Assumptions!$G$12</f>
        <v>3.717312990995091</v>
      </c>
      <c r="M68" s="45">
        <v>77.239999999999995</v>
      </c>
      <c r="N68" s="39">
        <v>75</v>
      </c>
      <c r="O68" s="44">
        <f>N68*Assumptions!$C$97/(Assumptions!$G$13*0.001) /10^9*M68/100</f>
        <v>22.586545271276464</v>
      </c>
      <c r="P68" s="48">
        <f>Assumptions!$C$115*Assumptions!$C$113/(Assumptions!$G$13*0.001) /10^9</f>
        <v>4.3917597561181276</v>
      </c>
      <c r="Q68" s="42">
        <f t="shared" si="3"/>
        <v>118.4157908335163</v>
      </c>
      <c r="S68" s="29" t="str">
        <f t="shared" si="4"/>
        <v>(420,31,30,100,75,0.77)</v>
      </c>
      <c r="U68" s="29" t="str">
        <f t="shared" si="2"/>
        <v>(420,31,30)</v>
      </c>
    </row>
    <row r="69" spans="2:21">
      <c r="B69" s="38">
        <v>12</v>
      </c>
      <c r="C69" s="39">
        <v>420</v>
      </c>
      <c r="D69" s="39">
        <v>31</v>
      </c>
      <c r="E69" s="39">
        <v>40</v>
      </c>
      <c r="F69" s="39">
        <v>100</v>
      </c>
      <c r="G69" s="40">
        <f>B69*Assumptions!$C$19*365*24*Assumptions!$D$26*1000/(Assumptions!$G$12*0.001) /10^9</f>
        <v>11.926795087504766</v>
      </c>
      <c r="H69" s="40">
        <f>C69*Assumptions!$C$20*365*24*Assumptions!$D$30*1000/(Assumptions!$G$12*0.001) /10^9</f>
        <v>68.485709610199294</v>
      </c>
      <c r="I69" s="40">
        <f>E69*Assumptions!$C$46/(Assumptions!$G$12*0.001) /10^9</f>
        <v>1.8337460843172952</v>
      </c>
      <c r="J69" s="40">
        <f>D69*Assumptions!$C$56/(Assumptions!$G$12*0.001) /10^9</f>
        <v>1.6026802995465081</v>
      </c>
      <c r="K69" s="40">
        <f>F69*Assumptions!$C$65/(Assumptions!$G$12*0.001) /10^9</f>
        <v>4.3296782546380586</v>
      </c>
      <c r="L69" s="47">
        <f>4*Assumptions!$C$10/Assumptions!$G$12</f>
        <v>3.717312990995091</v>
      </c>
      <c r="M69" s="45">
        <v>79.599999999999994</v>
      </c>
      <c r="N69" s="39">
        <v>72</v>
      </c>
      <c r="O69" s="44">
        <f>N69*Assumptions!$C$97/(Assumptions!$G$13*0.001) /10^9*M69/100</f>
        <v>22.345590930215721</v>
      </c>
      <c r="P69" s="48">
        <f>Assumptions!$C$115*Assumptions!$C$113/(Assumptions!$G$13*0.001) /10^9</f>
        <v>4.3917597561181276</v>
      </c>
      <c r="Q69" s="42">
        <f t="shared" si="3"/>
        <v>118.63327301353488</v>
      </c>
      <c r="S69" s="29" t="str">
        <f t="shared" si="4"/>
        <v>(420,31,40,100,72,0.8)</v>
      </c>
      <c r="U69" s="29" t="str">
        <f t="shared" si="2"/>
        <v>(420,31,40)</v>
      </c>
    </row>
    <row r="70" spans="2:21">
      <c r="B70" s="38">
        <v>12</v>
      </c>
      <c r="C70" s="39">
        <v>420</v>
      </c>
      <c r="D70" s="39">
        <v>31</v>
      </c>
      <c r="E70" s="39">
        <v>50</v>
      </c>
      <c r="F70" s="39">
        <v>100</v>
      </c>
      <c r="G70" s="40">
        <f>B70*Assumptions!$C$19*365*24*Assumptions!$D$26*1000/(Assumptions!$G$12*0.001) /10^9</f>
        <v>11.926795087504766</v>
      </c>
      <c r="H70" s="40">
        <f>C70*Assumptions!$C$20*365*24*Assumptions!$D$30*1000/(Assumptions!$G$12*0.001) /10^9</f>
        <v>68.485709610199294</v>
      </c>
      <c r="I70" s="40">
        <f>E70*Assumptions!$C$46/(Assumptions!$G$12*0.001) /10^9</f>
        <v>2.2921826053966194</v>
      </c>
      <c r="J70" s="40">
        <f>D70*Assumptions!$C$56/(Assumptions!$G$12*0.001) /10^9</f>
        <v>1.6026802995465081</v>
      </c>
      <c r="K70" s="40">
        <f>F70*Assumptions!$C$65/(Assumptions!$G$12*0.001) /10^9</f>
        <v>4.3296782546380586</v>
      </c>
      <c r="L70" s="47">
        <f>4*Assumptions!$C$10/Assumptions!$G$12</f>
        <v>3.717312990995091</v>
      </c>
      <c r="M70" s="45">
        <v>80.739999999999995</v>
      </c>
      <c r="N70" s="39">
        <v>70</v>
      </c>
      <c r="O70" s="44">
        <f>N70*Assumptions!$C$97/(Assumptions!$G$13*0.001) /10^9*M70/100</f>
        <v>22.036015288140916</v>
      </c>
      <c r="P70" s="48">
        <f>Assumptions!$C$115*Assumptions!$C$113/(Assumptions!$G$13*0.001) /10^9</f>
        <v>4.3917597561181276</v>
      </c>
      <c r="Q70" s="42">
        <f t="shared" si="3"/>
        <v>118.78213389253939</v>
      </c>
      <c r="S70" s="29" t="str">
        <f t="shared" si="4"/>
        <v>(420,31,50,100,70,0.81)</v>
      </c>
      <c r="U70" s="29" t="str">
        <f t="shared" ref="U70:U75" si="5">CONCATENATE("(",C70,",",D70,",",E70,")")</f>
        <v>(420,31,50)</v>
      </c>
    </row>
    <row r="71" spans="2:21">
      <c r="B71" s="38">
        <v>12</v>
      </c>
      <c r="C71" s="39">
        <v>420</v>
      </c>
      <c r="D71" s="39">
        <v>31</v>
      </c>
      <c r="E71" s="39">
        <v>60</v>
      </c>
      <c r="F71" s="39">
        <v>100</v>
      </c>
      <c r="G71" s="40">
        <f>B71*Assumptions!$C$19*365*24*Assumptions!$D$26*1000/(Assumptions!$G$12*0.001) /10^9</f>
        <v>11.926795087504766</v>
      </c>
      <c r="H71" s="40">
        <f>C71*Assumptions!$C$20*365*24*Assumptions!$D$30*1000/(Assumptions!$G$12*0.001) /10^9</f>
        <v>68.485709610199294</v>
      </c>
      <c r="I71" s="40">
        <f>E71*Assumptions!$C$46/(Assumptions!$G$12*0.001) /10^9</f>
        <v>2.7506191264759434</v>
      </c>
      <c r="J71" s="40">
        <f>D71*Assumptions!$C$56/(Assumptions!$G$12*0.001) /10^9</f>
        <v>1.6026802995465081</v>
      </c>
      <c r="K71" s="40">
        <f>F71*Assumptions!$C$65/(Assumptions!$G$12*0.001) /10^9</f>
        <v>4.3296782546380586</v>
      </c>
      <c r="L71" s="47">
        <f>4*Assumptions!$C$10/Assumptions!$G$12</f>
        <v>3.717312990995091</v>
      </c>
      <c r="M71" s="45">
        <v>81.400000000000006</v>
      </c>
      <c r="N71" s="39">
        <v>69</v>
      </c>
      <c r="O71" s="44">
        <f>N71*Assumptions!$C$97/(Assumptions!$G$13*0.001) /10^9*M71/100</f>
        <v>21.898772686112792</v>
      </c>
      <c r="P71" s="48">
        <f>Assumptions!$C$115*Assumptions!$C$113/(Assumptions!$G$13*0.001) /10^9</f>
        <v>4.3917597561181276</v>
      </c>
      <c r="Q71" s="42">
        <f t="shared" si="3"/>
        <v>119.10332781159059</v>
      </c>
      <c r="S71" s="29" t="str">
        <f t="shared" si="4"/>
        <v>(420,31,60,100,69,0.81)</v>
      </c>
      <c r="U71" s="29" t="str">
        <f t="shared" si="5"/>
        <v>(420,31,60)</v>
      </c>
    </row>
    <row r="72" spans="2:21">
      <c r="B72" s="38">
        <v>12</v>
      </c>
      <c r="C72" s="39">
        <v>420</v>
      </c>
      <c r="D72" s="39">
        <v>31</v>
      </c>
      <c r="E72" s="39">
        <v>70</v>
      </c>
      <c r="F72" s="39">
        <v>100</v>
      </c>
      <c r="G72" s="40">
        <f>B72*Assumptions!$C$19*365*24*Assumptions!$D$26*1000/(Assumptions!$G$12*0.001) /10^9</f>
        <v>11.926795087504766</v>
      </c>
      <c r="H72" s="40">
        <f>C72*Assumptions!$C$20*365*24*Assumptions!$D$30*1000/(Assumptions!$G$12*0.001) /10^9</f>
        <v>68.485709610199294</v>
      </c>
      <c r="I72" s="40">
        <f>E72*Assumptions!$C$46/(Assumptions!$G$12*0.001) /10^9</f>
        <v>3.209055647555267</v>
      </c>
      <c r="J72" s="40">
        <f>D72*Assumptions!$C$56/(Assumptions!$G$12*0.001) /10^9</f>
        <v>1.6026802995465081</v>
      </c>
      <c r="K72" s="40">
        <f>F72*Assumptions!$C$65/(Assumptions!$G$12*0.001) /10^9</f>
        <v>4.3296782546380586</v>
      </c>
      <c r="L72" s="47">
        <f>4*Assumptions!$C$10/Assumptions!$G$12</f>
        <v>3.717312990995091</v>
      </c>
      <c r="M72" s="45">
        <v>81.81</v>
      </c>
      <c r="N72" s="39">
        <v>69</v>
      </c>
      <c r="O72" s="44">
        <f>N72*Assumptions!$C$97/(Assumptions!$G$13*0.001) /10^9*M72/100</f>
        <v>22.009073629617784</v>
      </c>
      <c r="P72" s="48">
        <f>Assumptions!$C$115*Assumptions!$C$113/(Assumptions!$G$13*0.001) /10^9</f>
        <v>4.3917597561181276</v>
      </c>
      <c r="Q72" s="42">
        <f t="shared" si="3"/>
        <v>119.67206527617491</v>
      </c>
      <c r="S72" s="29" t="str">
        <f t="shared" si="4"/>
        <v>(420,31,70,100,69,0.82)</v>
      </c>
      <c r="U72" s="29" t="str">
        <f t="shared" si="5"/>
        <v>(420,31,70)</v>
      </c>
    </row>
    <row r="73" spans="2:21">
      <c r="B73" s="38">
        <v>12</v>
      </c>
      <c r="C73" s="39">
        <v>420</v>
      </c>
      <c r="D73" s="39">
        <v>31</v>
      </c>
      <c r="E73" s="39">
        <v>80</v>
      </c>
      <c r="F73" s="39">
        <v>100</v>
      </c>
      <c r="G73" s="40">
        <f>B73*Assumptions!$C$19*365*24*Assumptions!$D$26*1000/(Assumptions!$G$12*0.001) /10^9</f>
        <v>11.926795087504766</v>
      </c>
      <c r="H73" s="40">
        <f>C73*Assumptions!$C$20*365*24*Assumptions!$D$30*1000/(Assumptions!$G$12*0.001) /10^9</f>
        <v>68.485709610199294</v>
      </c>
      <c r="I73" s="40">
        <f>E73*Assumptions!$C$46/(Assumptions!$G$12*0.001) /10^9</f>
        <v>3.6674921686345905</v>
      </c>
      <c r="J73" s="40">
        <f>D73*Assumptions!$C$56/(Assumptions!$G$12*0.001) /10^9</f>
        <v>1.6026802995465081</v>
      </c>
      <c r="K73" s="40">
        <f>F73*Assumptions!$C$65/(Assumptions!$G$12*0.001) /10^9</f>
        <v>4.3296782546380586</v>
      </c>
      <c r="L73" s="47">
        <f>4*Assumptions!$C$10/Assumptions!$G$12</f>
        <v>3.717312990995091</v>
      </c>
      <c r="M73" s="45">
        <v>82.03</v>
      </c>
      <c r="N73" s="39">
        <v>69</v>
      </c>
      <c r="O73" s="44">
        <f>N73*Assumptions!$C$97/(Assumptions!$G$13*0.001) /10^9*M73/100</f>
        <v>22.068259501742411</v>
      </c>
      <c r="P73" s="48">
        <f>Assumptions!$C$115*Assumptions!$C$113/(Assumptions!$G$13*0.001) /10^9</f>
        <v>4.3917597561181276</v>
      </c>
      <c r="Q73" s="42">
        <f t="shared" si="3"/>
        <v>120.18968766937887</v>
      </c>
      <c r="S73" s="29" t="str">
        <f t="shared" si="4"/>
        <v>(420,31,80,100,69,0.82)</v>
      </c>
      <c r="U73" s="29" t="str">
        <f t="shared" si="5"/>
        <v>(420,31,80)</v>
      </c>
    </row>
    <row r="74" spans="2:21">
      <c r="B74" s="38">
        <v>12</v>
      </c>
      <c r="C74" s="39">
        <v>420</v>
      </c>
      <c r="D74" s="39">
        <v>31</v>
      </c>
      <c r="E74" s="39">
        <v>90</v>
      </c>
      <c r="F74" s="39">
        <v>100</v>
      </c>
      <c r="G74" s="40">
        <f>B74*Assumptions!$C$19*365*24*Assumptions!$D$26*1000/(Assumptions!$G$12*0.001) /10^9</f>
        <v>11.926795087504766</v>
      </c>
      <c r="H74" s="40">
        <f>C74*Assumptions!$C$20*365*24*Assumptions!$D$30*1000/(Assumptions!$G$12*0.001) /10^9</f>
        <v>68.485709610199294</v>
      </c>
      <c r="I74" s="40">
        <f>E74*Assumptions!$C$46/(Assumptions!$G$12*0.001) /10^9</f>
        <v>4.1259286897139145</v>
      </c>
      <c r="J74" s="40">
        <f>D74*Assumptions!$C$56/(Assumptions!$G$12*0.001) /10^9</f>
        <v>1.6026802995465081</v>
      </c>
      <c r="K74" s="40">
        <f>F74*Assumptions!$C$65/(Assumptions!$G$12*0.001) /10^9</f>
        <v>4.3296782546380586</v>
      </c>
      <c r="L74" s="47">
        <f>4*Assumptions!$C$10/Assumptions!$G$12</f>
        <v>3.717312990995091</v>
      </c>
      <c r="M74" s="45">
        <v>82.16</v>
      </c>
      <c r="N74" s="39">
        <v>69</v>
      </c>
      <c r="O74" s="44">
        <f>N74*Assumptions!$C$97/(Assumptions!$G$13*0.001) /10^9*M74/100</f>
        <v>22.103232971634238</v>
      </c>
      <c r="P74" s="48">
        <f>Assumptions!$C$115*Assumptions!$C$113/(Assumptions!$G$13*0.001) /10^9</f>
        <v>4.3917597561181276</v>
      </c>
      <c r="Q74" s="42">
        <f t="shared" si="3"/>
        <v>120.68309766035001</v>
      </c>
      <c r="S74" s="29" t="str">
        <f t="shared" si="4"/>
        <v>(420,31,90,100,69,0.82)</v>
      </c>
      <c r="U74" s="29" t="str">
        <f t="shared" si="5"/>
        <v>(420,31,90)</v>
      </c>
    </row>
    <row r="75" spans="2:21">
      <c r="B75" s="38">
        <v>12</v>
      </c>
      <c r="C75" s="39">
        <v>420</v>
      </c>
      <c r="D75" s="39">
        <v>31</v>
      </c>
      <c r="E75" s="39">
        <v>100</v>
      </c>
      <c r="F75" s="39">
        <v>100</v>
      </c>
      <c r="G75" s="40">
        <f>B75*Assumptions!$C$19*365*24*Assumptions!$D$26*1000/(Assumptions!$G$12*0.001) /10^9</f>
        <v>11.926795087504766</v>
      </c>
      <c r="H75" s="40">
        <f>C75*Assumptions!$C$20*365*24*Assumptions!$D$30*1000/(Assumptions!$G$12*0.001) /10^9</f>
        <v>68.485709610199294</v>
      </c>
      <c r="I75" s="40">
        <f>E75*Assumptions!$C$46/(Assumptions!$G$12*0.001) /10^9</f>
        <v>4.5843652107932389</v>
      </c>
      <c r="J75" s="40">
        <f>D75*Assumptions!$C$56/(Assumptions!$G$12*0.001) /10^9</f>
        <v>1.6026802995465081</v>
      </c>
      <c r="K75" s="40">
        <f>F75*Assumptions!$C$65/(Assumptions!$G$12*0.001) /10^9</f>
        <v>4.3296782546380586</v>
      </c>
      <c r="L75" s="47">
        <f>4*Assumptions!$C$10/Assumptions!$G$12</f>
        <v>3.717312990995091</v>
      </c>
      <c r="M75" s="45">
        <v>82.29</v>
      </c>
      <c r="N75" s="39">
        <v>69</v>
      </c>
      <c r="O75" s="44">
        <f>N75*Assumptions!$C$97/(Assumptions!$G$13*0.001) /10^9*M75/100</f>
        <v>22.138206441526066</v>
      </c>
      <c r="P75" s="48">
        <f>Assumptions!$C$115*Assumptions!$C$113/(Assumptions!$G$13*0.001) /10^9</f>
        <v>4.3917597561181276</v>
      </c>
      <c r="Q75" s="42">
        <f t="shared" si="3"/>
        <v>121.17650765132116</v>
      </c>
      <c r="S75" s="29" t="str">
        <f t="shared" si="4"/>
        <v>(420,31,100,100,69,0.82)</v>
      </c>
      <c r="U75" s="29" t="str">
        <f t="shared" si="5"/>
        <v>(420,31,100)</v>
      </c>
    </row>
  </sheetData>
  <autoFilter ref="B4:N4"/>
  <mergeCells count="2">
    <mergeCell ref="G2:L2"/>
    <mergeCell ref="M2:R2"/>
  </mergeCells>
  <phoneticPr fontId="15"/>
  <conditionalFormatting sqref="C5:C75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  <cfRule type="colorScale" priority="2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9:C7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:Q7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111"/>
  <sheetViews>
    <sheetView showGridLines="0" topLeftCell="I1" zoomScale="88" zoomScaleNormal="70" workbookViewId="0">
      <pane ySplit="4" topLeftCell="A77" activePane="bottomLeft" state="frozen"/>
      <selection pane="bottomLeft" activeCell="M85" sqref="M85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>
        <v>420</v>
      </c>
      <c r="D5" s="39">
        <v>31</v>
      </c>
      <c r="E5">
        <v>60</v>
      </c>
      <c r="F5" s="39">
        <v>100</v>
      </c>
      <c r="G5" s="40">
        <f>B5*Assumptions!$C$19*365*24*Assumptions!$D$26*1000/(Assumptions!$G$14*0.001) /10^9</f>
        <v>11.502397866094725</v>
      </c>
      <c r="H5" s="40">
        <f>C5*Assumptions!$C$20*365*24*Assumptions!$D$30*1000/(Assumptions!$G$14*0.001) /10^9</f>
        <v>66.048747739753978</v>
      </c>
      <c r="I5" s="40">
        <f>E5*Assumptions!$C$46/(Assumptions!$G$14*0.001) /10^9</f>
        <v>2.652742445786032</v>
      </c>
      <c r="J5" s="40">
        <f>D5*Assumptions!$C$56/(Assumptions!$G$14*0.001) /10^9</f>
        <v>1.5456513105393319</v>
      </c>
      <c r="K5" s="40">
        <f>F5*Assumptions!$C$65/(Assumptions!$G$14*0.001) /10^9</f>
        <v>4.1756131091076423</v>
      </c>
      <c r="L5" s="47">
        <f>4*Assumptions!$C$10/Assumptions!$G$14</f>
        <v>3.5850379503898764</v>
      </c>
      <c r="M5" s="46">
        <v>81.400000000000006</v>
      </c>
      <c r="N5">
        <v>188</v>
      </c>
      <c r="O5" s="44">
        <f>N5*Assumptions!$C$97/(Assumptions!$G$15*0.001) /10^9*M5/100</f>
        <v>48.687135161506767</v>
      </c>
      <c r="P5" s="48">
        <f>Assumptions!$C$115*Assumptions!$C$113/(Assumptions!$G$15*0.001) /10^9</f>
        <v>3.5836390578944357</v>
      </c>
      <c r="Q5" s="42">
        <f>SUM(G5:L5)+O5+P5</f>
        <v>141.78096464107279</v>
      </c>
      <c r="S5" s="29" t="str">
        <f>CONCATENATE("(",C5,",",D5,",",E5,",",F5,",",ROUND(N5,0),",",ROUND(M5/100,2),")")</f>
        <v>(420,31,60,100,188,0.81)</v>
      </c>
    </row>
    <row r="6" spans="2:19">
      <c r="B6" s="38">
        <v>12</v>
      </c>
      <c r="C6">
        <v>420</v>
      </c>
      <c r="D6" s="39">
        <v>31</v>
      </c>
      <c r="E6">
        <v>70</v>
      </c>
      <c r="F6" s="39">
        <v>100</v>
      </c>
      <c r="G6" s="40">
        <f>B6*Assumptions!$C$19*365*24*Assumptions!$D$26*1000/(Assumptions!$G$14*0.001) /10^9</f>
        <v>11.502397866094725</v>
      </c>
      <c r="H6" s="40">
        <f>C6*Assumptions!$C$20*365*24*Assumptions!$D$30*1000/(Assumptions!$G$14*0.001) /10^9</f>
        <v>66.048747739753978</v>
      </c>
      <c r="I6" s="40">
        <f>E6*Assumptions!$C$46/(Assumptions!$G$14*0.001) /10^9</f>
        <v>3.0948661867503704</v>
      </c>
      <c r="J6" s="40">
        <f>D6*Assumptions!$C$56/(Assumptions!$G$14*0.001) /10^9</f>
        <v>1.5456513105393319</v>
      </c>
      <c r="K6" s="40">
        <f>F6*Assumptions!$C$65/(Assumptions!$G$14*0.001) /10^9</f>
        <v>4.1756131091076423</v>
      </c>
      <c r="L6" s="47">
        <f>4*Assumptions!$C$10/Assumptions!$G$14</f>
        <v>3.5850379503898764</v>
      </c>
      <c r="M6" s="46">
        <v>81.81</v>
      </c>
      <c r="N6">
        <v>183</v>
      </c>
      <c r="O6" s="44">
        <f>N6*Assumptions!$C$97/(Assumptions!$G$15*0.001) /10^9*M6/100</f>
        <v>47.630972511893262</v>
      </c>
      <c r="P6" s="48">
        <f>Assumptions!$C$115*Assumptions!$C$113/(Assumptions!$G$15*0.001) /10^9</f>
        <v>3.5836390578944357</v>
      </c>
      <c r="Q6" s="42">
        <f t="shared" ref="Q6:Q69" si="0">SUM(G6:L6)+O6+P6</f>
        <v>141.16692573242361</v>
      </c>
      <c r="S6" s="29" t="str">
        <f t="shared" ref="S6:S69" si="1">CONCATENATE("(",C6,",",D6,",",E6,",",F6,",",ROUND(N6,0),",",ROUND(M6/100,2),")")</f>
        <v>(420,31,70,100,183,0.82)</v>
      </c>
    </row>
    <row r="7" spans="2:19">
      <c r="B7" s="38">
        <v>12</v>
      </c>
      <c r="C7">
        <v>420</v>
      </c>
      <c r="D7" s="39">
        <v>31</v>
      </c>
      <c r="E7">
        <v>80</v>
      </c>
      <c r="F7" s="39">
        <v>100</v>
      </c>
      <c r="G7" s="40">
        <f>B7*Assumptions!$C$19*365*24*Assumptions!$D$26*1000/(Assumptions!$G$14*0.001) /10^9</f>
        <v>11.502397866094725</v>
      </c>
      <c r="H7" s="40">
        <f>C7*Assumptions!$C$20*365*24*Assumptions!$D$30*1000/(Assumptions!$G$14*0.001) /10^9</f>
        <v>66.048747739753978</v>
      </c>
      <c r="I7" s="40">
        <f>E7*Assumptions!$C$46/(Assumptions!$G$14*0.001) /10^9</f>
        <v>3.5369899277147088</v>
      </c>
      <c r="J7" s="40">
        <f>D7*Assumptions!$C$56/(Assumptions!$G$14*0.001) /10^9</f>
        <v>1.5456513105393319</v>
      </c>
      <c r="K7" s="40">
        <f>F7*Assumptions!$C$65/(Assumptions!$G$14*0.001) /10^9</f>
        <v>4.1756131091076423</v>
      </c>
      <c r="L7" s="47">
        <f>4*Assumptions!$C$10/Assumptions!$G$14</f>
        <v>3.5850379503898764</v>
      </c>
      <c r="M7" s="46">
        <v>82.03</v>
      </c>
      <c r="N7">
        <v>181</v>
      </c>
      <c r="O7" s="44">
        <f>N7*Assumptions!$C$97/(Assumptions!$G$15*0.001) /10^9*M7/100</f>
        <v>47.237102776609497</v>
      </c>
      <c r="P7" s="48">
        <f>Assumptions!$C$115*Assumptions!$C$113/(Assumptions!$G$15*0.001) /10^9</f>
        <v>3.5836390578944357</v>
      </c>
      <c r="Q7" s="42">
        <f t="shared" si="0"/>
        <v>141.21517973810418</v>
      </c>
      <c r="S7" s="29" t="str">
        <f t="shared" si="1"/>
        <v>(420,31,80,100,181,0.82)</v>
      </c>
    </row>
    <row r="8" spans="2:19">
      <c r="B8" s="38">
        <v>12</v>
      </c>
      <c r="C8">
        <v>420</v>
      </c>
      <c r="D8" s="39">
        <v>31</v>
      </c>
      <c r="E8">
        <v>90</v>
      </c>
      <c r="F8" s="39">
        <v>100</v>
      </c>
      <c r="G8" s="40">
        <f>B8*Assumptions!$C$19*365*24*Assumptions!$D$26*1000/(Assumptions!$G$14*0.001) /10^9</f>
        <v>11.502397866094725</v>
      </c>
      <c r="H8" s="40">
        <f>C8*Assumptions!$C$20*365*24*Assumptions!$D$30*1000/(Assumptions!$G$14*0.001) /10^9</f>
        <v>66.048747739753978</v>
      </c>
      <c r="I8" s="40">
        <f>E8*Assumptions!$C$46/(Assumptions!$G$14*0.001) /10^9</f>
        <v>3.979113668679048</v>
      </c>
      <c r="J8" s="40">
        <f>D8*Assumptions!$C$56/(Assumptions!$G$14*0.001) /10^9</f>
        <v>1.5456513105393319</v>
      </c>
      <c r="K8" s="40">
        <f>F8*Assumptions!$C$65/(Assumptions!$G$14*0.001) /10^9</f>
        <v>4.1756131091076423</v>
      </c>
      <c r="L8" s="47">
        <f>4*Assumptions!$C$10/Assumptions!$G$14</f>
        <v>3.5850379503898764</v>
      </c>
      <c r="M8" s="46">
        <v>82.16</v>
      </c>
      <c r="N8">
        <v>179</v>
      </c>
      <c r="O8" s="44">
        <f>N8*Assumptions!$C$97/(Assumptions!$G$15*0.001) /10^9*M8/100</f>
        <v>46.789179351483469</v>
      </c>
      <c r="P8" s="48">
        <f>Assumptions!$C$115*Assumptions!$C$113/(Assumptions!$G$15*0.001) /10^9</f>
        <v>3.5836390578944357</v>
      </c>
      <c r="Q8" s="42">
        <f t="shared" si="0"/>
        <v>141.20938005394251</v>
      </c>
      <c r="S8" s="29" t="str">
        <f t="shared" si="1"/>
        <v>(420,31,90,100,179,0.82)</v>
      </c>
    </row>
    <row r="9" spans="2:19">
      <c r="B9" s="38">
        <v>12</v>
      </c>
      <c r="C9">
        <v>420</v>
      </c>
      <c r="D9" s="39">
        <v>31</v>
      </c>
      <c r="E9">
        <v>100</v>
      </c>
      <c r="F9" s="39">
        <v>100</v>
      </c>
      <c r="G9" s="40">
        <f>B9*Assumptions!$C$19*365*24*Assumptions!$D$26*1000/(Assumptions!$G$14*0.001) /10^9</f>
        <v>11.502397866094725</v>
      </c>
      <c r="H9" s="40">
        <f>C9*Assumptions!$C$20*365*24*Assumptions!$D$30*1000/(Assumptions!$G$14*0.001) /10^9</f>
        <v>66.048747739753978</v>
      </c>
      <c r="I9" s="40">
        <f>E9*Assumptions!$C$46/(Assumptions!$G$14*0.001) /10^9</f>
        <v>4.4212374096433864</v>
      </c>
      <c r="J9" s="40">
        <f>D9*Assumptions!$C$56/(Assumptions!$G$14*0.001) /10^9</f>
        <v>1.5456513105393319</v>
      </c>
      <c r="K9" s="40">
        <f>F9*Assumptions!$C$65/(Assumptions!$G$14*0.001) /10^9</f>
        <v>4.1756131091076423</v>
      </c>
      <c r="L9" s="47">
        <f>4*Assumptions!$C$10/Assumptions!$G$14</f>
        <v>3.5850379503898764</v>
      </c>
      <c r="M9" s="46">
        <v>82.29</v>
      </c>
      <c r="N9">
        <v>178</v>
      </c>
      <c r="O9" s="44">
        <f>N9*Assumptions!$C$97/(Assumptions!$G$15*0.001) /10^9*M9/100</f>
        <v>46.601407204662422</v>
      </c>
      <c r="P9" s="48">
        <f>Assumptions!$C$115*Assumptions!$C$113/(Assumptions!$G$15*0.001) /10^9</f>
        <v>3.5836390578944357</v>
      </c>
      <c r="Q9" s="42">
        <f t="shared" si="0"/>
        <v>141.46373164808577</v>
      </c>
      <c r="S9" s="29" t="str">
        <f t="shared" si="1"/>
        <v>(420,31,100,100,178,0.82)</v>
      </c>
    </row>
    <row r="10" spans="2:19">
      <c r="B10" s="38">
        <v>12</v>
      </c>
      <c r="C10">
        <v>430</v>
      </c>
      <c r="D10" s="39">
        <v>31</v>
      </c>
      <c r="E10">
        <v>50</v>
      </c>
      <c r="F10" s="39">
        <v>100</v>
      </c>
      <c r="G10" s="40">
        <f>B10*Assumptions!$C$19*365*24*Assumptions!$D$26*1000/(Assumptions!$G$14*0.001) /10^9</f>
        <v>11.502397866094725</v>
      </c>
      <c r="H10" s="40">
        <f>C10*Assumptions!$C$20*365*24*Assumptions!$D$30*1000/(Assumptions!$G$14*0.001) /10^9</f>
        <v>67.621336971652894</v>
      </c>
      <c r="I10" s="40">
        <f>E10*Assumptions!$C$46/(Assumptions!$G$14*0.001) /10^9</f>
        <v>2.2106187048216932</v>
      </c>
      <c r="J10" s="40">
        <f>D10*Assumptions!$C$56/(Assumptions!$G$14*0.001) /10^9</f>
        <v>1.5456513105393319</v>
      </c>
      <c r="K10" s="40">
        <f>F10*Assumptions!$C$65/(Assumptions!$G$14*0.001) /10^9</f>
        <v>4.1756131091076423</v>
      </c>
      <c r="L10" s="47">
        <f>4*Assumptions!$C$10/Assumptions!$G$14</f>
        <v>3.5850379503898764</v>
      </c>
      <c r="M10" s="46">
        <v>82.19</v>
      </c>
      <c r="N10">
        <v>164</v>
      </c>
      <c r="O10" s="44">
        <f>N10*Assumptions!$C$97/(Assumptions!$G$15*0.001) /10^9*M10/100</f>
        <v>42.883951381644067</v>
      </c>
      <c r="P10" s="48">
        <f>Assumptions!$C$115*Assumptions!$C$113/(Assumptions!$G$15*0.001) /10^9</f>
        <v>3.5836390578944357</v>
      </c>
      <c r="Q10" s="42">
        <f t="shared" si="0"/>
        <v>137.10824635214468</v>
      </c>
      <c r="S10" s="29" t="str">
        <f t="shared" si="1"/>
        <v>(430,31,50,100,164,0.82)</v>
      </c>
    </row>
    <row r="11" spans="2:19">
      <c r="B11" s="38">
        <v>12</v>
      </c>
      <c r="C11">
        <v>430</v>
      </c>
      <c r="D11" s="39">
        <v>31</v>
      </c>
      <c r="E11">
        <v>60</v>
      </c>
      <c r="F11" s="39">
        <v>100</v>
      </c>
      <c r="G11" s="40">
        <f>B11*Assumptions!$C$19*365*24*Assumptions!$D$26*1000/(Assumptions!$G$14*0.001) /10^9</f>
        <v>11.502397866094725</v>
      </c>
      <c r="H11" s="40">
        <f>C11*Assumptions!$C$20*365*24*Assumptions!$D$30*1000/(Assumptions!$G$14*0.001) /10^9</f>
        <v>67.621336971652894</v>
      </c>
      <c r="I11" s="40">
        <f>E11*Assumptions!$C$46/(Assumptions!$G$14*0.001) /10^9</f>
        <v>2.652742445786032</v>
      </c>
      <c r="J11" s="40">
        <f>D11*Assumptions!$C$56/(Assumptions!$G$14*0.001) /10^9</f>
        <v>1.5456513105393319</v>
      </c>
      <c r="K11" s="40">
        <f>F11*Assumptions!$C$65/(Assumptions!$G$14*0.001) /10^9</f>
        <v>4.1756131091076423</v>
      </c>
      <c r="L11" s="47">
        <f>4*Assumptions!$C$10/Assumptions!$G$14</f>
        <v>3.5850379503898764</v>
      </c>
      <c r="M11" s="46">
        <v>82.83</v>
      </c>
      <c r="N11">
        <v>160</v>
      </c>
      <c r="O11" s="44">
        <f>N11*Assumptions!$C$97/(Assumptions!$G$15*0.001) /10^9*M11/100</f>
        <v>42.163786977130066</v>
      </c>
      <c r="P11" s="48">
        <f>Assumptions!$C$115*Assumptions!$C$113/(Assumptions!$G$15*0.001) /10^9</f>
        <v>3.5836390578944357</v>
      </c>
      <c r="Q11" s="42">
        <f t="shared" si="0"/>
        <v>136.83020568859499</v>
      </c>
      <c r="S11" s="29" t="str">
        <f t="shared" si="1"/>
        <v>(430,31,60,100,160,0.83)</v>
      </c>
    </row>
    <row r="12" spans="2:19" ht="16.95" customHeight="1">
      <c r="B12" s="38">
        <v>12</v>
      </c>
      <c r="C12">
        <v>430</v>
      </c>
      <c r="D12" s="39">
        <v>31</v>
      </c>
      <c r="E12">
        <v>70</v>
      </c>
      <c r="F12" s="39">
        <v>100</v>
      </c>
      <c r="G12" s="40">
        <f>B12*Assumptions!$C$19*365*24*Assumptions!$D$26*1000/(Assumptions!$G$14*0.001) /10^9</f>
        <v>11.502397866094725</v>
      </c>
      <c r="H12" s="40">
        <f>C12*Assumptions!$C$20*365*24*Assumptions!$D$30*1000/(Assumptions!$G$14*0.001) /10^9</f>
        <v>67.621336971652894</v>
      </c>
      <c r="I12" s="40">
        <f>E12*Assumptions!$C$46/(Assumptions!$G$14*0.001) /10^9</f>
        <v>3.0948661867503704</v>
      </c>
      <c r="J12" s="40">
        <f>D12*Assumptions!$C$56/(Assumptions!$G$14*0.001) /10^9</f>
        <v>1.5456513105393319</v>
      </c>
      <c r="K12" s="40">
        <f>F12*Assumptions!$C$65/(Assumptions!$G$14*0.001) /10^9</f>
        <v>4.1756131091076423</v>
      </c>
      <c r="L12" s="47">
        <f>4*Assumptions!$C$10/Assumptions!$G$14</f>
        <v>3.5850379503898764</v>
      </c>
      <c r="M12" s="46">
        <v>83.12</v>
      </c>
      <c r="N12">
        <v>158</v>
      </c>
      <c r="O12" s="44">
        <f>N12*Assumptions!$C$97/(Assumptions!$G$15*0.001) /10^9*M12/100</f>
        <v>41.782515982974928</v>
      </c>
      <c r="P12" s="48">
        <f>Assumptions!$C$115*Assumptions!$C$113/(Assumptions!$G$15*0.001) /10^9</f>
        <v>3.5836390578944357</v>
      </c>
      <c r="Q12" s="42">
        <f t="shared" si="0"/>
        <v>136.89105843540418</v>
      </c>
      <c r="S12" s="29" t="str">
        <f t="shared" si="1"/>
        <v>(430,31,70,100,158,0.83)</v>
      </c>
    </row>
    <row r="13" spans="2:19">
      <c r="B13" s="38">
        <v>12</v>
      </c>
      <c r="C13">
        <v>430</v>
      </c>
      <c r="D13" s="39">
        <v>31</v>
      </c>
      <c r="E13">
        <v>80</v>
      </c>
      <c r="F13" s="39">
        <v>100</v>
      </c>
      <c r="G13" s="40">
        <f>B13*Assumptions!$C$19*365*24*Assumptions!$D$26*1000/(Assumptions!$G$14*0.001) /10^9</f>
        <v>11.502397866094725</v>
      </c>
      <c r="H13" s="40">
        <f>C13*Assumptions!$C$20*365*24*Assumptions!$D$30*1000/(Assumptions!$G$14*0.001) /10^9</f>
        <v>67.621336971652894</v>
      </c>
      <c r="I13" s="40">
        <f>E13*Assumptions!$C$46/(Assumptions!$G$14*0.001) /10^9</f>
        <v>3.5369899277147088</v>
      </c>
      <c r="J13" s="40">
        <f>D13*Assumptions!$C$56/(Assumptions!$G$14*0.001) /10^9</f>
        <v>1.5456513105393319</v>
      </c>
      <c r="K13" s="40">
        <f>F13*Assumptions!$C$65/(Assumptions!$G$14*0.001) /10^9</f>
        <v>4.1756131091076423</v>
      </c>
      <c r="L13" s="47">
        <f>4*Assumptions!$C$10/Assumptions!$G$14</f>
        <v>3.5850379503898764</v>
      </c>
      <c r="M13" s="46">
        <v>83.35</v>
      </c>
      <c r="N13">
        <v>156</v>
      </c>
      <c r="O13" s="44">
        <f>N13*Assumptions!$C$97/(Assumptions!$G$15*0.001) /10^9*M13/100</f>
        <v>41.367775605821514</v>
      </c>
      <c r="P13" s="48">
        <f>Assumptions!$C$115*Assumptions!$C$113/(Assumptions!$G$15*0.001) /10^9</f>
        <v>3.5836390578944357</v>
      </c>
      <c r="Q13" s="42">
        <f t="shared" si="0"/>
        <v>136.91844179921512</v>
      </c>
      <c r="S13" s="29" t="str">
        <f t="shared" si="1"/>
        <v>(430,31,80,100,156,0.83)</v>
      </c>
    </row>
    <row r="14" spans="2:19">
      <c r="B14" s="38">
        <v>12</v>
      </c>
      <c r="C14">
        <v>430</v>
      </c>
      <c r="D14" s="39">
        <v>31</v>
      </c>
      <c r="E14">
        <v>90</v>
      </c>
      <c r="F14" s="39">
        <v>100</v>
      </c>
      <c r="G14" s="40">
        <f>B14*Assumptions!$C$19*365*24*Assumptions!$D$26*1000/(Assumptions!$G$14*0.001) /10^9</f>
        <v>11.502397866094725</v>
      </c>
      <c r="H14" s="40">
        <f>C14*Assumptions!$C$20*365*24*Assumptions!$D$30*1000/(Assumptions!$G$14*0.001) /10^9</f>
        <v>67.621336971652894</v>
      </c>
      <c r="I14" s="40">
        <f>E14*Assumptions!$C$46/(Assumptions!$G$14*0.001) /10^9</f>
        <v>3.979113668679048</v>
      </c>
      <c r="J14" s="40">
        <f>D14*Assumptions!$C$56/(Assumptions!$G$14*0.001) /10^9</f>
        <v>1.5456513105393319</v>
      </c>
      <c r="K14" s="40">
        <f>F14*Assumptions!$C$65/(Assumptions!$G$14*0.001) /10^9</f>
        <v>4.1756131091076423</v>
      </c>
      <c r="L14" s="47">
        <f>4*Assumptions!$C$10/Assumptions!$G$14</f>
        <v>3.5850379503898764</v>
      </c>
      <c r="M14" s="46">
        <v>83.49</v>
      </c>
      <c r="N14">
        <v>156</v>
      </c>
      <c r="O14" s="44">
        <f>N14*Assumptions!$C$97/(Assumptions!$G$15*0.001) /10^9*M14/100</f>
        <v>41.437259572046052</v>
      </c>
      <c r="P14" s="48">
        <f>Assumptions!$C$115*Assumptions!$C$113/(Assumptions!$G$15*0.001) /10^9</f>
        <v>3.5836390578944357</v>
      </c>
      <c r="Q14" s="42">
        <f t="shared" si="0"/>
        <v>137.430049506404</v>
      </c>
      <c r="S14" s="29" t="str">
        <f t="shared" si="1"/>
        <v>(430,31,90,100,156,0.83)</v>
      </c>
    </row>
    <row r="15" spans="2:19" ht="16.95" customHeight="1">
      <c r="B15" s="38">
        <v>12</v>
      </c>
      <c r="C15">
        <v>430</v>
      </c>
      <c r="D15" s="39">
        <v>31</v>
      </c>
      <c r="E15">
        <v>100</v>
      </c>
      <c r="F15" s="39">
        <v>100</v>
      </c>
      <c r="G15" s="40">
        <f>B15*Assumptions!$C$19*365*24*Assumptions!$D$26*1000/(Assumptions!$G$14*0.001) /10^9</f>
        <v>11.502397866094725</v>
      </c>
      <c r="H15" s="40">
        <f>C15*Assumptions!$C$20*365*24*Assumptions!$D$30*1000/(Assumptions!$G$14*0.001) /10^9</f>
        <v>67.621336971652894</v>
      </c>
      <c r="I15" s="40">
        <f>E15*Assumptions!$C$46/(Assumptions!$G$14*0.001) /10^9</f>
        <v>4.4212374096433864</v>
      </c>
      <c r="J15" s="40">
        <f>D15*Assumptions!$C$56/(Assumptions!$G$14*0.001) /10^9</f>
        <v>1.5456513105393319</v>
      </c>
      <c r="K15" s="40">
        <f>F15*Assumptions!$C$65/(Assumptions!$G$14*0.001) /10^9</f>
        <v>4.1756131091076423</v>
      </c>
      <c r="L15" s="47">
        <f>4*Assumptions!$C$10/Assumptions!$G$14</f>
        <v>3.5850379503898764</v>
      </c>
      <c r="M15" s="46">
        <v>83.55</v>
      </c>
      <c r="N15">
        <v>155</v>
      </c>
      <c r="O15" s="44">
        <f>N15*Assumptions!$C$97/(Assumptions!$G$15*0.001) /10^9*M15/100</f>
        <v>41.201224065901442</v>
      </c>
      <c r="P15" s="48">
        <f>Assumptions!$C$115*Assumptions!$C$113/(Assumptions!$G$15*0.001) /10^9</f>
        <v>3.5836390578944357</v>
      </c>
      <c r="Q15" s="42">
        <f t="shared" si="0"/>
        <v>137.63613774122373</v>
      </c>
      <c r="S15" s="29" t="str">
        <f t="shared" si="1"/>
        <v>(430,31,100,100,155,0.84)</v>
      </c>
    </row>
    <row r="16" spans="2:19" ht="16.95" customHeight="1">
      <c r="B16" s="38">
        <v>12</v>
      </c>
      <c r="C16">
        <v>440</v>
      </c>
      <c r="D16" s="39">
        <v>30</v>
      </c>
      <c r="E16">
        <v>40</v>
      </c>
      <c r="F16" s="39">
        <v>100</v>
      </c>
      <c r="G16" s="40">
        <f>B16*Assumptions!$C$19*365*24*Assumptions!$D$26*1000/(Assumptions!$G$14*0.001) /10^9</f>
        <v>11.502397866094725</v>
      </c>
      <c r="H16" s="40">
        <f>C16*Assumptions!$C$20*365*24*Assumptions!$D$30*1000/(Assumptions!$G$14*0.001) /10^9</f>
        <v>69.193926203551783</v>
      </c>
      <c r="I16" s="40">
        <f>E16*Assumptions!$C$46/(Assumptions!$G$14*0.001) /10^9</f>
        <v>1.7684949638573544</v>
      </c>
      <c r="J16" s="40">
        <f>D16*Assumptions!$C$56/(Assumptions!$G$14*0.001) /10^9</f>
        <v>1.4957915908445147</v>
      </c>
      <c r="K16" s="40">
        <f>F16*Assumptions!$C$65/(Assumptions!$G$14*0.001) /10^9</f>
        <v>4.1756131091076423</v>
      </c>
      <c r="L16" s="47">
        <f>4*Assumptions!$C$10/Assumptions!$G$14</f>
        <v>3.5850379503898764</v>
      </c>
      <c r="M16" s="46">
        <v>82.57</v>
      </c>
      <c r="N16">
        <v>152</v>
      </c>
      <c r="O16" s="44">
        <f>N16*Assumptions!$C$97/(Assumptions!$G$15*0.001) /10^9*M16/100</f>
        <v>39.929864737010121</v>
      </c>
      <c r="P16" s="48">
        <f>Assumptions!$C$115*Assumptions!$C$113/(Assumptions!$G$15*0.001) /10^9</f>
        <v>3.5836390578944357</v>
      </c>
      <c r="Q16" s="42">
        <f t="shared" si="0"/>
        <v>135.23476547875046</v>
      </c>
      <c r="S16" s="29" t="str">
        <f t="shared" si="1"/>
        <v>(440,30,40,100,152,0.83)</v>
      </c>
    </row>
    <row r="17" spans="2:19" ht="16.95" customHeight="1">
      <c r="B17" s="38">
        <v>12</v>
      </c>
      <c r="C17">
        <v>440</v>
      </c>
      <c r="D17" s="39">
        <v>30</v>
      </c>
      <c r="E17">
        <v>50</v>
      </c>
      <c r="F17" s="39">
        <v>100</v>
      </c>
      <c r="G17" s="40">
        <f>B17*Assumptions!$C$19*365*24*Assumptions!$D$26*1000/(Assumptions!$G$14*0.001) /10^9</f>
        <v>11.502397866094725</v>
      </c>
      <c r="H17" s="40">
        <f>C17*Assumptions!$C$20*365*24*Assumptions!$D$30*1000/(Assumptions!$G$14*0.001) /10^9</f>
        <v>69.193926203551783</v>
      </c>
      <c r="I17" s="40">
        <f>E17*Assumptions!$C$46/(Assumptions!$G$14*0.001) /10^9</f>
        <v>2.2106187048216932</v>
      </c>
      <c r="J17" s="40">
        <f>D17*Assumptions!$C$56/(Assumptions!$G$14*0.001) /10^9</f>
        <v>1.4957915908445147</v>
      </c>
      <c r="K17" s="40">
        <f>F17*Assumptions!$C$65/(Assumptions!$G$14*0.001) /10^9</f>
        <v>4.1756131091076423</v>
      </c>
      <c r="L17" s="47">
        <f>4*Assumptions!$C$10/Assumptions!$G$14</f>
        <v>3.5850379503898764</v>
      </c>
      <c r="M17" s="46">
        <v>83.53</v>
      </c>
      <c r="N17">
        <v>147</v>
      </c>
      <c r="O17" s="44">
        <f>N17*Assumptions!$C$97/(Assumptions!$G$15*0.001) /10^9*M17/100</f>
        <v>39.065355664565388</v>
      </c>
      <c r="P17" s="48">
        <f>Assumptions!$C$115*Assumptions!$C$113/(Assumptions!$G$15*0.001) /10^9</f>
        <v>3.5836390578944357</v>
      </c>
      <c r="Q17" s="42">
        <f t="shared" si="0"/>
        <v>134.81238014727006</v>
      </c>
      <c r="S17" s="29" t="str">
        <f t="shared" si="1"/>
        <v>(440,30,50,100,147,0.84)</v>
      </c>
    </row>
    <row r="18" spans="2:19" ht="16.95" customHeight="1">
      <c r="B18" s="38">
        <v>12</v>
      </c>
      <c r="C18">
        <v>440</v>
      </c>
      <c r="D18" s="39">
        <v>30</v>
      </c>
      <c r="E18">
        <v>60</v>
      </c>
      <c r="F18" s="39">
        <v>100</v>
      </c>
      <c r="G18" s="40">
        <f>B18*Assumptions!$C$19*365*24*Assumptions!$D$26*1000/(Assumptions!$G$14*0.001) /10^9</f>
        <v>11.502397866094725</v>
      </c>
      <c r="H18" s="40">
        <f>C18*Assumptions!$C$20*365*24*Assumptions!$D$30*1000/(Assumptions!$G$14*0.001) /10^9</f>
        <v>69.193926203551783</v>
      </c>
      <c r="I18" s="40">
        <f>E18*Assumptions!$C$46/(Assumptions!$G$14*0.001) /10^9</f>
        <v>2.652742445786032</v>
      </c>
      <c r="J18" s="40">
        <f>D18*Assumptions!$C$56/(Assumptions!$G$14*0.001) /10^9</f>
        <v>1.4957915908445147</v>
      </c>
      <c r="K18" s="40">
        <f>F18*Assumptions!$C$65/(Assumptions!$G$14*0.001) /10^9</f>
        <v>4.1756131091076423</v>
      </c>
      <c r="L18" s="47">
        <f>4*Assumptions!$C$10/Assumptions!$G$14</f>
        <v>3.5850379503898764</v>
      </c>
      <c r="M18" s="46">
        <v>84.11</v>
      </c>
      <c r="N18">
        <v>145</v>
      </c>
      <c r="O18" s="44">
        <f>N18*Assumptions!$C$97/(Assumptions!$G$15*0.001) /10^9*M18/100</f>
        <v>38.801418400921271</v>
      </c>
      <c r="P18" s="48">
        <f>Assumptions!$C$115*Assumptions!$C$113/(Assumptions!$G$15*0.001) /10^9</f>
        <v>3.5836390578944357</v>
      </c>
      <c r="Q18" s="42">
        <f t="shared" si="0"/>
        <v>134.99056662459029</v>
      </c>
      <c r="S18" s="29" t="str">
        <f t="shared" si="1"/>
        <v>(440,30,60,100,145,0.84)</v>
      </c>
    </row>
    <row r="19" spans="2:19">
      <c r="B19" s="38">
        <v>12</v>
      </c>
      <c r="C19">
        <v>440</v>
      </c>
      <c r="D19" s="39">
        <v>30</v>
      </c>
      <c r="E19">
        <v>70</v>
      </c>
      <c r="F19" s="39">
        <v>100</v>
      </c>
      <c r="G19" s="40">
        <f>B19*Assumptions!$C$19*365*24*Assumptions!$D$26*1000/(Assumptions!$G$14*0.001) /10^9</f>
        <v>11.502397866094725</v>
      </c>
      <c r="H19" s="40">
        <f>C19*Assumptions!$C$20*365*24*Assumptions!$D$30*1000/(Assumptions!$G$14*0.001) /10^9</f>
        <v>69.193926203551783</v>
      </c>
      <c r="I19" s="40">
        <f>E19*Assumptions!$C$46/(Assumptions!$G$14*0.001) /10^9</f>
        <v>3.0948661867503704</v>
      </c>
      <c r="J19" s="40">
        <f>D19*Assumptions!$C$56/(Assumptions!$G$14*0.001) /10^9</f>
        <v>1.4957915908445147</v>
      </c>
      <c r="K19" s="40">
        <f>F19*Assumptions!$C$65/(Assumptions!$G$14*0.001) /10^9</f>
        <v>4.1756131091076423</v>
      </c>
      <c r="L19" s="47">
        <f>4*Assumptions!$C$10/Assumptions!$G$14</f>
        <v>3.5850379503898764</v>
      </c>
      <c r="M19" s="46">
        <v>84.44</v>
      </c>
      <c r="N19">
        <v>144</v>
      </c>
      <c r="O19" s="44">
        <f>N19*Assumptions!$C$97/(Assumptions!$G$15*0.001) /10^9*M19/100</f>
        <v>38.685007305492896</v>
      </c>
      <c r="P19" s="48">
        <f>Assumptions!$C$115*Assumptions!$C$113/(Assumptions!$G$15*0.001) /10^9</f>
        <v>3.5836390578944357</v>
      </c>
      <c r="Q19" s="42">
        <f t="shared" si="0"/>
        <v>135.31627927012624</v>
      </c>
      <c r="S19" s="29" t="str">
        <f t="shared" si="1"/>
        <v>(440,30,70,100,144,0.84)</v>
      </c>
    </row>
    <row r="20" spans="2:19">
      <c r="B20" s="38">
        <v>12</v>
      </c>
      <c r="C20">
        <v>440</v>
      </c>
      <c r="D20" s="39">
        <v>30</v>
      </c>
      <c r="E20">
        <v>80</v>
      </c>
      <c r="F20" s="39">
        <v>100</v>
      </c>
      <c r="G20" s="40">
        <f>B20*Assumptions!$C$19*365*24*Assumptions!$D$26*1000/(Assumptions!$G$14*0.001) /10^9</f>
        <v>11.502397866094725</v>
      </c>
      <c r="H20" s="40">
        <f>C20*Assumptions!$C$20*365*24*Assumptions!$D$30*1000/(Assumptions!$G$14*0.001) /10^9</f>
        <v>69.193926203551783</v>
      </c>
      <c r="I20" s="40">
        <f>E20*Assumptions!$C$46/(Assumptions!$G$14*0.001) /10^9</f>
        <v>3.5369899277147088</v>
      </c>
      <c r="J20" s="40">
        <f>D20*Assumptions!$C$56/(Assumptions!$G$14*0.001) /10^9</f>
        <v>1.4957915908445147</v>
      </c>
      <c r="K20" s="40">
        <f>F20*Assumptions!$C$65/(Assumptions!$G$14*0.001) /10^9</f>
        <v>4.1756131091076423</v>
      </c>
      <c r="L20" s="47">
        <f>4*Assumptions!$C$10/Assumptions!$G$14</f>
        <v>3.5850379503898764</v>
      </c>
      <c r="M20" s="46">
        <v>84.62</v>
      </c>
      <c r="N20">
        <v>143</v>
      </c>
      <c r="O20" s="44">
        <f>N20*Assumptions!$C$97/(Assumptions!$G$15*0.001) /10^9*M20/100</f>
        <v>38.498253238763034</v>
      </c>
      <c r="P20" s="48">
        <f>Assumptions!$C$115*Assumptions!$C$113/(Assumptions!$G$15*0.001) /10^9</f>
        <v>3.5836390578944357</v>
      </c>
      <c r="Q20" s="42">
        <f t="shared" si="0"/>
        <v>135.57164894436073</v>
      </c>
      <c r="S20" s="29" t="str">
        <f t="shared" si="1"/>
        <v>(440,30,80,100,143,0.85)</v>
      </c>
    </row>
    <row r="21" spans="2:19">
      <c r="B21" s="38">
        <v>12</v>
      </c>
      <c r="C21">
        <v>440</v>
      </c>
      <c r="D21" s="39">
        <v>30</v>
      </c>
      <c r="E21">
        <v>90</v>
      </c>
      <c r="F21" s="39">
        <v>100</v>
      </c>
      <c r="G21" s="40">
        <f>B21*Assumptions!$C$19*365*24*Assumptions!$D$26*1000/(Assumptions!$G$14*0.001) /10^9</f>
        <v>11.502397866094725</v>
      </c>
      <c r="H21" s="40">
        <f>C21*Assumptions!$C$20*365*24*Assumptions!$D$30*1000/(Assumptions!$G$14*0.001) /10^9</f>
        <v>69.193926203551783</v>
      </c>
      <c r="I21" s="40">
        <f>E21*Assumptions!$C$46/(Assumptions!$G$14*0.001) /10^9</f>
        <v>3.979113668679048</v>
      </c>
      <c r="J21" s="40">
        <f>D21*Assumptions!$C$56/(Assumptions!$G$14*0.001) /10^9</f>
        <v>1.4957915908445147</v>
      </c>
      <c r="K21" s="40">
        <f>F21*Assumptions!$C$65/(Assumptions!$G$14*0.001) /10^9</f>
        <v>4.1756131091076423</v>
      </c>
      <c r="L21" s="47">
        <f>4*Assumptions!$C$10/Assumptions!$G$14</f>
        <v>3.5850379503898764</v>
      </c>
      <c r="M21" s="46">
        <v>84.74</v>
      </c>
      <c r="N21">
        <v>142</v>
      </c>
      <c r="O21" s="44">
        <f>N21*Assumptions!$C$97/(Assumptions!$G$15*0.001) /10^9*M21/100</f>
        <v>38.283247449502312</v>
      </c>
      <c r="P21" s="48">
        <f>Assumptions!$C$115*Assumptions!$C$113/(Assumptions!$G$15*0.001) /10^9</f>
        <v>3.5836390578944357</v>
      </c>
      <c r="Q21" s="42">
        <f t="shared" si="0"/>
        <v>135.79876689606434</v>
      </c>
      <c r="S21" s="29" t="str">
        <f t="shared" si="1"/>
        <v>(440,30,90,100,142,0.85)</v>
      </c>
    </row>
    <row r="22" spans="2:19">
      <c r="B22" s="38">
        <v>12</v>
      </c>
      <c r="C22">
        <v>440</v>
      </c>
      <c r="D22" s="39">
        <v>30</v>
      </c>
      <c r="E22">
        <v>100</v>
      </c>
      <c r="F22" s="39">
        <v>100</v>
      </c>
      <c r="G22" s="40">
        <f>B22*Assumptions!$C$19*365*24*Assumptions!$D$26*1000/(Assumptions!$G$14*0.001) /10^9</f>
        <v>11.502397866094725</v>
      </c>
      <c r="H22" s="40">
        <f>C22*Assumptions!$C$20*365*24*Assumptions!$D$30*1000/(Assumptions!$G$14*0.001) /10^9</f>
        <v>69.193926203551783</v>
      </c>
      <c r="I22" s="40">
        <f>E22*Assumptions!$C$46/(Assumptions!$G$14*0.001) /10^9</f>
        <v>4.4212374096433864</v>
      </c>
      <c r="J22" s="40">
        <f>D22*Assumptions!$C$56/(Assumptions!$G$14*0.001) /10^9</f>
        <v>1.4957915908445147</v>
      </c>
      <c r="K22" s="40">
        <f>F22*Assumptions!$C$65/(Assumptions!$G$14*0.001) /10^9</f>
        <v>4.1756131091076423</v>
      </c>
      <c r="L22" s="47">
        <f>4*Assumptions!$C$10/Assumptions!$G$14</f>
        <v>3.5850379503898764</v>
      </c>
      <c r="M22" s="46">
        <v>84.85</v>
      </c>
      <c r="N22">
        <v>142</v>
      </c>
      <c r="O22" s="44">
        <f>N22*Assumptions!$C$97/(Assumptions!$G$15*0.001) /10^9*M22/100</f>
        <v>38.332942483954113</v>
      </c>
      <c r="P22" s="48">
        <f>Assumptions!$C$115*Assumptions!$C$113/(Assumptions!$G$15*0.001) /10^9</f>
        <v>3.5836390578944357</v>
      </c>
      <c r="Q22" s="42">
        <f t="shared" si="0"/>
        <v>136.29058567148047</v>
      </c>
      <c r="S22" s="29" t="str">
        <f t="shared" si="1"/>
        <v>(440,30,100,100,142,0.85)</v>
      </c>
    </row>
    <row r="23" spans="2:19">
      <c r="B23" s="38">
        <v>12</v>
      </c>
      <c r="C23">
        <v>450</v>
      </c>
      <c r="D23" s="39">
        <v>30</v>
      </c>
      <c r="E23">
        <v>30</v>
      </c>
      <c r="F23" s="39">
        <v>100</v>
      </c>
      <c r="G23" s="40">
        <f>B23*Assumptions!$C$19*365*24*Assumptions!$D$26*1000/(Assumptions!$G$14*0.001) /10^9</f>
        <v>11.502397866094725</v>
      </c>
      <c r="H23" s="40">
        <f>C23*Assumptions!$C$20*365*24*Assumptions!$D$30*1000/(Assumptions!$G$14*0.001) /10^9</f>
        <v>70.766515435450671</v>
      </c>
      <c r="I23" s="40">
        <f>E23*Assumptions!$C$46/(Assumptions!$G$14*0.001) /10^9</f>
        <v>1.326371222893016</v>
      </c>
      <c r="J23" s="40">
        <f>D23*Assumptions!$C$56/(Assumptions!$G$14*0.001) /10^9</f>
        <v>1.4957915908445147</v>
      </c>
      <c r="K23" s="40">
        <f>F23*Assumptions!$C$65/(Assumptions!$G$14*0.001) /10^9</f>
        <v>4.1756131091076423</v>
      </c>
      <c r="L23" s="47">
        <f>4*Assumptions!$C$10/Assumptions!$G$14</f>
        <v>3.5850379503898764</v>
      </c>
      <c r="M23" s="46">
        <v>82.14</v>
      </c>
      <c r="N23">
        <v>147</v>
      </c>
      <c r="O23" s="44">
        <f>N23*Assumptions!$C$97/(Assumptions!$G$15*0.001) /10^9*M23/100</f>
        <v>38.415279711330079</v>
      </c>
      <c r="P23" s="48">
        <f>Assumptions!$C$115*Assumptions!$C$113/(Assumptions!$G$15*0.001) /10^9</f>
        <v>3.5836390578944357</v>
      </c>
      <c r="Q23" s="42">
        <f t="shared" si="0"/>
        <v>134.85064594400495</v>
      </c>
      <c r="S23" s="29" t="str">
        <f t="shared" si="1"/>
        <v>(450,30,30,100,147,0.82)</v>
      </c>
    </row>
    <row r="24" spans="2:19">
      <c r="B24" s="38">
        <v>12</v>
      </c>
      <c r="C24">
        <v>450</v>
      </c>
      <c r="D24" s="39">
        <v>30</v>
      </c>
      <c r="E24">
        <v>40</v>
      </c>
      <c r="F24" s="39">
        <v>100</v>
      </c>
      <c r="G24" s="40">
        <f>B24*Assumptions!$C$19*365*24*Assumptions!$D$26*1000/(Assumptions!$G$14*0.001) /10^9</f>
        <v>11.502397866094725</v>
      </c>
      <c r="H24" s="40">
        <f>C24*Assumptions!$C$20*365*24*Assumptions!$D$30*1000/(Assumptions!$G$14*0.001) /10^9</f>
        <v>70.766515435450671</v>
      </c>
      <c r="I24" s="40">
        <f>E24*Assumptions!$C$46/(Assumptions!$G$14*0.001) /10^9</f>
        <v>1.7684949638573544</v>
      </c>
      <c r="J24" s="40">
        <f>D24*Assumptions!$C$56/(Assumptions!$G$14*0.001) /10^9</f>
        <v>1.4957915908445147</v>
      </c>
      <c r="K24" s="40">
        <f>F24*Assumptions!$C$65/(Assumptions!$G$14*0.001) /10^9</f>
        <v>4.1756131091076423</v>
      </c>
      <c r="L24" s="47">
        <f>4*Assumptions!$C$10/Assumptions!$G$14</f>
        <v>3.5850379503898764</v>
      </c>
      <c r="M24" s="46">
        <v>83.73</v>
      </c>
      <c r="N24">
        <v>140</v>
      </c>
      <c r="O24" s="44">
        <f>N24*Assumptions!$C$97/(Assumptions!$G$15*0.001) /10^9*M24/100</f>
        <v>37.294182640899592</v>
      </c>
      <c r="P24" s="48">
        <f>Assumptions!$C$115*Assumptions!$C$113/(Assumptions!$G$15*0.001) /10^9</f>
        <v>3.5836390578944357</v>
      </c>
      <c r="Q24" s="42">
        <f t="shared" si="0"/>
        <v>134.17167261453881</v>
      </c>
      <c r="S24" s="29" t="str">
        <f t="shared" si="1"/>
        <v>(450,30,40,100,140,0.84)</v>
      </c>
    </row>
    <row r="25" spans="2:19">
      <c r="B25" s="38">
        <v>12</v>
      </c>
      <c r="C25">
        <v>450</v>
      </c>
      <c r="D25" s="39">
        <v>30</v>
      </c>
      <c r="E25">
        <v>50</v>
      </c>
      <c r="F25" s="39">
        <v>100</v>
      </c>
      <c r="G25" s="40">
        <f>B25*Assumptions!$C$19*365*24*Assumptions!$D$26*1000/(Assumptions!$G$14*0.001) /10^9</f>
        <v>11.502397866094725</v>
      </c>
      <c r="H25" s="40">
        <f>C25*Assumptions!$C$20*365*24*Assumptions!$D$30*1000/(Assumptions!$G$14*0.001) /10^9</f>
        <v>70.766515435450671</v>
      </c>
      <c r="I25" s="40">
        <f>E25*Assumptions!$C$46/(Assumptions!$G$14*0.001) /10^9</f>
        <v>2.2106187048216932</v>
      </c>
      <c r="J25" s="40">
        <f>D25*Assumptions!$C$56/(Assumptions!$G$14*0.001) /10^9</f>
        <v>1.4957915908445147</v>
      </c>
      <c r="K25" s="40">
        <f>F25*Assumptions!$C$65/(Assumptions!$G$14*0.001) /10^9</f>
        <v>4.1756131091076423</v>
      </c>
      <c r="L25" s="47">
        <f>4*Assumptions!$C$10/Assumptions!$G$14</f>
        <v>3.5850379503898764</v>
      </c>
      <c r="M25" s="46">
        <v>84.79</v>
      </c>
      <c r="N25">
        <v>136</v>
      </c>
      <c r="O25" s="44">
        <f>N25*Assumptions!$C$97/(Assumptions!$G$15*0.001) /10^9*M25/100</f>
        <v>36.687279646531813</v>
      </c>
      <c r="P25" s="48">
        <f>Assumptions!$C$115*Assumptions!$C$113/(Assumptions!$G$15*0.001) /10^9</f>
        <v>3.5836390578944357</v>
      </c>
      <c r="Q25" s="42">
        <f t="shared" si="0"/>
        <v>134.00689336113538</v>
      </c>
      <c r="S25" s="29" t="str">
        <f t="shared" si="1"/>
        <v>(450,30,50,100,136,0.85)</v>
      </c>
    </row>
    <row r="26" spans="2:19">
      <c r="B26" s="38">
        <v>12</v>
      </c>
      <c r="C26">
        <v>450</v>
      </c>
      <c r="D26" s="39">
        <v>30</v>
      </c>
      <c r="E26">
        <v>60</v>
      </c>
      <c r="F26" s="39">
        <v>100</v>
      </c>
      <c r="G26" s="40">
        <f>B26*Assumptions!$C$19*365*24*Assumptions!$D$26*1000/(Assumptions!$G$14*0.001) /10^9</f>
        <v>11.502397866094725</v>
      </c>
      <c r="H26" s="40">
        <f>C26*Assumptions!$C$20*365*24*Assumptions!$D$30*1000/(Assumptions!$G$14*0.001) /10^9</f>
        <v>70.766515435450671</v>
      </c>
      <c r="I26" s="40">
        <f>E26*Assumptions!$C$46/(Assumptions!$G$14*0.001) /10^9</f>
        <v>2.652742445786032</v>
      </c>
      <c r="J26" s="40">
        <f>D26*Assumptions!$C$56/(Assumptions!$G$14*0.001) /10^9</f>
        <v>1.4957915908445147</v>
      </c>
      <c r="K26" s="40">
        <f>F26*Assumptions!$C$65/(Assumptions!$G$14*0.001) /10^9</f>
        <v>4.1756131091076423</v>
      </c>
      <c r="L26" s="47">
        <f>4*Assumptions!$C$10/Assumptions!$G$14</f>
        <v>3.5850379503898764</v>
      </c>
      <c r="M26" s="46">
        <v>85.22</v>
      </c>
      <c r="N26">
        <v>135</v>
      </c>
      <c r="O26" s="44">
        <f>N26*Assumptions!$C$97/(Assumptions!$G$15*0.001) /10^9*M26/100</f>
        <v>36.602206328910746</v>
      </c>
      <c r="P26" s="48">
        <f>Assumptions!$C$115*Assumptions!$C$113/(Assumptions!$G$15*0.001) /10^9</f>
        <v>3.5836390578944357</v>
      </c>
      <c r="Q26" s="42">
        <f t="shared" si="0"/>
        <v>134.36394378447864</v>
      </c>
      <c r="S26" s="29" t="str">
        <f t="shared" si="1"/>
        <v>(450,30,60,100,135,0.85)</v>
      </c>
    </row>
    <row r="27" spans="2:19">
      <c r="B27" s="38">
        <v>12</v>
      </c>
      <c r="C27">
        <v>450</v>
      </c>
      <c r="D27" s="39">
        <v>30</v>
      </c>
      <c r="E27">
        <v>70</v>
      </c>
      <c r="F27" s="39">
        <v>100</v>
      </c>
      <c r="G27" s="40">
        <f>B27*Assumptions!$C$19*365*24*Assumptions!$D$26*1000/(Assumptions!$G$14*0.001) /10^9</f>
        <v>11.502397866094725</v>
      </c>
      <c r="H27" s="40">
        <f>C27*Assumptions!$C$20*365*24*Assumptions!$D$30*1000/(Assumptions!$G$14*0.001) /10^9</f>
        <v>70.766515435450671</v>
      </c>
      <c r="I27" s="40">
        <f>E27*Assumptions!$C$46/(Assumptions!$G$14*0.001) /10^9</f>
        <v>3.0948661867503704</v>
      </c>
      <c r="J27" s="40">
        <f>D27*Assumptions!$C$56/(Assumptions!$G$14*0.001) /10^9</f>
        <v>1.4957915908445147</v>
      </c>
      <c r="K27" s="40">
        <f>F27*Assumptions!$C$65/(Assumptions!$G$14*0.001) /10^9</f>
        <v>4.1756131091076423</v>
      </c>
      <c r="L27" s="47">
        <f>4*Assumptions!$C$10/Assumptions!$G$14</f>
        <v>3.5850379503898764</v>
      </c>
      <c r="M27" s="46">
        <v>85.49</v>
      </c>
      <c r="N27">
        <v>134</v>
      </c>
      <c r="O27" s="44">
        <f>N27*Assumptions!$C$97/(Assumptions!$G$15*0.001) /10^9*M27/100</f>
        <v>36.446185554934033</v>
      </c>
      <c r="P27" s="48">
        <f>Assumptions!$C$115*Assumptions!$C$113/(Assumptions!$G$15*0.001) /10^9</f>
        <v>3.5836390578944357</v>
      </c>
      <c r="Q27" s="42">
        <f t="shared" si="0"/>
        <v>134.65004675146625</v>
      </c>
      <c r="S27" s="29" t="str">
        <f t="shared" si="1"/>
        <v>(450,30,70,100,134,0.85)</v>
      </c>
    </row>
    <row r="28" spans="2:19">
      <c r="B28" s="38">
        <v>12</v>
      </c>
      <c r="C28">
        <v>450</v>
      </c>
      <c r="D28" s="39">
        <v>30</v>
      </c>
      <c r="E28">
        <v>80</v>
      </c>
      <c r="F28" s="39">
        <v>100</v>
      </c>
      <c r="G28" s="40">
        <f>B28*Assumptions!$C$19*365*24*Assumptions!$D$26*1000/(Assumptions!$G$14*0.001) /10^9</f>
        <v>11.502397866094725</v>
      </c>
      <c r="H28" s="40">
        <f>C28*Assumptions!$C$20*365*24*Assumptions!$D$30*1000/(Assumptions!$G$14*0.001) /10^9</f>
        <v>70.766515435450671</v>
      </c>
      <c r="I28" s="40">
        <f>E28*Assumptions!$C$46/(Assumptions!$G$14*0.001) /10^9</f>
        <v>3.5369899277147088</v>
      </c>
      <c r="J28" s="40">
        <f>D28*Assumptions!$C$56/(Assumptions!$G$14*0.001) /10^9</f>
        <v>1.4957915908445147</v>
      </c>
      <c r="K28" s="40">
        <f>F28*Assumptions!$C$65/(Assumptions!$G$14*0.001) /10^9</f>
        <v>4.1756131091076423</v>
      </c>
      <c r="L28" s="47">
        <f>4*Assumptions!$C$10/Assumptions!$G$14</f>
        <v>3.5850379503898764</v>
      </c>
      <c r="M28" s="46">
        <v>85.68</v>
      </c>
      <c r="N28">
        <v>133</v>
      </c>
      <c r="O28" s="44">
        <f>N28*Assumptions!$C$97/(Assumptions!$G$15*0.001) /10^9*M28/100</f>
        <v>36.254595607770973</v>
      </c>
      <c r="P28" s="48">
        <f>Assumptions!$C$115*Assumptions!$C$113/(Assumptions!$G$15*0.001) /10^9</f>
        <v>3.5836390578944357</v>
      </c>
      <c r="Q28" s="42">
        <f t="shared" si="0"/>
        <v>134.90058054526756</v>
      </c>
      <c r="S28" s="29" t="str">
        <f t="shared" si="1"/>
        <v>(450,30,80,100,133,0.86)</v>
      </c>
    </row>
    <row r="29" spans="2:19">
      <c r="B29" s="38">
        <v>12</v>
      </c>
      <c r="C29">
        <v>450</v>
      </c>
      <c r="D29" s="39">
        <v>30</v>
      </c>
      <c r="E29">
        <v>90</v>
      </c>
      <c r="F29" s="39">
        <v>100</v>
      </c>
      <c r="G29" s="40">
        <f>B29*Assumptions!$C$19*365*24*Assumptions!$D$26*1000/(Assumptions!$G$14*0.001) /10^9</f>
        <v>11.502397866094725</v>
      </c>
      <c r="H29" s="40">
        <f>C29*Assumptions!$C$20*365*24*Assumptions!$D$30*1000/(Assumptions!$G$14*0.001) /10^9</f>
        <v>70.766515435450671</v>
      </c>
      <c r="I29" s="40">
        <f>E29*Assumptions!$C$46/(Assumptions!$G$14*0.001) /10^9</f>
        <v>3.979113668679048</v>
      </c>
      <c r="J29" s="40">
        <f>D29*Assumptions!$C$56/(Assumptions!$G$14*0.001) /10^9</f>
        <v>1.4957915908445147</v>
      </c>
      <c r="K29" s="40">
        <f>F29*Assumptions!$C$65/(Assumptions!$G$14*0.001) /10^9</f>
        <v>4.1756131091076423</v>
      </c>
      <c r="L29" s="47">
        <f>4*Assumptions!$C$10/Assumptions!$G$14</f>
        <v>3.5850379503898764</v>
      </c>
      <c r="M29" s="46">
        <v>85.83</v>
      </c>
      <c r="N29">
        <v>133</v>
      </c>
      <c r="O29" s="44">
        <f>N29*Assumptions!$C$97/(Assumptions!$G$15*0.001) /10^9*M29/100</f>
        <v>36.318066538456847</v>
      </c>
      <c r="P29" s="48">
        <f>Assumptions!$C$115*Assumptions!$C$113/(Assumptions!$G$15*0.001) /10^9</f>
        <v>3.5836390578944357</v>
      </c>
      <c r="Q29" s="42">
        <f t="shared" si="0"/>
        <v>135.40617521691777</v>
      </c>
      <c r="S29" s="29" t="str">
        <f t="shared" si="1"/>
        <v>(450,30,90,100,133,0.86)</v>
      </c>
    </row>
    <row r="30" spans="2:19">
      <c r="B30" s="38">
        <v>12</v>
      </c>
      <c r="C30">
        <v>450</v>
      </c>
      <c r="D30" s="39">
        <v>30</v>
      </c>
      <c r="E30">
        <v>100</v>
      </c>
      <c r="F30" s="39">
        <v>100</v>
      </c>
      <c r="G30" s="40">
        <f>B30*Assumptions!$C$19*365*24*Assumptions!$D$26*1000/(Assumptions!$G$14*0.001) /10^9</f>
        <v>11.502397866094725</v>
      </c>
      <c r="H30" s="40">
        <f>C30*Assumptions!$C$20*365*24*Assumptions!$D$30*1000/(Assumptions!$G$14*0.001) /10^9</f>
        <v>70.766515435450671</v>
      </c>
      <c r="I30" s="40">
        <f>E30*Assumptions!$C$46/(Assumptions!$G$14*0.001) /10^9</f>
        <v>4.4212374096433864</v>
      </c>
      <c r="J30" s="40">
        <f>D30*Assumptions!$C$56/(Assumptions!$G$14*0.001) /10^9</f>
        <v>1.4957915908445147</v>
      </c>
      <c r="K30" s="40">
        <f>F30*Assumptions!$C$65/(Assumptions!$G$14*0.001) /10^9</f>
        <v>4.1756131091076423</v>
      </c>
      <c r="L30" s="47">
        <f>4*Assumptions!$C$10/Assumptions!$G$14</f>
        <v>3.5850379503898764</v>
      </c>
      <c r="M30" s="46">
        <v>85.95</v>
      </c>
      <c r="N30">
        <v>133</v>
      </c>
      <c r="O30" s="44">
        <f>N30*Assumptions!$C$97/(Assumptions!$G$15*0.001) /10^9*M30/100</f>
        <v>36.368843283005546</v>
      </c>
      <c r="P30" s="48">
        <f>Assumptions!$C$115*Assumptions!$C$113/(Assumptions!$G$15*0.001) /10^9</f>
        <v>3.5836390578944357</v>
      </c>
      <c r="Q30" s="42">
        <f t="shared" si="0"/>
        <v>135.89907570243079</v>
      </c>
      <c r="S30" s="29" t="str">
        <f t="shared" si="1"/>
        <v>(450,30,100,100,133,0.86)</v>
      </c>
    </row>
    <row r="31" spans="2:19">
      <c r="B31" s="38">
        <v>12</v>
      </c>
      <c r="C31">
        <v>460</v>
      </c>
      <c r="D31" s="39">
        <v>30</v>
      </c>
      <c r="E31">
        <v>20</v>
      </c>
      <c r="F31" s="39">
        <v>100</v>
      </c>
      <c r="G31" s="40">
        <f>B31*Assumptions!$C$19*365*24*Assumptions!$D$26*1000/(Assumptions!$G$14*0.001) /10^9</f>
        <v>11.502397866094725</v>
      </c>
      <c r="H31" s="40">
        <f>C31*Assumptions!$C$20*365*24*Assumptions!$D$30*1000/(Assumptions!$G$14*0.001) /10^9</f>
        <v>72.339104667349574</v>
      </c>
      <c r="I31" s="40">
        <f>E31*Assumptions!$C$46/(Assumptions!$G$14*0.001) /10^9</f>
        <v>0.88424748192867719</v>
      </c>
      <c r="J31" s="40">
        <f>D31*Assumptions!$C$56/(Assumptions!$G$14*0.001) /10^9</f>
        <v>1.4957915908445147</v>
      </c>
      <c r="K31" s="40">
        <f>F31*Assumptions!$C$65/(Assumptions!$G$14*0.001) /10^9</f>
        <v>4.1756131091076423</v>
      </c>
      <c r="L31" s="47">
        <f>4*Assumptions!$C$10/Assumptions!$G$14</f>
        <v>3.5850379503898764</v>
      </c>
      <c r="M31" s="46">
        <v>79.86</v>
      </c>
      <c r="N31">
        <v>150</v>
      </c>
      <c r="O31" s="44">
        <f>N31*Assumptions!$C$97/(Assumptions!$G$15*0.001) /10^9*M31/100</f>
        <v>38.111191914089183</v>
      </c>
      <c r="P31" s="48">
        <f>Assumptions!$C$115*Assumptions!$C$113/(Assumptions!$G$15*0.001) /10^9</f>
        <v>3.5836390578944357</v>
      </c>
      <c r="Q31" s="42">
        <f t="shared" si="0"/>
        <v>135.67702363769862</v>
      </c>
      <c r="S31" s="29" t="str">
        <f t="shared" si="1"/>
        <v>(460,30,20,100,150,0.8)</v>
      </c>
    </row>
    <row r="32" spans="2:19">
      <c r="B32" s="38">
        <v>12</v>
      </c>
      <c r="C32">
        <v>460</v>
      </c>
      <c r="D32" s="39">
        <v>30</v>
      </c>
      <c r="E32">
        <v>30</v>
      </c>
      <c r="F32" s="39">
        <v>100</v>
      </c>
      <c r="G32" s="40">
        <f>B32*Assumptions!$C$19*365*24*Assumptions!$D$26*1000/(Assumptions!$G$14*0.001) /10^9</f>
        <v>11.502397866094725</v>
      </c>
      <c r="H32" s="40">
        <f>C32*Assumptions!$C$20*365*24*Assumptions!$D$30*1000/(Assumptions!$G$14*0.001) /10^9</f>
        <v>72.339104667349574</v>
      </c>
      <c r="I32" s="40">
        <f>E32*Assumptions!$C$46/(Assumptions!$G$14*0.001) /10^9</f>
        <v>1.326371222893016</v>
      </c>
      <c r="J32" s="40">
        <f>D32*Assumptions!$C$56/(Assumptions!$G$14*0.001) /10^9</f>
        <v>1.4957915908445147</v>
      </c>
      <c r="K32" s="40">
        <f>F32*Assumptions!$C$65/(Assumptions!$G$14*0.001) /10^9</f>
        <v>4.1756131091076423</v>
      </c>
      <c r="L32" s="47">
        <f>4*Assumptions!$C$10/Assumptions!$G$14</f>
        <v>3.5850379503898764</v>
      </c>
      <c r="M32" s="46">
        <v>83.49</v>
      </c>
      <c r="N32">
        <v>136</v>
      </c>
      <c r="O32" s="44">
        <f>N32*Assumptions!$C$97/(Assumptions!$G$15*0.001) /10^9*M32/100</f>
        <v>36.124790396142714</v>
      </c>
      <c r="P32" s="48">
        <f>Assumptions!$C$115*Assumptions!$C$113/(Assumptions!$G$15*0.001) /10^9</f>
        <v>3.5836390578944357</v>
      </c>
      <c r="Q32" s="42">
        <f t="shared" si="0"/>
        <v>134.13274586071648</v>
      </c>
      <c r="S32" s="29" t="str">
        <f t="shared" si="1"/>
        <v>(460,30,30,100,136,0.83)</v>
      </c>
    </row>
    <row r="33" spans="2:19">
      <c r="B33" s="38">
        <v>12</v>
      </c>
      <c r="C33">
        <v>460</v>
      </c>
      <c r="D33" s="39">
        <v>30</v>
      </c>
      <c r="E33">
        <v>40</v>
      </c>
      <c r="F33" s="39">
        <v>100</v>
      </c>
      <c r="G33" s="40">
        <f>B33*Assumptions!$C$19*365*24*Assumptions!$D$26*1000/(Assumptions!$G$14*0.001) /10^9</f>
        <v>11.502397866094725</v>
      </c>
      <c r="H33" s="40">
        <f>C33*Assumptions!$C$20*365*24*Assumptions!$D$30*1000/(Assumptions!$G$14*0.001) /10^9</f>
        <v>72.339104667349574</v>
      </c>
      <c r="I33" s="40">
        <f>E33*Assumptions!$C$46/(Assumptions!$G$14*0.001) /10^9</f>
        <v>1.7684949638573544</v>
      </c>
      <c r="J33" s="40">
        <f>D33*Assumptions!$C$56/(Assumptions!$G$14*0.001) /10^9</f>
        <v>1.4957915908445147</v>
      </c>
      <c r="K33" s="40">
        <f>F33*Assumptions!$C$65/(Assumptions!$G$14*0.001) /10^9</f>
        <v>4.1756131091076423</v>
      </c>
      <c r="L33" s="47">
        <f>4*Assumptions!$C$10/Assumptions!$G$14</f>
        <v>3.5850379503898764</v>
      </c>
      <c r="M33" s="46">
        <v>84.98</v>
      </c>
      <c r="N33">
        <v>131</v>
      </c>
      <c r="O33" s="44">
        <f>N33*Assumptions!$C$97/(Assumptions!$G$15*0.001) /10^9*M33/100</f>
        <v>35.417670142797242</v>
      </c>
      <c r="P33" s="48">
        <f>Assumptions!$C$115*Assumptions!$C$113/(Assumptions!$G$15*0.001) /10^9</f>
        <v>3.5836390578944357</v>
      </c>
      <c r="Q33" s="42">
        <f t="shared" si="0"/>
        <v>133.86774934833537</v>
      </c>
      <c r="S33" s="29" t="str">
        <f t="shared" si="1"/>
        <v>(460,30,40,100,131,0.85)</v>
      </c>
    </row>
    <row r="34" spans="2:19">
      <c r="B34" s="38">
        <v>12</v>
      </c>
      <c r="C34">
        <v>460</v>
      </c>
      <c r="D34" s="39">
        <v>30</v>
      </c>
      <c r="E34">
        <v>50</v>
      </c>
      <c r="F34" s="39">
        <v>100</v>
      </c>
      <c r="G34" s="40">
        <f>B34*Assumptions!$C$19*365*24*Assumptions!$D$26*1000/(Assumptions!$G$14*0.001) /10^9</f>
        <v>11.502397866094725</v>
      </c>
      <c r="H34" s="40">
        <f>C34*Assumptions!$C$20*365*24*Assumptions!$D$30*1000/(Assumptions!$G$14*0.001) /10^9</f>
        <v>72.339104667349574</v>
      </c>
      <c r="I34" s="40">
        <f>E34*Assumptions!$C$46/(Assumptions!$G$14*0.001) /10^9</f>
        <v>2.2106187048216932</v>
      </c>
      <c r="J34" s="40">
        <f>D34*Assumptions!$C$56/(Assumptions!$G$14*0.001) /10^9</f>
        <v>1.4957915908445147</v>
      </c>
      <c r="K34" s="40">
        <f>F34*Assumptions!$C$65/(Assumptions!$G$14*0.001) /10^9</f>
        <v>4.1756131091076423</v>
      </c>
      <c r="L34" s="47">
        <f>4*Assumptions!$C$10/Assumptions!$G$14</f>
        <v>3.5850379503898764</v>
      </c>
      <c r="M34" s="46">
        <v>85.78</v>
      </c>
      <c r="N34">
        <v>128</v>
      </c>
      <c r="O34" s="44">
        <f>N34*Assumptions!$C$97/(Assumptions!$G$15*0.001) /10^9*M34/100</f>
        <v>34.932364089322398</v>
      </c>
      <c r="P34" s="48">
        <f>Assumptions!$C$115*Assumptions!$C$113/(Assumptions!$G$15*0.001) /10^9</f>
        <v>3.5836390578944357</v>
      </c>
      <c r="Q34" s="42">
        <f t="shared" si="0"/>
        <v>133.82456703582486</v>
      </c>
      <c r="S34" s="29" t="str">
        <f t="shared" si="1"/>
        <v>(460,30,50,100,128,0.86)</v>
      </c>
    </row>
    <row r="35" spans="2:19">
      <c r="B35" s="38">
        <v>12</v>
      </c>
      <c r="C35">
        <v>460</v>
      </c>
      <c r="D35" s="39">
        <v>30</v>
      </c>
      <c r="E35">
        <v>60</v>
      </c>
      <c r="F35" s="39">
        <v>100</v>
      </c>
      <c r="G35" s="40">
        <f>B35*Assumptions!$C$19*365*24*Assumptions!$D$26*1000/(Assumptions!$G$14*0.001) /10^9</f>
        <v>11.502397866094725</v>
      </c>
      <c r="H35" s="40">
        <f>C35*Assumptions!$C$20*365*24*Assumptions!$D$30*1000/(Assumptions!$G$14*0.001) /10^9</f>
        <v>72.339104667349574</v>
      </c>
      <c r="I35" s="40">
        <f>E35*Assumptions!$C$46/(Assumptions!$G$14*0.001) /10^9</f>
        <v>2.652742445786032</v>
      </c>
      <c r="J35" s="40">
        <f>D35*Assumptions!$C$56/(Assumptions!$G$14*0.001) /10^9</f>
        <v>1.4957915908445147</v>
      </c>
      <c r="K35" s="40">
        <f>F35*Assumptions!$C$65/(Assumptions!$G$14*0.001) /10^9</f>
        <v>4.1756131091076423</v>
      </c>
      <c r="L35" s="47">
        <f>4*Assumptions!$C$10/Assumptions!$G$14</f>
        <v>3.5850379503898764</v>
      </c>
      <c r="M35" s="46">
        <v>86.27</v>
      </c>
      <c r="N35">
        <v>127</v>
      </c>
      <c r="O35" s="44">
        <f>N35*Assumptions!$C$97/(Assumptions!$G$15*0.001) /10^9*M35/100</f>
        <v>34.8574397576105</v>
      </c>
      <c r="P35" s="48">
        <f>Assumptions!$C$115*Assumptions!$C$113/(Assumptions!$G$15*0.001) /10^9</f>
        <v>3.5836390578944357</v>
      </c>
      <c r="Q35" s="42">
        <f t="shared" si="0"/>
        <v>134.19176644507729</v>
      </c>
      <c r="S35" s="29" t="str">
        <f t="shared" si="1"/>
        <v>(460,30,60,100,127,0.86)</v>
      </c>
    </row>
    <row r="36" spans="2:19">
      <c r="B36" s="38">
        <v>12</v>
      </c>
      <c r="C36">
        <v>460</v>
      </c>
      <c r="D36" s="39">
        <v>30</v>
      </c>
      <c r="E36">
        <v>70</v>
      </c>
      <c r="F36" s="39">
        <v>100</v>
      </c>
      <c r="G36" s="40">
        <f>B36*Assumptions!$C$19*365*24*Assumptions!$D$26*1000/(Assumptions!$G$14*0.001) /10^9</f>
        <v>11.502397866094725</v>
      </c>
      <c r="H36" s="40">
        <f>C36*Assumptions!$C$20*365*24*Assumptions!$D$30*1000/(Assumptions!$G$14*0.001) /10^9</f>
        <v>72.339104667349574</v>
      </c>
      <c r="I36" s="40">
        <f>E36*Assumptions!$C$46/(Assumptions!$G$14*0.001) /10^9</f>
        <v>3.0948661867503704</v>
      </c>
      <c r="J36" s="40">
        <f>D36*Assumptions!$C$56/(Assumptions!$G$14*0.001) /10^9</f>
        <v>1.4957915908445147</v>
      </c>
      <c r="K36" s="40">
        <f>F36*Assumptions!$C$65/(Assumptions!$G$14*0.001) /10^9</f>
        <v>4.1756131091076423</v>
      </c>
      <c r="L36" s="47">
        <f>4*Assumptions!$C$10/Assumptions!$G$14</f>
        <v>3.5850379503898764</v>
      </c>
      <c r="M36" s="46">
        <v>86.54</v>
      </c>
      <c r="N36">
        <v>127</v>
      </c>
      <c r="O36" s="44">
        <f>N36*Assumptions!$C$97/(Assumptions!$G$15*0.001) /10^9*M36/100</f>
        <v>34.966533402383369</v>
      </c>
      <c r="P36" s="48">
        <f>Assumptions!$C$115*Assumptions!$C$113/(Assumptions!$G$15*0.001) /10^9</f>
        <v>3.5836390578944357</v>
      </c>
      <c r="Q36" s="42">
        <f t="shared" si="0"/>
        <v>134.7429838308145</v>
      </c>
      <c r="S36" s="29" t="str">
        <f t="shared" si="1"/>
        <v>(460,30,70,100,127,0.87)</v>
      </c>
    </row>
    <row r="37" spans="2:19">
      <c r="B37" s="38">
        <v>12</v>
      </c>
      <c r="C37">
        <v>460</v>
      </c>
      <c r="D37" s="39">
        <v>30</v>
      </c>
      <c r="E37">
        <v>80</v>
      </c>
      <c r="F37" s="39">
        <v>100</v>
      </c>
      <c r="G37" s="40">
        <f>B37*Assumptions!$C$19*365*24*Assumptions!$D$26*1000/(Assumptions!$G$14*0.001) /10^9</f>
        <v>11.502397866094725</v>
      </c>
      <c r="H37" s="40">
        <f>C37*Assumptions!$C$20*365*24*Assumptions!$D$30*1000/(Assumptions!$G$14*0.001) /10^9</f>
        <v>72.339104667349574</v>
      </c>
      <c r="I37" s="40">
        <f>E37*Assumptions!$C$46/(Assumptions!$G$14*0.001) /10^9</f>
        <v>3.5369899277147088</v>
      </c>
      <c r="J37" s="40">
        <f>D37*Assumptions!$C$56/(Assumptions!$G$14*0.001) /10^9</f>
        <v>1.4957915908445147</v>
      </c>
      <c r="K37" s="40">
        <f>F37*Assumptions!$C$65/(Assumptions!$G$14*0.001) /10^9</f>
        <v>4.1756131091076423</v>
      </c>
      <c r="L37" s="47">
        <f>4*Assumptions!$C$10/Assumptions!$G$14</f>
        <v>3.5850379503898764</v>
      </c>
      <c r="M37" s="46">
        <v>86.71</v>
      </c>
      <c r="N37">
        <v>126</v>
      </c>
      <c r="O37" s="44">
        <f>N37*Assumptions!$C$97/(Assumptions!$G$15*0.001) /10^9*M37/100</f>
        <v>34.759354103823753</v>
      </c>
      <c r="P37" s="48">
        <f>Assumptions!$C$115*Assumptions!$C$113/(Assumptions!$G$15*0.001) /10^9</f>
        <v>3.5836390578944357</v>
      </c>
      <c r="Q37" s="42">
        <f t="shared" si="0"/>
        <v>134.97792827321925</v>
      </c>
      <c r="S37" s="29" t="str">
        <f t="shared" si="1"/>
        <v>(460,30,80,100,126,0.87)</v>
      </c>
    </row>
    <row r="38" spans="2:19">
      <c r="B38" s="38">
        <v>12</v>
      </c>
      <c r="C38">
        <v>460</v>
      </c>
      <c r="D38" s="39">
        <v>30</v>
      </c>
      <c r="E38">
        <v>90</v>
      </c>
      <c r="F38" s="39">
        <v>100</v>
      </c>
      <c r="G38" s="40">
        <f>B38*Assumptions!$C$19*365*24*Assumptions!$D$26*1000/(Assumptions!$G$14*0.001) /10^9</f>
        <v>11.502397866094725</v>
      </c>
      <c r="H38" s="40">
        <f>C38*Assumptions!$C$20*365*24*Assumptions!$D$30*1000/(Assumptions!$G$14*0.001) /10^9</f>
        <v>72.339104667349574</v>
      </c>
      <c r="I38" s="40">
        <f>E38*Assumptions!$C$46/(Assumptions!$G$14*0.001) /10^9</f>
        <v>3.979113668679048</v>
      </c>
      <c r="J38" s="40">
        <f>D38*Assumptions!$C$56/(Assumptions!$G$14*0.001) /10^9</f>
        <v>1.4957915908445147</v>
      </c>
      <c r="K38" s="40">
        <f>F38*Assumptions!$C$65/(Assumptions!$G$14*0.001) /10^9</f>
        <v>4.1756131091076423</v>
      </c>
      <c r="L38" s="47">
        <f>4*Assumptions!$C$10/Assumptions!$G$14</f>
        <v>3.5850379503898764</v>
      </c>
      <c r="M38" s="46">
        <v>86.87</v>
      </c>
      <c r="N38">
        <v>126</v>
      </c>
      <c r="O38" s="44">
        <f>N38*Assumptions!$C$97/(Assumptions!$G$15*0.001) /10^9*M38/100</f>
        <v>34.823493149569487</v>
      </c>
      <c r="P38" s="48">
        <f>Assumptions!$C$115*Assumptions!$C$113/(Assumptions!$G$15*0.001) /10^9</f>
        <v>3.5836390578944357</v>
      </c>
      <c r="Q38" s="42">
        <f t="shared" si="0"/>
        <v>135.48419105992932</v>
      </c>
      <c r="S38" s="29" t="str">
        <f t="shared" si="1"/>
        <v>(460,30,90,100,126,0.87)</v>
      </c>
    </row>
    <row r="39" spans="2:19">
      <c r="B39" s="38">
        <v>12</v>
      </c>
      <c r="C39">
        <v>460</v>
      </c>
      <c r="D39" s="39">
        <v>30</v>
      </c>
      <c r="E39">
        <v>100</v>
      </c>
      <c r="F39" s="39">
        <v>100</v>
      </c>
      <c r="G39" s="40">
        <f>B39*Assumptions!$C$19*365*24*Assumptions!$D$26*1000/(Assumptions!$G$14*0.001) /10^9</f>
        <v>11.502397866094725</v>
      </c>
      <c r="H39" s="40">
        <f>C39*Assumptions!$C$20*365*24*Assumptions!$D$30*1000/(Assumptions!$G$14*0.001) /10^9</f>
        <v>72.339104667349574</v>
      </c>
      <c r="I39" s="40">
        <f>E39*Assumptions!$C$46/(Assumptions!$G$14*0.001) /10^9</f>
        <v>4.4212374096433864</v>
      </c>
      <c r="J39" s="40">
        <f>D39*Assumptions!$C$56/(Assumptions!$G$14*0.001) /10^9</f>
        <v>1.4957915908445147</v>
      </c>
      <c r="K39" s="40">
        <f>F39*Assumptions!$C$65/(Assumptions!$G$14*0.001) /10^9</f>
        <v>4.1756131091076423</v>
      </c>
      <c r="L39" s="47">
        <f>4*Assumptions!$C$10/Assumptions!$G$14</f>
        <v>3.5850379503898764</v>
      </c>
      <c r="M39" s="46">
        <v>86.94</v>
      </c>
      <c r="N39">
        <v>126</v>
      </c>
      <c r="O39" s="44">
        <f>N39*Assumptions!$C$97/(Assumptions!$G$15*0.001) /10^9*M39/100</f>
        <v>34.851553982083239</v>
      </c>
      <c r="P39" s="48">
        <f>Assumptions!$C$115*Assumptions!$C$113/(Assumptions!$G$15*0.001) /10^9</f>
        <v>3.5836390578944357</v>
      </c>
      <c r="Q39" s="42">
        <f t="shared" si="0"/>
        <v>135.95437563340738</v>
      </c>
      <c r="S39" s="29" t="str">
        <f t="shared" si="1"/>
        <v>(460,30,100,100,126,0.87)</v>
      </c>
    </row>
    <row r="40" spans="2:19">
      <c r="B40" s="38">
        <v>12</v>
      </c>
      <c r="C40">
        <v>470</v>
      </c>
      <c r="D40" s="39">
        <v>29</v>
      </c>
      <c r="E40">
        <v>20</v>
      </c>
      <c r="F40" s="39">
        <v>100</v>
      </c>
      <c r="G40" s="40">
        <f>B40*Assumptions!$C$19*365*24*Assumptions!$D$26*1000/(Assumptions!$G$14*0.001) /10^9</f>
        <v>11.502397866094725</v>
      </c>
      <c r="H40" s="40">
        <f>C40*Assumptions!$C$20*365*24*Assumptions!$D$30*1000/(Assumptions!$G$14*0.001) /10^9</f>
        <v>73.91169389924849</v>
      </c>
      <c r="I40" s="40">
        <f>E40*Assumptions!$C$46/(Assumptions!$G$14*0.001) /10^9</f>
        <v>0.88424748192867719</v>
      </c>
      <c r="J40" s="40">
        <f>D40*Assumptions!$C$56/(Assumptions!$G$14*0.001) /10^9</f>
        <v>1.4459318711496976</v>
      </c>
      <c r="K40" s="40">
        <f>F40*Assumptions!$C$65/(Assumptions!$G$14*0.001) /10^9</f>
        <v>4.1756131091076423</v>
      </c>
      <c r="L40" s="47">
        <f>4*Assumptions!$C$10/Assumptions!$G$14</f>
        <v>3.5850379503898764</v>
      </c>
      <c r="M40" s="46">
        <v>81.510000000000005</v>
      </c>
      <c r="N40">
        <v>139</v>
      </c>
      <c r="O40" s="44">
        <f>N40*Assumptions!$C$97/(Assumptions!$G$15*0.001) /10^9*M40/100</f>
        <v>36.04604826408881</v>
      </c>
      <c r="P40" s="48">
        <f>Assumptions!$C$115*Assumptions!$C$113/(Assumptions!$G$15*0.001) /10^9</f>
        <v>3.5836390578944357</v>
      </c>
      <c r="Q40" s="42">
        <f t="shared" si="0"/>
        <v>135.13460949990235</v>
      </c>
      <c r="S40" s="29" t="str">
        <f t="shared" si="1"/>
        <v>(470,29,20,100,139,0.82)</v>
      </c>
    </row>
    <row r="41" spans="2:19">
      <c r="B41" s="38">
        <v>12</v>
      </c>
      <c r="C41">
        <v>470</v>
      </c>
      <c r="D41" s="39">
        <v>29</v>
      </c>
      <c r="E41">
        <v>30</v>
      </c>
      <c r="F41" s="39">
        <v>100</v>
      </c>
      <c r="G41" s="40">
        <f>B41*Assumptions!$C$19*365*24*Assumptions!$D$26*1000/(Assumptions!$G$14*0.001) /10^9</f>
        <v>11.502397866094725</v>
      </c>
      <c r="H41" s="40">
        <f>C41*Assumptions!$C$20*365*24*Assumptions!$D$30*1000/(Assumptions!$G$14*0.001) /10^9</f>
        <v>73.91169389924849</v>
      </c>
      <c r="I41" s="40">
        <f>E41*Assumptions!$C$46/(Assumptions!$G$14*0.001) /10^9</f>
        <v>1.326371222893016</v>
      </c>
      <c r="J41" s="40">
        <f>D41*Assumptions!$C$56/(Assumptions!$G$14*0.001) /10^9</f>
        <v>1.4459318711496976</v>
      </c>
      <c r="K41" s="40">
        <f>F41*Assumptions!$C$65/(Assumptions!$G$14*0.001) /10^9</f>
        <v>4.1756131091076423</v>
      </c>
      <c r="L41" s="47">
        <f>4*Assumptions!$C$10/Assumptions!$G$14</f>
        <v>3.5850379503898764</v>
      </c>
      <c r="M41" s="46">
        <v>84.69</v>
      </c>
      <c r="N41">
        <v>129</v>
      </c>
      <c r="O41" s="44">
        <f>N41*Assumptions!$C$97/(Assumptions!$G$15*0.001) /10^9*M41/100</f>
        <v>34.757922428695501</v>
      </c>
      <c r="P41" s="48">
        <f>Assumptions!$C$115*Assumptions!$C$113/(Assumptions!$G$15*0.001) /10^9</f>
        <v>3.5836390578944357</v>
      </c>
      <c r="Q41" s="42">
        <f t="shared" si="0"/>
        <v>134.28860740547339</v>
      </c>
      <c r="S41" s="29" t="str">
        <f t="shared" si="1"/>
        <v>(470,29,30,100,129,0.85)</v>
      </c>
    </row>
    <row r="42" spans="2:19">
      <c r="B42" s="38">
        <v>12</v>
      </c>
      <c r="C42">
        <v>470</v>
      </c>
      <c r="D42" s="39">
        <v>29</v>
      </c>
      <c r="E42">
        <v>40</v>
      </c>
      <c r="F42" s="39">
        <v>100</v>
      </c>
      <c r="G42" s="40">
        <f>B42*Assumptions!$C$19*365*24*Assumptions!$D$26*1000/(Assumptions!$G$14*0.001) /10^9</f>
        <v>11.502397866094725</v>
      </c>
      <c r="H42" s="40">
        <f>C42*Assumptions!$C$20*365*24*Assumptions!$D$30*1000/(Assumptions!$G$14*0.001) /10^9</f>
        <v>73.91169389924849</v>
      </c>
      <c r="I42" s="40">
        <f>E42*Assumptions!$C$46/(Assumptions!$G$14*0.001) /10^9</f>
        <v>1.7684949638573544</v>
      </c>
      <c r="J42" s="40">
        <f>D42*Assumptions!$C$56/(Assumptions!$G$14*0.001) /10^9</f>
        <v>1.4459318711496976</v>
      </c>
      <c r="K42" s="40">
        <f>F42*Assumptions!$C$65/(Assumptions!$G$14*0.001) /10^9</f>
        <v>4.1756131091076423</v>
      </c>
      <c r="L42" s="47">
        <f>4*Assumptions!$C$10/Assumptions!$G$14</f>
        <v>3.5850379503898764</v>
      </c>
      <c r="M42" s="46">
        <v>86.15</v>
      </c>
      <c r="N42">
        <v>124</v>
      </c>
      <c r="O42" s="44">
        <f>N42*Assumptions!$C$97/(Assumptions!$G$15*0.001) /10^9*M42/100</f>
        <v>33.986694944607159</v>
      </c>
      <c r="P42" s="48">
        <f>Assumptions!$C$115*Assumptions!$C$113/(Assumptions!$G$15*0.001) /10^9</f>
        <v>3.5836390578944357</v>
      </c>
      <c r="Q42" s="42">
        <f t="shared" si="0"/>
        <v>133.95950366234936</v>
      </c>
      <c r="S42" s="29" t="str">
        <f t="shared" si="1"/>
        <v>(470,29,40,100,124,0.86)</v>
      </c>
    </row>
    <row r="43" spans="2:19">
      <c r="B43" s="38">
        <v>12</v>
      </c>
      <c r="C43">
        <v>470</v>
      </c>
      <c r="D43" s="39">
        <v>29</v>
      </c>
      <c r="E43">
        <v>50</v>
      </c>
      <c r="F43" s="39">
        <v>100</v>
      </c>
      <c r="G43" s="40">
        <f>B43*Assumptions!$C$19*365*24*Assumptions!$D$26*1000/(Assumptions!$G$14*0.001) /10^9</f>
        <v>11.502397866094725</v>
      </c>
      <c r="H43" s="40">
        <f>C43*Assumptions!$C$20*365*24*Assumptions!$D$30*1000/(Assumptions!$G$14*0.001) /10^9</f>
        <v>73.91169389924849</v>
      </c>
      <c r="I43" s="40">
        <f>E43*Assumptions!$C$46/(Assumptions!$G$14*0.001) /10^9</f>
        <v>2.2106187048216932</v>
      </c>
      <c r="J43" s="40">
        <f>D43*Assumptions!$C$56/(Assumptions!$G$14*0.001) /10^9</f>
        <v>1.4459318711496976</v>
      </c>
      <c r="K43" s="40">
        <f>F43*Assumptions!$C$65/(Assumptions!$G$14*0.001) /10^9</f>
        <v>4.1756131091076423</v>
      </c>
      <c r="L43" s="47">
        <f>4*Assumptions!$C$10/Assumptions!$G$14</f>
        <v>3.5850379503898764</v>
      </c>
      <c r="M43" s="46">
        <v>86.85</v>
      </c>
      <c r="N43">
        <v>122</v>
      </c>
      <c r="O43" s="44">
        <f>N43*Assumptions!$C$97/(Assumptions!$G$15*0.001) /10^9*M43/100</f>
        <v>33.710222569840113</v>
      </c>
      <c r="P43" s="48">
        <f>Assumptions!$C$115*Assumptions!$C$113/(Assumptions!$G$15*0.001) /10^9</f>
        <v>3.5836390578944357</v>
      </c>
      <c r="Q43" s="42">
        <f t="shared" si="0"/>
        <v>134.12515502854669</v>
      </c>
      <c r="S43" s="29" t="str">
        <f t="shared" si="1"/>
        <v>(470,29,50,100,122,0.87)</v>
      </c>
    </row>
    <row r="44" spans="2:19">
      <c r="B44" s="38">
        <v>12</v>
      </c>
      <c r="C44">
        <v>470</v>
      </c>
      <c r="D44" s="39">
        <v>29</v>
      </c>
      <c r="E44">
        <v>60</v>
      </c>
      <c r="F44" s="39">
        <v>100</v>
      </c>
      <c r="G44" s="40">
        <f>B44*Assumptions!$C$19*365*24*Assumptions!$D$26*1000/(Assumptions!$G$14*0.001) /10^9</f>
        <v>11.502397866094725</v>
      </c>
      <c r="H44" s="40">
        <f>C44*Assumptions!$C$20*365*24*Assumptions!$D$30*1000/(Assumptions!$G$14*0.001) /10^9</f>
        <v>73.91169389924849</v>
      </c>
      <c r="I44" s="40">
        <f>E44*Assumptions!$C$46/(Assumptions!$G$14*0.001) /10^9</f>
        <v>2.652742445786032</v>
      </c>
      <c r="J44" s="40">
        <f>D44*Assumptions!$C$56/(Assumptions!$G$14*0.001) /10^9</f>
        <v>1.4459318711496976</v>
      </c>
      <c r="K44" s="40">
        <f>F44*Assumptions!$C$65/(Assumptions!$G$14*0.001) /10^9</f>
        <v>4.1756131091076423</v>
      </c>
      <c r="L44" s="47">
        <f>4*Assumptions!$C$10/Assumptions!$G$14</f>
        <v>3.5850379503898764</v>
      </c>
      <c r="M44" s="46">
        <v>87.28</v>
      </c>
      <c r="N44">
        <v>121</v>
      </c>
      <c r="O44" s="44">
        <f>N44*Assumptions!$C$97/(Assumptions!$G$15*0.001) /10^9*M44/100</f>
        <v>33.599442729916198</v>
      </c>
      <c r="P44" s="48">
        <f>Assumptions!$C$115*Assumptions!$C$113/(Assumptions!$G$15*0.001) /10^9</f>
        <v>3.5836390578944357</v>
      </c>
      <c r="Q44" s="42">
        <f t="shared" si="0"/>
        <v>134.4564989295871</v>
      </c>
      <c r="S44" s="29" t="str">
        <f t="shared" si="1"/>
        <v>(470,29,60,100,121,0.87)</v>
      </c>
    </row>
    <row r="45" spans="2:19">
      <c r="B45" s="38">
        <v>12</v>
      </c>
      <c r="C45">
        <v>470</v>
      </c>
      <c r="D45" s="39">
        <v>29</v>
      </c>
      <c r="E45">
        <v>70</v>
      </c>
      <c r="F45" s="39">
        <v>100</v>
      </c>
      <c r="G45" s="40">
        <f>B45*Assumptions!$C$19*365*24*Assumptions!$D$26*1000/(Assumptions!$G$14*0.001) /10^9</f>
        <v>11.502397866094725</v>
      </c>
      <c r="H45" s="40">
        <f>C45*Assumptions!$C$20*365*24*Assumptions!$D$30*1000/(Assumptions!$G$14*0.001) /10^9</f>
        <v>73.91169389924849</v>
      </c>
      <c r="I45" s="40">
        <f>E45*Assumptions!$C$46/(Assumptions!$G$14*0.001) /10^9</f>
        <v>3.0948661867503704</v>
      </c>
      <c r="J45" s="40">
        <f>D45*Assumptions!$C$56/(Assumptions!$G$14*0.001) /10^9</f>
        <v>1.4459318711496976</v>
      </c>
      <c r="K45" s="40">
        <f>F45*Assumptions!$C$65/(Assumptions!$G$14*0.001) /10^9</f>
        <v>4.1756131091076423</v>
      </c>
      <c r="L45" s="47">
        <f>4*Assumptions!$C$10/Assumptions!$G$14</f>
        <v>3.5850379503898764</v>
      </c>
      <c r="M45" s="46">
        <v>87.54</v>
      </c>
      <c r="N45">
        <v>121</v>
      </c>
      <c r="O45" s="44">
        <f>N45*Assumptions!$C$97/(Assumptions!$G$15*0.001) /10^9*M45/100</f>
        <v>33.699532728882495</v>
      </c>
      <c r="P45" s="48">
        <f>Assumptions!$C$115*Assumptions!$C$113/(Assumptions!$G$15*0.001) /10^9</f>
        <v>3.5836390578944357</v>
      </c>
      <c r="Q45" s="42">
        <f t="shared" si="0"/>
        <v>134.99871266951772</v>
      </c>
      <c r="S45" s="29" t="str">
        <f t="shared" si="1"/>
        <v>(470,29,70,100,121,0.88)</v>
      </c>
    </row>
    <row r="46" spans="2:19">
      <c r="B46" s="38">
        <v>12</v>
      </c>
      <c r="C46">
        <v>470</v>
      </c>
      <c r="D46" s="39">
        <v>29</v>
      </c>
      <c r="E46">
        <v>80</v>
      </c>
      <c r="F46" s="39">
        <v>100</v>
      </c>
      <c r="G46" s="40">
        <f>B46*Assumptions!$C$19*365*24*Assumptions!$D$26*1000/(Assumptions!$G$14*0.001) /10^9</f>
        <v>11.502397866094725</v>
      </c>
      <c r="H46" s="40">
        <f>C46*Assumptions!$C$20*365*24*Assumptions!$D$30*1000/(Assumptions!$G$14*0.001) /10^9</f>
        <v>73.91169389924849</v>
      </c>
      <c r="I46" s="40">
        <f>E46*Assumptions!$C$46/(Assumptions!$G$14*0.001) /10^9</f>
        <v>3.5369899277147088</v>
      </c>
      <c r="J46" s="40">
        <f>D46*Assumptions!$C$56/(Assumptions!$G$14*0.001) /10^9</f>
        <v>1.4459318711496976</v>
      </c>
      <c r="K46" s="40">
        <f>F46*Assumptions!$C$65/(Assumptions!$G$14*0.001) /10^9</f>
        <v>4.1756131091076423</v>
      </c>
      <c r="L46" s="47">
        <f>4*Assumptions!$C$10/Assumptions!$G$14</f>
        <v>3.5850379503898764</v>
      </c>
      <c r="M46" s="46">
        <v>87.74</v>
      </c>
      <c r="N46">
        <v>120</v>
      </c>
      <c r="O46" s="44">
        <f>N46*Assumptions!$C$97/(Assumptions!$G$15*0.001) /10^9*M46/100</f>
        <v>33.4973802007732</v>
      </c>
      <c r="P46" s="48">
        <f>Assumptions!$C$115*Assumptions!$C$113/(Assumptions!$G$15*0.001) /10^9</f>
        <v>3.5836390578944357</v>
      </c>
      <c r="Q46" s="42">
        <f t="shared" si="0"/>
        <v>135.23868388237278</v>
      </c>
      <c r="S46" s="29" t="str">
        <f t="shared" si="1"/>
        <v>(470,29,80,100,120,0.88)</v>
      </c>
    </row>
    <row r="47" spans="2:19">
      <c r="B47" s="38">
        <v>12</v>
      </c>
      <c r="C47">
        <v>470</v>
      </c>
      <c r="D47" s="39">
        <v>29</v>
      </c>
      <c r="E47">
        <v>90</v>
      </c>
      <c r="F47" s="39">
        <v>100</v>
      </c>
      <c r="G47" s="40">
        <f>B47*Assumptions!$C$19*365*24*Assumptions!$D$26*1000/(Assumptions!$G$14*0.001) /10^9</f>
        <v>11.502397866094725</v>
      </c>
      <c r="H47" s="40">
        <f>C47*Assumptions!$C$20*365*24*Assumptions!$D$30*1000/(Assumptions!$G$14*0.001) /10^9</f>
        <v>73.91169389924849</v>
      </c>
      <c r="I47" s="40">
        <f>E47*Assumptions!$C$46/(Assumptions!$G$14*0.001) /10^9</f>
        <v>3.979113668679048</v>
      </c>
      <c r="J47" s="40">
        <f>D47*Assumptions!$C$56/(Assumptions!$G$14*0.001) /10^9</f>
        <v>1.4459318711496976</v>
      </c>
      <c r="K47" s="40">
        <f>F47*Assumptions!$C$65/(Assumptions!$G$14*0.001) /10^9</f>
        <v>4.1756131091076423</v>
      </c>
      <c r="L47" s="47">
        <f>4*Assumptions!$C$10/Assumptions!$G$14</f>
        <v>3.5850379503898764</v>
      </c>
      <c r="M47" s="46">
        <v>87.82</v>
      </c>
      <c r="N47">
        <v>120</v>
      </c>
      <c r="O47" s="44">
        <f>N47*Assumptions!$C$97/(Assumptions!$G$15*0.001) /10^9*M47/100</f>
        <v>33.527922603509261</v>
      </c>
      <c r="P47" s="48">
        <f>Assumptions!$C$115*Assumptions!$C$113/(Assumptions!$G$15*0.001) /10^9</f>
        <v>3.5836390578944357</v>
      </c>
      <c r="Q47" s="42">
        <f t="shared" si="0"/>
        <v>135.71135002607318</v>
      </c>
      <c r="S47" s="29" t="str">
        <f t="shared" si="1"/>
        <v>(470,29,90,100,120,0.88)</v>
      </c>
    </row>
    <row r="48" spans="2:19">
      <c r="B48" s="38">
        <v>12</v>
      </c>
      <c r="C48">
        <v>470</v>
      </c>
      <c r="D48" s="39">
        <v>29</v>
      </c>
      <c r="E48">
        <v>100</v>
      </c>
      <c r="F48" s="39">
        <v>100</v>
      </c>
      <c r="G48" s="40">
        <f>B48*Assumptions!$C$19*365*24*Assumptions!$D$26*1000/(Assumptions!$G$14*0.001) /10^9</f>
        <v>11.502397866094725</v>
      </c>
      <c r="H48" s="40">
        <f>C48*Assumptions!$C$20*365*24*Assumptions!$D$30*1000/(Assumptions!$G$14*0.001) /10^9</f>
        <v>73.91169389924849</v>
      </c>
      <c r="I48" s="40">
        <f>E48*Assumptions!$C$46/(Assumptions!$G$14*0.001) /10^9</f>
        <v>4.4212374096433864</v>
      </c>
      <c r="J48" s="40">
        <f>D48*Assumptions!$C$56/(Assumptions!$G$14*0.001) /10^9</f>
        <v>1.4459318711496976</v>
      </c>
      <c r="K48" s="40">
        <f>F48*Assumptions!$C$65/(Assumptions!$G$14*0.001) /10^9</f>
        <v>4.1756131091076423</v>
      </c>
      <c r="L48" s="47">
        <f>4*Assumptions!$C$10/Assumptions!$G$14</f>
        <v>3.5850379503898764</v>
      </c>
      <c r="M48" s="46">
        <v>87.88</v>
      </c>
      <c r="N48">
        <v>120</v>
      </c>
      <c r="O48" s="44">
        <f>N48*Assumptions!$C$97/(Assumptions!$G$15*0.001) /10^9*M48/100</f>
        <v>33.550829405561302</v>
      </c>
      <c r="P48" s="48">
        <f>Assumptions!$C$115*Assumptions!$C$113/(Assumptions!$G$15*0.001) /10^9</f>
        <v>3.5836390578944357</v>
      </c>
      <c r="Q48" s="42">
        <f t="shared" si="0"/>
        <v>136.17638056908956</v>
      </c>
      <c r="S48" s="29" t="str">
        <f t="shared" si="1"/>
        <v>(470,29,100,100,120,0.88)</v>
      </c>
    </row>
    <row r="49" spans="2:19">
      <c r="B49" s="38">
        <v>12</v>
      </c>
      <c r="C49">
        <v>480</v>
      </c>
      <c r="D49" s="39">
        <v>29</v>
      </c>
      <c r="E49">
        <v>20</v>
      </c>
      <c r="F49" s="39">
        <v>100</v>
      </c>
      <c r="G49" s="40">
        <f>B49*Assumptions!$C$19*365*24*Assumptions!$D$26*1000/(Assumptions!$G$14*0.001) /10^9</f>
        <v>11.502397866094725</v>
      </c>
      <c r="H49" s="40">
        <f>C49*Assumptions!$C$20*365*24*Assumptions!$D$30*1000/(Assumptions!$G$14*0.001) /10^9</f>
        <v>75.484283131147393</v>
      </c>
      <c r="I49" s="40">
        <f>E49*Assumptions!$C$46/(Assumptions!$G$14*0.001) /10^9</f>
        <v>0.88424748192867719</v>
      </c>
      <c r="J49" s="40">
        <f>D49*Assumptions!$C$56/(Assumptions!$G$14*0.001) /10^9</f>
        <v>1.4459318711496976</v>
      </c>
      <c r="K49" s="40">
        <f>F49*Assumptions!$C$65/(Assumptions!$G$14*0.001) /10^9</f>
        <v>4.1756131091076423</v>
      </c>
      <c r="L49" s="47">
        <f>4*Assumptions!$C$10/Assumptions!$G$14</f>
        <v>3.5850379503898764</v>
      </c>
      <c r="M49" s="46">
        <v>83.06</v>
      </c>
      <c r="N49">
        <v>130</v>
      </c>
      <c r="O49" s="44">
        <f>N49*Assumptions!$C$97/(Assumptions!$G$15*0.001) /10^9*M49/100</f>
        <v>34.353203777439873</v>
      </c>
      <c r="P49" s="48">
        <f>Assumptions!$C$115*Assumptions!$C$113/(Assumptions!$G$15*0.001) /10^9</f>
        <v>3.5836390578944357</v>
      </c>
      <c r="Q49" s="42">
        <f t="shared" si="0"/>
        <v>135.0143542451523</v>
      </c>
      <c r="S49" s="29" t="str">
        <f t="shared" si="1"/>
        <v>(480,29,20,100,130,0.83)</v>
      </c>
    </row>
    <row r="50" spans="2:19">
      <c r="B50" s="38">
        <v>12</v>
      </c>
      <c r="C50">
        <v>480</v>
      </c>
      <c r="D50" s="39">
        <v>29</v>
      </c>
      <c r="E50">
        <v>30</v>
      </c>
      <c r="F50" s="39">
        <v>100</v>
      </c>
      <c r="G50" s="40">
        <f>B50*Assumptions!$C$19*365*24*Assumptions!$D$26*1000/(Assumptions!$G$14*0.001) /10^9</f>
        <v>11.502397866094725</v>
      </c>
      <c r="H50" s="40">
        <f>C50*Assumptions!$C$20*365*24*Assumptions!$D$30*1000/(Assumptions!$G$14*0.001) /10^9</f>
        <v>75.484283131147393</v>
      </c>
      <c r="I50" s="40">
        <f>E50*Assumptions!$C$46/(Assumptions!$G$14*0.001) /10^9</f>
        <v>1.326371222893016</v>
      </c>
      <c r="J50" s="40">
        <f>D50*Assumptions!$C$56/(Assumptions!$G$14*0.001) /10^9</f>
        <v>1.4459318711496976</v>
      </c>
      <c r="K50" s="40">
        <f>F50*Assumptions!$C$65/(Assumptions!$G$14*0.001) /10^9</f>
        <v>4.1756131091076423</v>
      </c>
      <c r="L50" s="47">
        <f>4*Assumptions!$C$10/Assumptions!$G$14</f>
        <v>3.5850379503898764</v>
      </c>
      <c r="M50" s="46">
        <v>85.95</v>
      </c>
      <c r="N50">
        <v>122</v>
      </c>
      <c r="O50" s="44">
        <f>N50*Assumptions!$C$97/(Assumptions!$G$15*0.001) /10^9*M50/100</f>
        <v>33.360893838546438</v>
      </c>
      <c r="P50" s="48">
        <f>Assumptions!$C$115*Assumptions!$C$113/(Assumptions!$G$15*0.001) /10^9</f>
        <v>3.5836390578944357</v>
      </c>
      <c r="Q50" s="42">
        <f t="shared" si="0"/>
        <v>134.46416804722321</v>
      </c>
      <c r="S50" s="29" t="str">
        <f t="shared" si="1"/>
        <v>(480,29,30,100,122,0.86)</v>
      </c>
    </row>
    <row r="51" spans="2:19">
      <c r="B51" s="38">
        <v>12</v>
      </c>
      <c r="C51">
        <v>480</v>
      </c>
      <c r="D51" s="39">
        <v>29</v>
      </c>
      <c r="E51">
        <v>40</v>
      </c>
      <c r="F51" s="39">
        <v>100</v>
      </c>
      <c r="G51" s="40">
        <f>B51*Assumptions!$C$19*365*24*Assumptions!$D$26*1000/(Assumptions!$G$14*0.001) /10^9</f>
        <v>11.502397866094725</v>
      </c>
      <c r="H51" s="40">
        <f>C51*Assumptions!$C$20*365*24*Assumptions!$D$30*1000/(Assumptions!$G$14*0.001) /10^9</f>
        <v>75.484283131147393</v>
      </c>
      <c r="I51" s="40">
        <f>E51*Assumptions!$C$46/(Assumptions!$G$14*0.001) /10^9</f>
        <v>1.7684949638573544</v>
      </c>
      <c r="J51" s="40">
        <f>D51*Assumptions!$C$56/(Assumptions!$G$14*0.001) /10^9</f>
        <v>1.4459318711496976</v>
      </c>
      <c r="K51" s="40">
        <f>F51*Assumptions!$C$65/(Assumptions!$G$14*0.001) /10^9</f>
        <v>4.1756131091076423</v>
      </c>
      <c r="L51" s="47">
        <f>4*Assumptions!$C$10/Assumptions!$G$14</f>
        <v>3.5850379503898764</v>
      </c>
      <c r="M51" s="46">
        <v>87.23</v>
      </c>
      <c r="N51">
        <v>118</v>
      </c>
      <c r="O51" s="44">
        <f>N51*Assumptions!$C$97/(Assumptions!$G$15*0.001) /10^9*M51/100</f>
        <v>32.74762784360864</v>
      </c>
      <c r="P51" s="48">
        <f>Assumptions!$C$115*Assumptions!$C$113/(Assumptions!$G$15*0.001) /10^9</f>
        <v>3.5836390578944357</v>
      </c>
      <c r="Q51" s="42">
        <f t="shared" si="0"/>
        <v>134.29302579324977</v>
      </c>
      <c r="S51" s="29" t="str">
        <f t="shared" si="1"/>
        <v>(480,29,40,100,118,0.87)</v>
      </c>
    </row>
    <row r="52" spans="2:19">
      <c r="B52" s="38">
        <v>12</v>
      </c>
      <c r="C52">
        <v>480</v>
      </c>
      <c r="D52" s="39">
        <v>29</v>
      </c>
      <c r="E52">
        <v>50</v>
      </c>
      <c r="F52" s="39">
        <v>100</v>
      </c>
      <c r="G52" s="40">
        <f>B52*Assumptions!$C$19*365*24*Assumptions!$D$26*1000/(Assumptions!$G$14*0.001) /10^9</f>
        <v>11.502397866094725</v>
      </c>
      <c r="H52" s="40">
        <f>C52*Assumptions!$C$20*365*24*Assumptions!$D$30*1000/(Assumptions!$G$14*0.001) /10^9</f>
        <v>75.484283131147393</v>
      </c>
      <c r="I52" s="40">
        <f>E52*Assumptions!$C$46/(Assumptions!$G$14*0.001) /10^9</f>
        <v>2.2106187048216932</v>
      </c>
      <c r="J52" s="40">
        <f>D52*Assumptions!$C$56/(Assumptions!$G$14*0.001) /10^9</f>
        <v>1.4459318711496976</v>
      </c>
      <c r="K52" s="40">
        <f>F52*Assumptions!$C$65/(Assumptions!$G$14*0.001) /10^9</f>
        <v>4.1756131091076423</v>
      </c>
      <c r="L52" s="47">
        <f>4*Assumptions!$C$10/Assumptions!$G$14</f>
        <v>3.5850379503898764</v>
      </c>
      <c r="M52" s="46">
        <v>87.94</v>
      </c>
      <c r="N52">
        <v>117</v>
      </c>
      <c r="O52" s="44">
        <f>N52*Assumptions!$C$97/(Assumptions!$G$15*0.001) /10^9*M52/100</f>
        <v>32.734392802423017</v>
      </c>
      <c r="P52" s="48">
        <f>Assumptions!$C$115*Assumptions!$C$113/(Assumptions!$G$15*0.001) /10^9</f>
        <v>3.5836390578944357</v>
      </c>
      <c r="Q52" s="42">
        <f t="shared" si="0"/>
        <v>134.72191449302849</v>
      </c>
      <c r="S52" s="29" t="str">
        <f t="shared" si="1"/>
        <v>(480,29,50,100,117,0.88)</v>
      </c>
    </row>
    <row r="53" spans="2:19">
      <c r="B53" s="38">
        <v>12</v>
      </c>
      <c r="C53">
        <v>480</v>
      </c>
      <c r="D53" s="39">
        <v>29</v>
      </c>
      <c r="E53">
        <v>60</v>
      </c>
      <c r="F53" s="39">
        <v>100</v>
      </c>
      <c r="G53" s="40">
        <f>B53*Assumptions!$C$19*365*24*Assumptions!$D$26*1000/(Assumptions!$G$14*0.001) /10^9</f>
        <v>11.502397866094725</v>
      </c>
      <c r="H53" s="40">
        <f>C53*Assumptions!$C$20*365*24*Assumptions!$D$30*1000/(Assumptions!$G$14*0.001) /10^9</f>
        <v>75.484283131147393</v>
      </c>
      <c r="I53" s="40">
        <f>E53*Assumptions!$C$46/(Assumptions!$G$14*0.001) /10^9</f>
        <v>2.652742445786032</v>
      </c>
      <c r="J53" s="40">
        <f>D53*Assumptions!$C$56/(Assumptions!$G$14*0.001) /10^9</f>
        <v>1.4459318711496976</v>
      </c>
      <c r="K53" s="40">
        <f>F53*Assumptions!$C$65/(Assumptions!$G$14*0.001) /10^9</f>
        <v>4.1756131091076423</v>
      </c>
      <c r="L53" s="47">
        <f>4*Assumptions!$C$10/Assumptions!$G$14</f>
        <v>3.5850379503898764</v>
      </c>
      <c r="M53" s="46">
        <v>88.27</v>
      </c>
      <c r="N53">
        <v>116</v>
      </c>
      <c r="O53" s="44">
        <f>N53*Assumptions!$C$97/(Assumptions!$G$15*0.001) /10^9*M53/100</f>
        <v>32.576399498269609</v>
      </c>
      <c r="P53" s="48">
        <f>Assumptions!$C$115*Assumptions!$C$113/(Assumptions!$G$15*0.001) /10^9</f>
        <v>3.5836390578944357</v>
      </c>
      <c r="Q53" s="42">
        <f t="shared" si="0"/>
        <v>135.00604492983942</v>
      </c>
      <c r="S53" s="29" t="str">
        <f t="shared" si="1"/>
        <v>(480,29,60,100,116,0.88)</v>
      </c>
    </row>
    <row r="54" spans="2:19">
      <c r="B54" s="38">
        <v>12</v>
      </c>
      <c r="C54">
        <v>480</v>
      </c>
      <c r="D54" s="39">
        <v>29</v>
      </c>
      <c r="E54">
        <v>70</v>
      </c>
      <c r="F54" s="39">
        <v>100</v>
      </c>
      <c r="G54" s="40">
        <f>B54*Assumptions!$C$19*365*24*Assumptions!$D$26*1000/(Assumptions!$G$14*0.001) /10^9</f>
        <v>11.502397866094725</v>
      </c>
      <c r="H54" s="40">
        <f>C54*Assumptions!$C$20*365*24*Assumptions!$D$30*1000/(Assumptions!$G$14*0.001) /10^9</f>
        <v>75.484283131147393</v>
      </c>
      <c r="I54" s="40">
        <f>E54*Assumptions!$C$46/(Assumptions!$G$14*0.001) /10^9</f>
        <v>3.0948661867503704</v>
      </c>
      <c r="J54" s="40">
        <f>D54*Assumptions!$C$56/(Assumptions!$G$14*0.001) /10^9</f>
        <v>1.4459318711496976</v>
      </c>
      <c r="K54" s="40">
        <f>F54*Assumptions!$C$65/(Assumptions!$G$14*0.001) /10^9</f>
        <v>4.1756131091076423</v>
      </c>
      <c r="L54" s="47">
        <f>4*Assumptions!$C$10/Assumptions!$G$14</f>
        <v>3.5850379503898764</v>
      </c>
      <c r="M54" s="46">
        <v>88.56</v>
      </c>
      <c r="N54">
        <v>116</v>
      </c>
      <c r="O54" s="44">
        <f>N54*Assumptions!$C$97/(Assumptions!$G$15*0.001) /10^9*M54/100</f>
        <v>32.683425167857223</v>
      </c>
      <c r="P54" s="48">
        <f>Assumptions!$C$115*Assumptions!$C$113/(Assumptions!$G$15*0.001) /10^9</f>
        <v>3.5836390578944357</v>
      </c>
      <c r="Q54" s="42">
        <f t="shared" si="0"/>
        <v>135.55519434039135</v>
      </c>
      <c r="S54" s="29" t="str">
        <f t="shared" si="1"/>
        <v>(480,29,70,100,116,0.89)</v>
      </c>
    </row>
    <row r="55" spans="2:19">
      <c r="B55" s="38">
        <v>12</v>
      </c>
      <c r="C55">
        <v>480</v>
      </c>
      <c r="D55" s="39">
        <v>29</v>
      </c>
      <c r="E55">
        <v>80</v>
      </c>
      <c r="F55" s="39">
        <v>100</v>
      </c>
      <c r="G55" s="40">
        <f>B55*Assumptions!$C$19*365*24*Assumptions!$D$26*1000/(Assumptions!$G$14*0.001) /10^9</f>
        <v>11.502397866094725</v>
      </c>
      <c r="H55" s="40">
        <f>C55*Assumptions!$C$20*365*24*Assumptions!$D$30*1000/(Assumptions!$G$14*0.001) /10^9</f>
        <v>75.484283131147393</v>
      </c>
      <c r="I55" s="40">
        <f>E55*Assumptions!$C$46/(Assumptions!$G$14*0.001) /10^9</f>
        <v>3.5369899277147088</v>
      </c>
      <c r="J55" s="40">
        <f>D55*Assumptions!$C$56/(Assumptions!$G$14*0.001) /10^9</f>
        <v>1.4459318711496976</v>
      </c>
      <c r="K55" s="40">
        <f>F55*Assumptions!$C$65/(Assumptions!$G$14*0.001) /10^9</f>
        <v>4.1756131091076423</v>
      </c>
      <c r="L55" s="47">
        <f>4*Assumptions!$C$10/Assumptions!$G$14</f>
        <v>3.5850379503898764</v>
      </c>
      <c r="M55" s="46">
        <v>88.7</v>
      </c>
      <c r="N55">
        <v>116</v>
      </c>
      <c r="O55" s="44">
        <f>N55*Assumptions!$C$97/(Assumptions!$G$15*0.001) /10^9*M55/100</f>
        <v>32.735092732485725</v>
      </c>
      <c r="P55" s="48">
        <f>Assumptions!$C$115*Assumptions!$C$113/(Assumptions!$G$15*0.001) /10^9</f>
        <v>3.5836390578944357</v>
      </c>
      <c r="Q55" s="42">
        <f t="shared" si="0"/>
        <v>136.0489856459842</v>
      </c>
      <c r="S55" s="29" t="str">
        <f t="shared" si="1"/>
        <v>(480,29,80,100,116,0.89)</v>
      </c>
    </row>
    <row r="56" spans="2:19">
      <c r="B56" s="38">
        <v>12</v>
      </c>
      <c r="C56">
        <v>480</v>
      </c>
      <c r="D56" s="39">
        <v>29</v>
      </c>
      <c r="E56">
        <v>90</v>
      </c>
      <c r="F56" s="39">
        <v>100</v>
      </c>
      <c r="G56" s="40">
        <f>B56*Assumptions!$C$19*365*24*Assumptions!$D$26*1000/(Assumptions!$G$14*0.001) /10^9</f>
        <v>11.502397866094725</v>
      </c>
      <c r="H56" s="40">
        <f>C56*Assumptions!$C$20*365*24*Assumptions!$D$30*1000/(Assumptions!$G$14*0.001) /10^9</f>
        <v>75.484283131147393</v>
      </c>
      <c r="I56" s="40">
        <f>E56*Assumptions!$C$46/(Assumptions!$G$14*0.001) /10^9</f>
        <v>3.979113668679048</v>
      </c>
      <c r="J56" s="40">
        <f>D56*Assumptions!$C$56/(Assumptions!$G$14*0.001) /10^9</f>
        <v>1.4459318711496976</v>
      </c>
      <c r="K56" s="40">
        <f>F56*Assumptions!$C$65/(Assumptions!$G$14*0.001) /10^9</f>
        <v>4.1756131091076423</v>
      </c>
      <c r="L56" s="47">
        <f>4*Assumptions!$C$10/Assumptions!$G$14</f>
        <v>3.5850379503898764</v>
      </c>
      <c r="M56" s="46">
        <v>88.77</v>
      </c>
      <c r="N56">
        <v>115</v>
      </c>
      <c r="O56" s="44">
        <f>N56*Assumptions!$C$97/(Assumptions!$G$15*0.001) /10^9*M56/100</f>
        <v>32.478504734499964</v>
      </c>
      <c r="P56" s="48">
        <f>Assumptions!$C$115*Assumptions!$C$113/(Assumptions!$G$15*0.001) /10^9</f>
        <v>3.5836390578944357</v>
      </c>
      <c r="Q56" s="42">
        <f t="shared" si="0"/>
        <v>136.23452138896278</v>
      </c>
      <c r="S56" s="29" t="str">
        <f t="shared" si="1"/>
        <v>(480,29,90,100,115,0.89)</v>
      </c>
    </row>
    <row r="57" spans="2:19">
      <c r="B57" s="38">
        <v>12</v>
      </c>
      <c r="C57">
        <v>480</v>
      </c>
      <c r="D57" s="39">
        <v>29</v>
      </c>
      <c r="E57">
        <v>100</v>
      </c>
      <c r="F57" s="39">
        <v>100</v>
      </c>
      <c r="G57" s="40">
        <f>B57*Assumptions!$C$19*365*24*Assumptions!$D$26*1000/(Assumptions!$G$14*0.001) /10^9</f>
        <v>11.502397866094725</v>
      </c>
      <c r="H57" s="40">
        <f>C57*Assumptions!$C$20*365*24*Assumptions!$D$30*1000/(Assumptions!$G$14*0.001) /10^9</f>
        <v>75.484283131147393</v>
      </c>
      <c r="I57" s="40">
        <f>E57*Assumptions!$C$46/(Assumptions!$G$14*0.001) /10^9</f>
        <v>4.4212374096433864</v>
      </c>
      <c r="J57" s="40">
        <f>D57*Assumptions!$C$56/(Assumptions!$G$14*0.001) /10^9</f>
        <v>1.4459318711496976</v>
      </c>
      <c r="K57" s="40">
        <f>F57*Assumptions!$C$65/(Assumptions!$G$14*0.001) /10^9</f>
        <v>4.1756131091076423</v>
      </c>
      <c r="L57" s="47">
        <f>4*Assumptions!$C$10/Assumptions!$G$14</f>
        <v>3.5850379503898764</v>
      </c>
      <c r="M57" s="46">
        <v>88.82</v>
      </c>
      <c r="N57">
        <v>115</v>
      </c>
      <c r="O57" s="44">
        <f>N57*Assumptions!$C$97/(Assumptions!$G$15*0.001) /10^9*M57/100</f>
        <v>32.496798361138751</v>
      </c>
      <c r="P57" s="48">
        <f>Assumptions!$C$115*Assumptions!$C$113/(Assumptions!$G$15*0.001) /10^9</f>
        <v>3.5836390578944357</v>
      </c>
      <c r="Q57" s="42">
        <f t="shared" si="0"/>
        <v>136.6949387565659</v>
      </c>
      <c r="S57" s="29" t="str">
        <f t="shared" si="1"/>
        <v>(480,29,100,100,115,0.89)</v>
      </c>
    </row>
    <row r="58" spans="2:19">
      <c r="B58" s="38">
        <v>12</v>
      </c>
      <c r="C58">
        <v>490</v>
      </c>
      <c r="D58" s="39">
        <v>29</v>
      </c>
      <c r="E58">
        <v>20</v>
      </c>
      <c r="F58" s="39">
        <v>100</v>
      </c>
      <c r="G58" s="40">
        <f>B58*Assumptions!$C$19*365*24*Assumptions!$D$26*1000/(Assumptions!$G$14*0.001) /10^9</f>
        <v>11.502397866094725</v>
      </c>
      <c r="H58" s="40">
        <f>C58*Assumptions!$C$20*365*24*Assumptions!$D$30*1000/(Assumptions!$G$14*0.001) /10^9</f>
        <v>77.056872363046296</v>
      </c>
      <c r="I58" s="40">
        <f>E58*Assumptions!$C$46/(Assumptions!$G$14*0.001) /10^9</f>
        <v>0.88424748192867719</v>
      </c>
      <c r="J58" s="40">
        <f>D58*Assumptions!$C$56/(Assumptions!$G$14*0.001) /10^9</f>
        <v>1.4459318711496976</v>
      </c>
      <c r="K58" s="40">
        <f>F58*Assumptions!$C$65/(Assumptions!$G$14*0.001) /10^9</f>
        <v>4.1756131091076423</v>
      </c>
      <c r="L58" s="47">
        <f>4*Assumptions!$C$10/Assumptions!$G$14</f>
        <v>3.5850379503898764</v>
      </c>
      <c r="M58" s="46">
        <v>84.22</v>
      </c>
      <c r="N58">
        <v>123</v>
      </c>
      <c r="O58" s="44">
        <f>N58*Assumptions!$C$97/(Assumptions!$G$15*0.001) /10^9*M58/100</f>
        <v>32.957352342396256</v>
      </c>
      <c r="P58" s="48">
        <f>Assumptions!$C$115*Assumptions!$C$113/(Assumptions!$G$15*0.001) /10^9</f>
        <v>3.5836390578944357</v>
      </c>
      <c r="Q58" s="42">
        <f t="shared" si="0"/>
        <v>135.1910920420076</v>
      </c>
      <c r="S58" s="29" t="str">
        <f t="shared" si="1"/>
        <v>(490,29,20,100,123,0.84)</v>
      </c>
    </row>
    <row r="59" spans="2:19">
      <c r="B59" s="38">
        <v>12</v>
      </c>
      <c r="C59">
        <v>490</v>
      </c>
      <c r="D59" s="39">
        <v>29</v>
      </c>
      <c r="E59">
        <v>30</v>
      </c>
      <c r="F59" s="39">
        <v>100</v>
      </c>
      <c r="G59" s="40">
        <f>B59*Assumptions!$C$19*365*24*Assumptions!$D$26*1000/(Assumptions!$G$14*0.001) /10^9</f>
        <v>11.502397866094725</v>
      </c>
      <c r="H59" s="40">
        <f>C59*Assumptions!$C$20*365*24*Assumptions!$D$30*1000/(Assumptions!$G$14*0.001) /10^9</f>
        <v>77.056872363046296</v>
      </c>
      <c r="I59" s="40">
        <f>E59*Assumptions!$C$46/(Assumptions!$G$14*0.001) /10^9</f>
        <v>1.326371222893016</v>
      </c>
      <c r="J59" s="40">
        <f>D59*Assumptions!$C$56/(Assumptions!$G$14*0.001) /10^9</f>
        <v>1.4459318711496976</v>
      </c>
      <c r="K59" s="40">
        <f>F59*Assumptions!$C$65/(Assumptions!$G$14*0.001) /10^9</f>
        <v>4.1756131091076423</v>
      </c>
      <c r="L59" s="47">
        <f>4*Assumptions!$C$10/Assumptions!$G$14</f>
        <v>3.5850379503898764</v>
      </c>
      <c r="M59" s="46">
        <v>86.87</v>
      </c>
      <c r="N59">
        <v>117</v>
      </c>
      <c r="O59" s="44">
        <f>N59*Assumptions!$C$97/(Assumptions!$G$15*0.001) /10^9*M59/100</f>
        <v>32.336100781743092</v>
      </c>
      <c r="P59" s="48">
        <f>Assumptions!$C$115*Assumptions!$C$113/(Assumptions!$G$15*0.001) /10^9</f>
        <v>3.5836390578944357</v>
      </c>
      <c r="Q59" s="42">
        <f t="shared" si="0"/>
        <v>135.01196422231877</v>
      </c>
      <c r="S59" s="29" t="str">
        <f t="shared" si="1"/>
        <v>(490,29,30,100,117,0.87)</v>
      </c>
    </row>
    <row r="60" spans="2:19">
      <c r="B60" s="38">
        <v>12</v>
      </c>
      <c r="C60">
        <v>490</v>
      </c>
      <c r="D60" s="39">
        <v>29</v>
      </c>
      <c r="E60">
        <v>40</v>
      </c>
      <c r="F60" s="39">
        <v>100</v>
      </c>
      <c r="G60" s="40">
        <f>B60*Assumptions!$C$19*365*24*Assumptions!$D$26*1000/(Assumptions!$G$14*0.001) /10^9</f>
        <v>11.502397866094725</v>
      </c>
      <c r="H60" s="40">
        <f>C60*Assumptions!$C$20*365*24*Assumptions!$D$30*1000/(Assumptions!$G$14*0.001) /10^9</f>
        <v>77.056872363046296</v>
      </c>
      <c r="I60" s="40">
        <f>E60*Assumptions!$C$46/(Assumptions!$G$14*0.001) /10^9</f>
        <v>1.7684949638573544</v>
      </c>
      <c r="J60" s="40">
        <f>D60*Assumptions!$C$56/(Assumptions!$G$14*0.001) /10^9</f>
        <v>1.4459318711496976</v>
      </c>
      <c r="K60" s="40">
        <f>F60*Assumptions!$C$65/(Assumptions!$G$14*0.001) /10^9</f>
        <v>4.1756131091076423</v>
      </c>
      <c r="L60" s="47">
        <f>4*Assumptions!$C$10/Assumptions!$G$14</f>
        <v>3.5850379503898764</v>
      </c>
      <c r="M60" s="46">
        <v>88.21</v>
      </c>
      <c r="N60">
        <v>114</v>
      </c>
      <c r="O60" s="44">
        <f>N60*Assumptions!$C$97/(Assumptions!$G$15*0.001) /10^9*M60/100</f>
        <v>31.992975976005173</v>
      </c>
      <c r="P60" s="48">
        <f>Assumptions!$C$115*Assumptions!$C$113/(Assumptions!$G$15*0.001) /10^9</f>
        <v>3.5836390578944357</v>
      </c>
      <c r="Q60" s="42">
        <f t="shared" si="0"/>
        <v>135.1109631575452</v>
      </c>
      <c r="S60" s="29" t="str">
        <f t="shared" si="1"/>
        <v>(490,29,40,100,114,0.88)</v>
      </c>
    </row>
    <row r="61" spans="2:19">
      <c r="B61" s="38">
        <v>12</v>
      </c>
      <c r="C61">
        <v>490</v>
      </c>
      <c r="D61" s="39">
        <v>29</v>
      </c>
      <c r="E61">
        <v>50</v>
      </c>
      <c r="F61" s="39">
        <v>100</v>
      </c>
      <c r="G61" s="40">
        <f>B61*Assumptions!$C$19*365*24*Assumptions!$D$26*1000/(Assumptions!$G$14*0.001) /10^9</f>
        <v>11.502397866094725</v>
      </c>
      <c r="H61" s="40">
        <f>C61*Assumptions!$C$20*365*24*Assumptions!$D$30*1000/(Assumptions!$G$14*0.001) /10^9</f>
        <v>77.056872363046296</v>
      </c>
      <c r="I61" s="40">
        <f>E61*Assumptions!$C$46/(Assumptions!$G$14*0.001) /10^9</f>
        <v>2.2106187048216932</v>
      </c>
      <c r="J61" s="40">
        <f>D61*Assumptions!$C$56/(Assumptions!$G$14*0.001) /10^9</f>
        <v>1.4459318711496976</v>
      </c>
      <c r="K61" s="40">
        <f>F61*Assumptions!$C$65/(Assumptions!$G$14*0.001) /10^9</f>
        <v>4.1756131091076423</v>
      </c>
      <c r="L61" s="47">
        <f>4*Assumptions!$C$10/Assumptions!$G$14</f>
        <v>3.5850379503898764</v>
      </c>
      <c r="M61" s="46">
        <v>88.8</v>
      </c>
      <c r="N61">
        <v>113</v>
      </c>
      <c r="O61" s="44">
        <f>N61*Assumptions!$C$97/(Assumptions!$G$15*0.001) /10^9*M61/100</f>
        <v>31.924446459866139</v>
      </c>
      <c r="P61" s="48">
        <f>Assumptions!$C$115*Assumptions!$C$113/(Assumptions!$G$15*0.001) /10^9</f>
        <v>3.5836390578944357</v>
      </c>
      <c r="Q61" s="42">
        <f t="shared" si="0"/>
        <v>135.4845573823705</v>
      </c>
      <c r="S61" s="29" t="str">
        <f t="shared" si="1"/>
        <v>(490,29,50,100,113,0.89)</v>
      </c>
    </row>
    <row r="62" spans="2:19">
      <c r="B62" s="38">
        <v>12</v>
      </c>
      <c r="C62">
        <v>490</v>
      </c>
      <c r="D62" s="39">
        <v>29</v>
      </c>
      <c r="E62">
        <v>60</v>
      </c>
      <c r="F62" s="39">
        <v>100</v>
      </c>
      <c r="G62" s="40">
        <f>B62*Assumptions!$C$19*365*24*Assumptions!$D$26*1000/(Assumptions!$G$14*0.001) /10^9</f>
        <v>11.502397866094725</v>
      </c>
      <c r="H62" s="40">
        <f>C62*Assumptions!$C$20*365*24*Assumptions!$D$30*1000/(Assumptions!$G$14*0.001) /10^9</f>
        <v>77.056872363046296</v>
      </c>
      <c r="I62" s="40">
        <f>E62*Assumptions!$C$46/(Assumptions!$G$14*0.001) /10^9</f>
        <v>2.652742445786032</v>
      </c>
      <c r="J62" s="40">
        <f>D62*Assumptions!$C$56/(Assumptions!$G$14*0.001) /10^9</f>
        <v>1.4459318711496976</v>
      </c>
      <c r="K62" s="40">
        <f>F62*Assumptions!$C$65/(Assumptions!$G$14*0.001) /10^9</f>
        <v>4.1756131091076423</v>
      </c>
      <c r="L62" s="47">
        <f>4*Assumptions!$C$10/Assumptions!$G$14</f>
        <v>3.5850379503898764</v>
      </c>
      <c r="M62" s="46">
        <v>89.12</v>
      </c>
      <c r="N62">
        <v>112</v>
      </c>
      <c r="O62" s="44">
        <f>N62*Assumptions!$C$97/(Assumptions!$G$15*0.001) /10^9*M62/100</f>
        <v>31.755954204772216</v>
      </c>
      <c r="P62" s="48">
        <f>Assumptions!$C$115*Assumptions!$C$113/(Assumptions!$G$15*0.001) /10^9</f>
        <v>3.5836390578944357</v>
      </c>
      <c r="Q62" s="42">
        <f t="shared" si="0"/>
        <v>135.75818886824092</v>
      </c>
      <c r="S62" s="29" t="str">
        <f t="shared" si="1"/>
        <v>(490,29,60,100,112,0.89)</v>
      </c>
    </row>
    <row r="63" spans="2:19">
      <c r="B63" s="38">
        <v>12</v>
      </c>
      <c r="C63">
        <v>490</v>
      </c>
      <c r="D63" s="39">
        <v>29</v>
      </c>
      <c r="E63">
        <v>70</v>
      </c>
      <c r="F63" s="39">
        <v>100</v>
      </c>
      <c r="G63" s="40">
        <f>B63*Assumptions!$C$19*365*24*Assumptions!$D$26*1000/(Assumptions!$G$14*0.001) /10^9</f>
        <v>11.502397866094725</v>
      </c>
      <c r="H63" s="40">
        <f>C63*Assumptions!$C$20*365*24*Assumptions!$D$30*1000/(Assumptions!$G$14*0.001) /10^9</f>
        <v>77.056872363046296</v>
      </c>
      <c r="I63" s="40">
        <f>E63*Assumptions!$C$46/(Assumptions!$G$14*0.001) /10^9</f>
        <v>3.0948661867503704</v>
      </c>
      <c r="J63" s="40">
        <f>D63*Assumptions!$C$56/(Assumptions!$G$14*0.001) /10^9</f>
        <v>1.4459318711496976</v>
      </c>
      <c r="K63" s="40">
        <f>F63*Assumptions!$C$65/(Assumptions!$G$14*0.001) /10^9</f>
        <v>4.1756131091076423</v>
      </c>
      <c r="L63" s="47">
        <f>4*Assumptions!$C$10/Assumptions!$G$14</f>
        <v>3.5850379503898764</v>
      </c>
      <c r="M63" s="46">
        <v>89.36</v>
      </c>
      <c r="N63">
        <v>112</v>
      </c>
      <c r="O63" s="44">
        <f>N63*Assumptions!$C$97/(Assumptions!$G$15*0.001) /10^9*M63/100</f>
        <v>31.841472932433181</v>
      </c>
      <c r="P63" s="48">
        <f>Assumptions!$C$115*Assumptions!$C$113/(Assumptions!$G$15*0.001) /10^9</f>
        <v>3.5836390578944357</v>
      </c>
      <c r="Q63" s="42">
        <f t="shared" si="0"/>
        <v>136.28583133686621</v>
      </c>
      <c r="S63" s="29" t="str">
        <f t="shared" si="1"/>
        <v>(490,29,70,100,112,0.89)</v>
      </c>
    </row>
    <row r="64" spans="2:19">
      <c r="B64" s="38">
        <v>12</v>
      </c>
      <c r="C64">
        <v>490</v>
      </c>
      <c r="D64" s="39">
        <v>29</v>
      </c>
      <c r="E64">
        <v>80</v>
      </c>
      <c r="F64" s="39">
        <v>100</v>
      </c>
      <c r="G64" s="40">
        <f>B64*Assumptions!$C$19*365*24*Assumptions!$D$26*1000/(Assumptions!$G$14*0.001) /10^9</f>
        <v>11.502397866094725</v>
      </c>
      <c r="H64" s="40">
        <f>C64*Assumptions!$C$20*365*24*Assumptions!$D$30*1000/(Assumptions!$G$14*0.001) /10^9</f>
        <v>77.056872363046296</v>
      </c>
      <c r="I64" s="40">
        <f>E64*Assumptions!$C$46/(Assumptions!$G$14*0.001) /10^9</f>
        <v>3.5369899277147088</v>
      </c>
      <c r="J64" s="40">
        <f>D64*Assumptions!$C$56/(Assumptions!$G$14*0.001) /10^9</f>
        <v>1.4459318711496976</v>
      </c>
      <c r="K64" s="40">
        <f>F64*Assumptions!$C$65/(Assumptions!$G$14*0.001) /10^9</f>
        <v>4.1756131091076423</v>
      </c>
      <c r="L64" s="47">
        <f>4*Assumptions!$C$10/Assumptions!$G$14</f>
        <v>3.5850379503898764</v>
      </c>
      <c r="M64" s="46">
        <v>89.49</v>
      </c>
      <c r="N64">
        <v>112</v>
      </c>
      <c r="O64" s="44">
        <f>N64*Assumptions!$C$97/(Assumptions!$G$15*0.001) /10^9*M64/100</f>
        <v>31.887795576582871</v>
      </c>
      <c r="P64" s="48">
        <f>Assumptions!$C$115*Assumptions!$C$113/(Assumptions!$G$15*0.001) /10^9</f>
        <v>3.5836390578944357</v>
      </c>
      <c r="Q64" s="42">
        <f t="shared" si="0"/>
        <v>136.77427772198024</v>
      </c>
      <c r="S64" s="29" t="str">
        <f t="shared" si="1"/>
        <v>(490,29,80,100,112,0.89)</v>
      </c>
    </row>
    <row r="65" spans="2:19">
      <c r="B65" s="38">
        <v>12</v>
      </c>
      <c r="C65">
        <v>490</v>
      </c>
      <c r="D65" s="39">
        <v>29</v>
      </c>
      <c r="E65">
        <v>90</v>
      </c>
      <c r="F65" s="39">
        <v>100</v>
      </c>
      <c r="G65" s="40">
        <f>B65*Assumptions!$C$19*365*24*Assumptions!$D$26*1000/(Assumptions!$G$14*0.001) /10^9</f>
        <v>11.502397866094725</v>
      </c>
      <c r="H65" s="40">
        <f>C65*Assumptions!$C$20*365*24*Assumptions!$D$30*1000/(Assumptions!$G$14*0.001) /10^9</f>
        <v>77.056872363046296</v>
      </c>
      <c r="I65" s="40">
        <f>E65*Assumptions!$C$46/(Assumptions!$G$14*0.001) /10^9</f>
        <v>3.979113668679048</v>
      </c>
      <c r="J65" s="40">
        <f>D65*Assumptions!$C$56/(Assumptions!$G$14*0.001) /10^9</f>
        <v>1.4459318711496976</v>
      </c>
      <c r="K65" s="40">
        <f>F65*Assumptions!$C$65/(Assumptions!$G$14*0.001) /10^9</f>
        <v>4.1756131091076423</v>
      </c>
      <c r="L65" s="47">
        <f>4*Assumptions!$C$10/Assumptions!$G$14</f>
        <v>3.5850379503898764</v>
      </c>
      <c r="M65" s="46">
        <v>89.55</v>
      </c>
      <c r="N65">
        <v>111</v>
      </c>
      <c r="O65" s="44">
        <f>N65*Assumptions!$C$97/(Assumptions!$G$15*0.001) /10^9*M65/100</f>
        <v>31.624271907975807</v>
      </c>
      <c r="P65" s="48">
        <f>Assumptions!$C$115*Assumptions!$C$113/(Assumptions!$G$15*0.001) /10^9</f>
        <v>3.5836390578944357</v>
      </c>
      <c r="Q65" s="42">
        <f t="shared" si="0"/>
        <v>136.95287779433752</v>
      </c>
      <c r="S65" s="29" t="str">
        <f t="shared" si="1"/>
        <v>(490,29,90,100,111,0.9)</v>
      </c>
    </row>
    <row r="66" spans="2:19">
      <c r="B66" s="38">
        <v>12</v>
      </c>
      <c r="C66">
        <v>490</v>
      </c>
      <c r="D66" s="39">
        <v>29</v>
      </c>
      <c r="E66">
        <v>100</v>
      </c>
      <c r="F66" s="39">
        <v>100</v>
      </c>
      <c r="G66" s="40">
        <f>B66*Assumptions!$C$19*365*24*Assumptions!$D$26*1000/(Assumptions!$G$14*0.001) /10^9</f>
        <v>11.502397866094725</v>
      </c>
      <c r="H66" s="40">
        <f>C66*Assumptions!$C$20*365*24*Assumptions!$D$30*1000/(Assumptions!$G$14*0.001) /10^9</f>
        <v>77.056872363046296</v>
      </c>
      <c r="I66" s="40">
        <f>E66*Assumptions!$C$46/(Assumptions!$G$14*0.001) /10^9</f>
        <v>4.4212374096433864</v>
      </c>
      <c r="J66" s="40">
        <f>D66*Assumptions!$C$56/(Assumptions!$G$14*0.001) /10^9</f>
        <v>1.4459318711496976</v>
      </c>
      <c r="K66" s="40">
        <f>F66*Assumptions!$C$65/(Assumptions!$G$14*0.001) /10^9</f>
        <v>4.1756131091076423</v>
      </c>
      <c r="L66" s="47">
        <f>4*Assumptions!$C$10/Assumptions!$G$14</f>
        <v>3.5850379503898764</v>
      </c>
      <c r="M66" s="46">
        <v>89.64</v>
      </c>
      <c r="N66">
        <v>111</v>
      </c>
      <c r="O66" s="44">
        <f>N66*Assumptions!$C$97/(Assumptions!$G$15*0.001) /10^9*M66/100</f>
        <v>31.656055095823021</v>
      </c>
      <c r="P66" s="48">
        <f>Assumptions!$C$115*Assumptions!$C$113/(Assumptions!$G$15*0.001) /10^9</f>
        <v>3.5836390578944357</v>
      </c>
      <c r="Q66" s="42">
        <f t="shared" si="0"/>
        <v>137.42678472314907</v>
      </c>
      <c r="S66" s="29" t="str">
        <f t="shared" si="1"/>
        <v>(490,29,100,100,111,0.9)</v>
      </c>
    </row>
    <row r="67" spans="2:19">
      <c r="B67" s="38">
        <v>12</v>
      </c>
      <c r="C67">
        <v>500</v>
      </c>
      <c r="D67" s="39">
        <v>28</v>
      </c>
      <c r="E67">
        <v>20</v>
      </c>
      <c r="F67" s="39">
        <v>100</v>
      </c>
      <c r="G67" s="40">
        <f>B67*Assumptions!$C$19*365*24*Assumptions!$D$26*1000/(Assumptions!$G$14*0.001) /10^9</f>
        <v>11.502397866094725</v>
      </c>
      <c r="H67" s="40">
        <f>C67*Assumptions!$C$20*365*24*Assumptions!$D$30*1000/(Assumptions!$G$14*0.001) /10^9</f>
        <v>78.629461594945226</v>
      </c>
      <c r="I67" s="40">
        <f>E67*Assumptions!$C$46/(Assumptions!$G$14*0.001) /10^9</f>
        <v>0.88424748192867719</v>
      </c>
      <c r="J67" s="40">
        <f>D67*Assumptions!$C$56/(Assumptions!$G$14*0.001) /10^9</f>
        <v>1.3960721514548804</v>
      </c>
      <c r="K67" s="40">
        <f>F67*Assumptions!$C$65/(Assumptions!$G$14*0.001) /10^9</f>
        <v>4.1756131091076423</v>
      </c>
      <c r="L67" s="47">
        <f>4*Assumptions!$C$10/Assumptions!$G$14</f>
        <v>3.5850379503898764</v>
      </c>
      <c r="M67" s="46">
        <v>85.44</v>
      </c>
      <c r="N67">
        <v>118</v>
      </c>
      <c r="O67" s="44">
        <f>N67*Assumptions!$C$97/(Assumptions!$G$15*0.001) /10^9*M67/100</f>
        <v>32.075631353409634</v>
      </c>
      <c r="P67" s="48">
        <f>Assumptions!$C$115*Assumptions!$C$113/(Assumptions!$G$15*0.001) /10^9</f>
        <v>3.5836390578944357</v>
      </c>
      <c r="Q67" s="42">
        <f t="shared" si="0"/>
        <v>135.83210056522509</v>
      </c>
      <c r="S67" s="29" t="str">
        <f t="shared" si="1"/>
        <v>(500,28,20,100,118,0.85)</v>
      </c>
    </row>
    <row r="68" spans="2:19">
      <c r="B68" s="38">
        <v>12</v>
      </c>
      <c r="C68">
        <v>500</v>
      </c>
      <c r="D68" s="39">
        <v>28</v>
      </c>
      <c r="E68">
        <v>30</v>
      </c>
      <c r="F68" s="39">
        <v>100</v>
      </c>
      <c r="G68" s="40">
        <f>B68*Assumptions!$C$19*365*24*Assumptions!$D$26*1000/(Assumptions!$G$14*0.001) /10^9</f>
        <v>11.502397866094725</v>
      </c>
      <c r="H68" s="40">
        <f>C68*Assumptions!$C$20*365*24*Assumptions!$D$30*1000/(Assumptions!$G$14*0.001) /10^9</f>
        <v>78.629461594945226</v>
      </c>
      <c r="I68" s="40">
        <f>E68*Assumptions!$C$46/(Assumptions!$G$14*0.001) /10^9</f>
        <v>1.326371222893016</v>
      </c>
      <c r="J68" s="40">
        <f>D68*Assumptions!$C$56/(Assumptions!$G$14*0.001) /10^9</f>
        <v>1.3960721514548804</v>
      </c>
      <c r="K68" s="40">
        <f>F68*Assumptions!$C$65/(Assumptions!$G$14*0.001) /10^9</f>
        <v>4.1756131091076423</v>
      </c>
      <c r="L68" s="47">
        <f>4*Assumptions!$C$10/Assumptions!$G$14</f>
        <v>3.5850379503898764</v>
      </c>
      <c r="M68" s="46">
        <v>87.98</v>
      </c>
      <c r="N68">
        <v>112</v>
      </c>
      <c r="O68" s="44">
        <f>N68*Assumptions!$C$97/(Assumptions!$G$15*0.001) /10^9*M68/100</f>
        <v>31.349740248382624</v>
      </c>
      <c r="P68" s="48">
        <f>Assumptions!$C$115*Assumptions!$C$113/(Assumptions!$G$15*0.001) /10^9</f>
        <v>3.5836390578944357</v>
      </c>
      <c r="Q68" s="42">
        <f t="shared" si="0"/>
        <v>135.54833320116242</v>
      </c>
      <c r="S68" s="29" t="str">
        <f t="shared" si="1"/>
        <v>(500,28,30,100,112,0.88)</v>
      </c>
    </row>
    <row r="69" spans="2:19">
      <c r="B69" s="38">
        <v>12</v>
      </c>
      <c r="C69">
        <v>500</v>
      </c>
      <c r="D69" s="39">
        <v>28</v>
      </c>
      <c r="E69">
        <v>40</v>
      </c>
      <c r="F69" s="39">
        <v>100</v>
      </c>
      <c r="G69" s="40">
        <f>B69*Assumptions!$C$19*365*24*Assumptions!$D$26*1000/(Assumptions!$G$14*0.001) /10^9</f>
        <v>11.502397866094725</v>
      </c>
      <c r="H69" s="40">
        <f>C69*Assumptions!$C$20*365*24*Assumptions!$D$30*1000/(Assumptions!$G$14*0.001) /10^9</f>
        <v>78.629461594945226</v>
      </c>
      <c r="I69" s="40">
        <f>E69*Assumptions!$C$46/(Assumptions!$G$14*0.001) /10^9</f>
        <v>1.7684949638573544</v>
      </c>
      <c r="J69" s="40">
        <f>D69*Assumptions!$C$56/(Assumptions!$G$14*0.001) /10^9</f>
        <v>1.3960721514548804</v>
      </c>
      <c r="K69" s="40">
        <f>F69*Assumptions!$C$65/(Assumptions!$G$14*0.001) /10^9</f>
        <v>4.1756131091076423</v>
      </c>
      <c r="L69" s="47">
        <f>4*Assumptions!$C$10/Assumptions!$G$14</f>
        <v>3.5850379503898764</v>
      </c>
      <c r="M69" s="46">
        <v>89.06</v>
      </c>
      <c r="N69">
        <v>110</v>
      </c>
      <c r="O69" s="44">
        <f>N69*Assumptions!$C$97/(Assumptions!$G$15*0.001) /10^9*M69/100</f>
        <v>31.167885692091669</v>
      </c>
      <c r="P69" s="48">
        <f>Assumptions!$C$115*Assumptions!$C$113/(Assumptions!$G$15*0.001) /10^9</f>
        <v>3.5836390578944357</v>
      </c>
      <c r="Q69" s="42">
        <f t="shared" si="0"/>
        <v>135.8086023858358</v>
      </c>
      <c r="S69" s="29" t="str">
        <f t="shared" si="1"/>
        <v>(500,28,40,100,110,0.89)</v>
      </c>
    </row>
    <row r="70" spans="2:19">
      <c r="B70" s="38">
        <v>12</v>
      </c>
      <c r="C70">
        <v>500</v>
      </c>
      <c r="D70" s="39">
        <v>28</v>
      </c>
      <c r="E70">
        <v>50</v>
      </c>
      <c r="F70" s="39">
        <v>100</v>
      </c>
      <c r="G70" s="40">
        <f>B70*Assumptions!$C$19*365*24*Assumptions!$D$26*1000/(Assumptions!$G$14*0.001) /10^9</f>
        <v>11.502397866094725</v>
      </c>
      <c r="H70" s="40">
        <f>C70*Assumptions!$C$20*365*24*Assumptions!$D$30*1000/(Assumptions!$G$14*0.001) /10^9</f>
        <v>78.629461594945226</v>
      </c>
      <c r="I70" s="40">
        <f>E70*Assumptions!$C$46/(Assumptions!$G$14*0.001) /10^9</f>
        <v>2.2106187048216932</v>
      </c>
      <c r="J70" s="40">
        <f>D70*Assumptions!$C$56/(Assumptions!$G$14*0.001) /10^9</f>
        <v>1.3960721514548804</v>
      </c>
      <c r="K70" s="40">
        <f>F70*Assumptions!$C$65/(Assumptions!$G$14*0.001) /10^9</f>
        <v>4.1756131091076423</v>
      </c>
      <c r="L70" s="47">
        <f>4*Assumptions!$C$10/Assumptions!$G$14</f>
        <v>3.5850379503898764</v>
      </c>
      <c r="M70" s="46">
        <v>89.65</v>
      </c>
      <c r="N70">
        <v>109</v>
      </c>
      <c r="O70" s="44">
        <f>N70*Assumptions!$C$97/(Assumptions!$G$15*0.001) /10^9*M70/100</f>
        <v>31.089143560037765</v>
      </c>
      <c r="P70" s="48">
        <f>Assumptions!$C$115*Assumptions!$C$113/(Assumptions!$G$15*0.001) /10^9</f>
        <v>3.5836390578944357</v>
      </c>
      <c r="Q70" s="42">
        <f t="shared" ref="Q70:Q75" si="2">SUM(G70:L70)+O70+P70</f>
        <v>136.17198399474623</v>
      </c>
      <c r="S70" s="29" t="str">
        <f t="shared" ref="S70:S75" si="3">CONCATENATE("(",C70,",",D70,",",E70,",",F70,",",ROUND(N70,0),",",ROUND(M70/100,2),")")</f>
        <v>(500,28,50,100,109,0.9)</v>
      </c>
    </row>
    <row r="71" spans="2:19">
      <c r="B71" s="38">
        <v>12</v>
      </c>
      <c r="C71">
        <v>500</v>
      </c>
      <c r="D71" s="39">
        <v>28</v>
      </c>
      <c r="E71">
        <v>60</v>
      </c>
      <c r="F71" s="39">
        <v>100</v>
      </c>
      <c r="G71" s="40">
        <f>B71*Assumptions!$C$19*365*24*Assumptions!$D$26*1000/(Assumptions!$G$14*0.001) /10^9</f>
        <v>11.502397866094725</v>
      </c>
      <c r="H71" s="40">
        <f>C71*Assumptions!$C$20*365*24*Assumptions!$D$30*1000/(Assumptions!$G$14*0.001) /10^9</f>
        <v>78.629461594945226</v>
      </c>
      <c r="I71" s="40">
        <f>E71*Assumptions!$C$46/(Assumptions!$G$14*0.001) /10^9</f>
        <v>2.652742445786032</v>
      </c>
      <c r="J71" s="40">
        <f>D71*Assumptions!$C$56/(Assumptions!$G$14*0.001) /10^9</f>
        <v>1.3960721514548804</v>
      </c>
      <c r="K71" s="40">
        <f>F71*Assumptions!$C$65/(Assumptions!$G$14*0.001) /10^9</f>
        <v>4.1756131091076423</v>
      </c>
      <c r="L71" s="47">
        <f>4*Assumptions!$C$10/Assumptions!$G$14</f>
        <v>3.5850379503898764</v>
      </c>
      <c r="M71" s="46">
        <v>89.97</v>
      </c>
      <c r="N71">
        <v>109</v>
      </c>
      <c r="O71" s="44">
        <f>N71*Assumptions!$C$97/(Assumptions!$G$15*0.001) /10^9*M71/100</f>
        <v>31.200114289978778</v>
      </c>
      <c r="P71" s="48">
        <f>Assumptions!$C$115*Assumptions!$C$113/(Assumptions!$G$15*0.001) /10^9</f>
        <v>3.5836390578944357</v>
      </c>
      <c r="Q71" s="42">
        <f t="shared" si="2"/>
        <v>136.72507846565159</v>
      </c>
      <c r="S71" s="29" t="str">
        <f t="shared" si="3"/>
        <v>(500,28,60,100,109,0.9)</v>
      </c>
    </row>
    <row r="72" spans="2:19">
      <c r="B72" s="38">
        <v>12</v>
      </c>
      <c r="C72">
        <v>500</v>
      </c>
      <c r="D72" s="39">
        <v>28</v>
      </c>
      <c r="E72">
        <v>70</v>
      </c>
      <c r="F72" s="39">
        <v>100</v>
      </c>
      <c r="G72" s="40">
        <f>B72*Assumptions!$C$19*365*24*Assumptions!$D$26*1000/(Assumptions!$G$14*0.001) /10^9</f>
        <v>11.502397866094725</v>
      </c>
      <c r="H72" s="40">
        <f>C72*Assumptions!$C$20*365*24*Assumptions!$D$30*1000/(Assumptions!$G$14*0.001) /10^9</f>
        <v>78.629461594945226</v>
      </c>
      <c r="I72" s="40">
        <f>E72*Assumptions!$C$46/(Assumptions!$G$14*0.001) /10^9</f>
        <v>3.0948661867503704</v>
      </c>
      <c r="J72" s="40">
        <f>D72*Assumptions!$C$56/(Assumptions!$G$14*0.001) /10^9</f>
        <v>1.3960721514548804</v>
      </c>
      <c r="K72" s="40">
        <f>F72*Assumptions!$C$65/(Assumptions!$G$14*0.001) /10^9</f>
        <v>4.1756131091076423</v>
      </c>
      <c r="L72" s="47">
        <f>4*Assumptions!$C$10/Assumptions!$G$14</f>
        <v>3.5850379503898764</v>
      </c>
      <c r="M72" s="46">
        <v>90.14</v>
      </c>
      <c r="N72">
        <v>108</v>
      </c>
      <c r="O72" s="44">
        <f>N72*Assumptions!$C$97/(Assumptions!$G$15*0.001) /10^9*M72/100</f>
        <v>30.972287054569488</v>
      </c>
      <c r="P72" s="48">
        <f>Assumptions!$C$115*Assumptions!$C$113/(Assumptions!$G$15*0.001) /10^9</f>
        <v>3.5836390578944357</v>
      </c>
      <c r="Q72" s="42">
        <f t="shared" si="2"/>
        <v>136.93937497120663</v>
      </c>
      <c r="S72" s="29" t="str">
        <f t="shared" si="3"/>
        <v>(500,28,70,100,108,0.9)</v>
      </c>
    </row>
    <row r="73" spans="2:19">
      <c r="B73" s="38">
        <v>12</v>
      </c>
      <c r="C73">
        <v>500</v>
      </c>
      <c r="D73" s="39">
        <v>28</v>
      </c>
      <c r="E73">
        <v>80</v>
      </c>
      <c r="F73" s="39">
        <v>100</v>
      </c>
      <c r="G73" s="40">
        <f>B73*Assumptions!$C$19*365*24*Assumptions!$D$26*1000/(Assumptions!$G$14*0.001) /10^9</f>
        <v>11.502397866094725</v>
      </c>
      <c r="H73" s="40">
        <f>C73*Assumptions!$C$20*365*24*Assumptions!$D$30*1000/(Assumptions!$G$14*0.001) /10^9</f>
        <v>78.629461594945226</v>
      </c>
      <c r="I73" s="40">
        <f>E73*Assumptions!$C$46/(Assumptions!$G$14*0.001) /10^9</f>
        <v>3.5369899277147088</v>
      </c>
      <c r="J73" s="40">
        <f>D73*Assumptions!$C$56/(Assumptions!$G$14*0.001) /10^9</f>
        <v>1.3960721514548804</v>
      </c>
      <c r="K73" s="40">
        <f>F73*Assumptions!$C$65/(Assumptions!$G$14*0.001) /10^9</f>
        <v>4.1756131091076423</v>
      </c>
      <c r="L73" s="47">
        <f>4*Assumptions!$C$10/Assumptions!$G$14</f>
        <v>3.5850379503898764</v>
      </c>
      <c r="M73" s="46">
        <v>90.28</v>
      </c>
      <c r="N73">
        <v>108</v>
      </c>
      <c r="O73" s="44">
        <f>N73*Assumptions!$C$97/(Assumptions!$G$15*0.001) /10^9*M73/100</f>
        <v>31.020391338878781</v>
      </c>
      <c r="P73" s="48">
        <f>Assumptions!$C$115*Assumptions!$C$113/(Assumptions!$G$15*0.001) /10^9</f>
        <v>3.5836390578944357</v>
      </c>
      <c r="Q73" s="42">
        <f t="shared" si="2"/>
        <v>137.42960299648027</v>
      </c>
      <c r="S73" s="29" t="str">
        <f t="shared" si="3"/>
        <v>(500,28,80,100,108,0.9)</v>
      </c>
    </row>
    <row r="74" spans="2:19">
      <c r="B74" s="38">
        <v>12</v>
      </c>
      <c r="C74">
        <v>500</v>
      </c>
      <c r="D74" s="39">
        <v>28</v>
      </c>
      <c r="E74">
        <v>90</v>
      </c>
      <c r="F74" s="39">
        <v>100</v>
      </c>
      <c r="G74" s="40">
        <f>B74*Assumptions!$C$19*365*24*Assumptions!$D$26*1000/(Assumptions!$G$14*0.001) /10^9</f>
        <v>11.502397866094725</v>
      </c>
      <c r="H74" s="40">
        <f>C74*Assumptions!$C$20*365*24*Assumptions!$D$30*1000/(Assumptions!$G$14*0.001) /10^9</f>
        <v>78.629461594945226</v>
      </c>
      <c r="I74" s="40">
        <f>E74*Assumptions!$C$46/(Assumptions!$G$14*0.001) /10^9</f>
        <v>3.979113668679048</v>
      </c>
      <c r="J74" s="40">
        <f>D74*Assumptions!$C$56/(Assumptions!$G$14*0.001) /10^9</f>
        <v>1.3960721514548804</v>
      </c>
      <c r="K74" s="40">
        <f>F74*Assumptions!$C$65/(Assumptions!$G$14*0.001) /10^9</f>
        <v>4.1756131091076423</v>
      </c>
      <c r="L74" s="47">
        <f>4*Assumptions!$C$10/Assumptions!$G$14</f>
        <v>3.5850379503898764</v>
      </c>
      <c r="M74" s="46">
        <v>90.35</v>
      </c>
      <c r="N74">
        <v>108</v>
      </c>
      <c r="O74" s="44">
        <f>N74*Assumptions!$C$97/(Assumptions!$G$15*0.001) /10^9*M74/100</f>
        <v>31.044443481033426</v>
      </c>
      <c r="P74" s="48">
        <f>Assumptions!$C$115*Assumptions!$C$113/(Assumptions!$G$15*0.001) /10^9</f>
        <v>3.5836390578944357</v>
      </c>
      <c r="Q74" s="42">
        <f t="shared" si="2"/>
        <v>137.89577887959925</v>
      </c>
      <c r="S74" s="29" t="str">
        <f t="shared" si="3"/>
        <v>(500,28,90,100,108,0.9)</v>
      </c>
    </row>
    <row r="75" spans="2:19">
      <c r="B75" s="38">
        <v>12</v>
      </c>
      <c r="C75">
        <v>500</v>
      </c>
      <c r="D75" s="39">
        <v>28</v>
      </c>
      <c r="E75">
        <v>100</v>
      </c>
      <c r="F75" s="39">
        <v>100</v>
      </c>
      <c r="G75" s="40">
        <f>B75*Assumptions!$C$19*365*24*Assumptions!$D$26*1000/(Assumptions!$G$14*0.001) /10^9</f>
        <v>11.502397866094725</v>
      </c>
      <c r="H75" s="40">
        <f>C75*Assumptions!$C$20*365*24*Assumptions!$D$30*1000/(Assumptions!$G$14*0.001) /10^9</f>
        <v>78.629461594945226</v>
      </c>
      <c r="I75" s="40">
        <f>E75*Assumptions!$C$46/(Assumptions!$G$14*0.001) /10^9</f>
        <v>4.4212374096433864</v>
      </c>
      <c r="J75" s="40">
        <f>D75*Assumptions!$C$56/(Assumptions!$G$14*0.001) /10^9</f>
        <v>1.3960721514548804</v>
      </c>
      <c r="K75" s="40">
        <f>F75*Assumptions!$C$65/(Assumptions!$G$14*0.001) /10^9</f>
        <v>4.1756131091076423</v>
      </c>
      <c r="L75" s="47">
        <f>4*Assumptions!$C$10/Assumptions!$G$14</f>
        <v>3.5850379503898764</v>
      </c>
      <c r="M75" s="46">
        <v>90.43</v>
      </c>
      <c r="N75">
        <v>108</v>
      </c>
      <c r="O75" s="44">
        <f>N75*Assumptions!$C$97/(Assumptions!$G$15*0.001) /10^9*M75/100</f>
        <v>31.071931643495883</v>
      </c>
      <c r="P75" s="48">
        <f>Assumptions!$C$115*Assumptions!$C$113/(Assumptions!$G$15*0.001) /10^9</f>
        <v>3.5836390578944357</v>
      </c>
      <c r="Q75" s="42">
        <f t="shared" si="2"/>
        <v>138.36539078302604</v>
      </c>
      <c r="S75" s="29" t="str">
        <f t="shared" si="3"/>
        <v>(500,28,100,100,108,0.9)</v>
      </c>
    </row>
    <row r="76" spans="2:19">
      <c r="B76" s="38">
        <v>12</v>
      </c>
      <c r="C76">
        <v>510</v>
      </c>
      <c r="D76" s="39">
        <v>28</v>
      </c>
      <c r="E76">
        <v>20</v>
      </c>
      <c r="F76" s="39">
        <v>100</v>
      </c>
      <c r="G76" s="40">
        <f>B76*Assumptions!$C$19*365*24*Assumptions!$D$26*1000/(Assumptions!$G$14*0.001) /10^9</f>
        <v>11.502397866094725</v>
      </c>
      <c r="H76" s="40">
        <f>C76*Assumptions!$C$20*365*24*Assumptions!$D$30*1000/(Assumptions!$G$14*0.001) /10^9</f>
        <v>80.202050826844115</v>
      </c>
      <c r="I76" s="40">
        <f>E76*Assumptions!$C$46/(Assumptions!$G$14*0.001) /10^9</f>
        <v>0.88424748192867719</v>
      </c>
      <c r="J76" s="40">
        <f>D76*Assumptions!$C$56/(Assumptions!$G$14*0.001) /10^9</f>
        <v>1.3960721514548804</v>
      </c>
      <c r="K76" s="40">
        <f>F76*Assumptions!$C$65/(Assumptions!$G$14*0.001) /10^9</f>
        <v>4.1756131091076423</v>
      </c>
      <c r="L76" s="47">
        <f>4*Assumptions!$C$10/Assumptions!$G$14</f>
        <v>3.5850379503898764</v>
      </c>
      <c r="M76" s="46">
        <v>86.69</v>
      </c>
      <c r="N76">
        <v>113</v>
      </c>
      <c r="O76" s="44">
        <f>N76*Assumptions!$C$97/(Assumptions!$G$15*0.001) /10^9*M76/100</f>
        <v>31.165881346912116</v>
      </c>
      <c r="P76" s="48">
        <f>Assumptions!$C$115*Assumptions!$C$113/(Assumptions!$G$15*0.001) /10^9</f>
        <v>3.5836390578944357</v>
      </c>
      <c r="Q76" s="42">
        <f t="shared" ref="Q76:Q111" si="4">SUM(G76:L76)+O76+P76</f>
        <v>136.49493979062646</v>
      </c>
      <c r="S76" s="29" t="str">
        <f t="shared" ref="S76:S111" si="5">CONCATENATE("(",C76,",",D76,",",E76,",",F76,",",ROUND(N76,0),",",ROUND(M76/100,2),")")</f>
        <v>(510,28,20,100,113,0.87)</v>
      </c>
    </row>
    <row r="77" spans="2:19">
      <c r="B77" s="38">
        <v>12</v>
      </c>
      <c r="C77">
        <v>510</v>
      </c>
      <c r="D77" s="39">
        <v>28</v>
      </c>
      <c r="E77">
        <v>30</v>
      </c>
      <c r="F77" s="39">
        <v>100</v>
      </c>
      <c r="G77" s="40">
        <f>B77*Assumptions!$C$19*365*24*Assumptions!$D$26*1000/(Assumptions!$G$14*0.001) /10^9</f>
        <v>11.502397866094725</v>
      </c>
      <c r="H77" s="40">
        <f>C77*Assumptions!$C$20*365*24*Assumptions!$D$30*1000/(Assumptions!$G$14*0.001) /10^9</f>
        <v>80.202050826844115</v>
      </c>
      <c r="I77" s="40">
        <f>E77*Assumptions!$C$46/(Assumptions!$G$14*0.001) /10^9</f>
        <v>1.326371222893016</v>
      </c>
      <c r="J77" s="40">
        <f>D77*Assumptions!$C$56/(Assumptions!$G$14*0.001) /10^9</f>
        <v>1.3960721514548804</v>
      </c>
      <c r="K77" s="40">
        <f>F77*Assumptions!$C$65/(Assumptions!$G$14*0.001) /10^9</f>
        <v>4.1756131091076423</v>
      </c>
      <c r="L77" s="47">
        <f>4*Assumptions!$C$10/Assumptions!$G$14</f>
        <v>3.5850379503898764</v>
      </c>
      <c r="M77" s="46">
        <v>88.95</v>
      </c>
      <c r="N77">
        <v>109</v>
      </c>
      <c r="O77" s="44">
        <f>N77*Assumptions!$C$97/(Assumptions!$G$15*0.001) /10^9*M77/100</f>
        <v>30.846395088291793</v>
      </c>
      <c r="P77" s="48">
        <f>Assumptions!$C$115*Assumptions!$C$113/(Assumptions!$G$15*0.001) /10^9</f>
        <v>3.5836390578944357</v>
      </c>
      <c r="Q77" s="42">
        <f t="shared" si="4"/>
        <v>136.61757727297046</v>
      </c>
      <c r="S77" s="29" t="str">
        <f t="shared" si="5"/>
        <v>(510,28,30,100,109,0.89)</v>
      </c>
    </row>
    <row r="78" spans="2:19">
      <c r="B78" s="38">
        <v>12</v>
      </c>
      <c r="C78">
        <v>510</v>
      </c>
      <c r="D78" s="39">
        <v>28</v>
      </c>
      <c r="E78">
        <v>40</v>
      </c>
      <c r="F78" s="39">
        <v>100</v>
      </c>
      <c r="G78" s="40">
        <f>B78*Assumptions!$C$19*365*24*Assumptions!$D$26*1000/(Assumptions!$G$14*0.001) /10^9</f>
        <v>11.502397866094725</v>
      </c>
      <c r="H78" s="40">
        <f>C78*Assumptions!$C$20*365*24*Assumptions!$D$30*1000/(Assumptions!$G$14*0.001) /10^9</f>
        <v>80.202050826844115</v>
      </c>
      <c r="I78" s="40">
        <f>E78*Assumptions!$C$46/(Assumptions!$G$14*0.001) /10^9</f>
        <v>1.7684949638573544</v>
      </c>
      <c r="J78" s="40">
        <f>D78*Assumptions!$C$56/(Assumptions!$G$14*0.001) /10^9</f>
        <v>1.3960721514548804</v>
      </c>
      <c r="K78" s="40">
        <f>F78*Assumptions!$C$65/(Assumptions!$G$14*0.001) /10^9</f>
        <v>4.1756131091076423</v>
      </c>
      <c r="L78" s="47">
        <f>4*Assumptions!$C$10/Assumptions!$G$14</f>
        <v>3.5850379503898764</v>
      </c>
      <c r="M78" s="46">
        <v>89.96</v>
      </c>
      <c r="N78">
        <v>107</v>
      </c>
      <c r="O78" s="44">
        <f>N78*Assumptions!$C$97/(Assumptions!$G$15*0.001) /10^9*M78/100</f>
        <v>30.62423092338981</v>
      </c>
      <c r="P78" s="48">
        <f>Assumptions!$C$115*Assumptions!$C$113/(Assumptions!$G$15*0.001) /10^9</f>
        <v>3.5836390578944357</v>
      </c>
      <c r="Q78" s="42">
        <f t="shared" si="4"/>
        <v>136.83753684903283</v>
      </c>
      <c r="S78" s="29" t="str">
        <f t="shared" si="5"/>
        <v>(510,28,40,100,107,0.9)</v>
      </c>
    </row>
    <row r="79" spans="2:19">
      <c r="B79" s="38">
        <v>12</v>
      </c>
      <c r="C79">
        <v>510</v>
      </c>
      <c r="D79" s="39">
        <v>28</v>
      </c>
      <c r="E79">
        <v>50</v>
      </c>
      <c r="F79" s="39">
        <v>100</v>
      </c>
      <c r="G79" s="40">
        <f>B79*Assumptions!$C$19*365*24*Assumptions!$D$26*1000/(Assumptions!$G$14*0.001) /10^9</f>
        <v>11.502397866094725</v>
      </c>
      <c r="H79" s="40">
        <f>C79*Assumptions!$C$20*365*24*Assumptions!$D$30*1000/(Assumptions!$G$14*0.001) /10^9</f>
        <v>80.202050826844115</v>
      </c>
      <c r="I79" s="40">
        <f>E79*Assumptions!$C$46/(Assumptions!$G$14*0.001) /10^9</f>
        <v>2.2106187048216932</v>
      </c>
      <c r="J79" s="40">
        <f>D79*Assumptions!$C$56/(Assumptions!$G$14*0.001) /10^9</f>
        <v>1.3960721514548804</v>
      </c>
      <c r="K79" s="40">
        <f>F79*Assumptions!$C$65/(Assumptions!$G$14*0.001) /10^9</f>
        <v>4.1756131091076423</v>
      </c>
      <c r="L79" s="47">
        <f>4*Assumptions!$C$10/Assumptions!$G$14</f>
        <v>3.5850379503898764</v>
      </c>
      <c r="M79" s="46">
        <v>90.47</v>
      </c>
      <c r="N79">
        <v>106</v>
      </c>
      <c r="O79" s="44">
        <f>N79*Assumptions!$C$97/(Assumptions!$G$15*0.001) /10^9*M79/100</f>
        <v>30.51001506315809</v>
      </c>
      <c r="P79" s="48">
        <f>Assumptions!$C$115*Assumptions!$C$113/(Assumptions!$G$15*0.001) /10^9</f>
        <v>3.5836390578944357</v>
      </c>
      <c r="Q79" s="42">
        <f t="shared" si="4"/>
        <v>137.16544472976545</v>
      </c>
      <c r="S79" s="29" t="str">
        <f t="shared" si="5"/>
        <v>(510,28,50,100,106,0.9)</v>
      </c>
    </row>
    <row r="80" spans="2:19">
      <c r="B80" s="38">
        <v>12</v>
      </c>
      <c r="C80">
        <v>510</v>
      </c>
      <c r="D80" s="39">
        <v>28</v>
      </c>
      <c r="E80">
        <v>60</v>
      </c>
      <c r="F80" s="39">
        <v>100</v>
      </c>
      <c r="G80" s="40">
        <f>B80*Assumptions!$C$19*365*24*Assumptions!$D$26*1000/(Assumptions!$G$14*0.001) /10^9</f>
        <v>11.502397866094725</v>
      </c>
      <c r="H80" s="40">
        <f>C80*Assumptions!$C$20*365*24*Assumptions!$D$30*1000/(Assumptions!$G$14*0.001) /10^9</f>
        <v>80.202050826844115</v>
      </c>
      <c r="I80" s="40">
        <f>E80*Assumptions!$C$46/(Assumptions!$G$14*0.001) /10^9</f>
        <v>2.652742445786032</v>
      </c>
      <c r="J80" s="40">
        <f>D80*Assumptions!$C$56/(Assumptions!$G$14*0.001) /10^9</f>
        <v>1.3960721514548804</v>
      </c>
      <c r="K80" s="40">
        <f>F80*Assumptions!$C$65/(Assumptions!$G$14*0.001) /10^9</f>
        <v>4.1756131091076423</v>
      </c>
      <c r="L80" s="47">
        <f>4*Assumptions!$C$10/Assumptions!$G$14</f>
        <v>3.5850379503898764</v>
      </c>
      <c r="M80" s="46">
        <v>90.77</v>
      </c>
      <c r="N80">
        <v>106</v>
      </c>
      <c r="O80" s="44">
        <f>N80*Assumptions!$C$97/(Assumptions!$G$15*0.001) /10^9*M80/100</f>
        <v>30.611186772221284</v>
      </c>
      <c r="P80" s="48">
        <f>Assumptions!$C$115*Assumptions!$C$113/(Assumptions!$G$15*0.001) /10^9</f>
        <v>3.5836390578944357</v>
      </c>
      <c r="Q80" s="42">
        <f t="shared" si="4"/>
        <v>137.70874017979298</v>
      </c>
      <c r="S80" s="29" t="str">
        <f t="shared" si="5"/>
        <v>(510,28,60,100,106,0.91)</v>
      </c>
    </row>
    <row r="81" spans="2:19">
      <c r="B81" s="38">
        <v>12</v>
      </c>
      <c r="C81">
        <v>510</v>
      </c>
      <c r="D81" s="39">
        <v>28</v>
      </c>
      <c r="E81">
        <v>70</v>
      </c>
      <c r="F81" s="39">
        <v>100</v>
      </c>
      <c r="G81" s="40">
        <f>B81*Assumptions!$C$19*365*24*Assumptions!$D$26*1000/(Assumptions!$G$14*0.001) /10^9</f>
        <v>11.502397866094725</v>
      </c>
      <c r="H81" s="40">
        <f>C81*Assumptions!$C$20*365*24*Assumptions!$D$30*1000/(Assumptions!$G$14*0.001) /10^9</f>
        <v>80.202050826844115</v>
      </c>
      <c r="I81" s="40">
        <f>E81*Assumptions!$C$46/(Assumptions!$G$14*0.001) /10^9</f>
        <v>3.0948661867503704</v>
      </c>
      <c r="J81" s="40">
        <f>D81*Assumptions!$C$56/(Assumptions!$G$14*0.001) /10^9</f>
        <v>1.3960721514548804</v>
      </c>
      <c r="K81" s="40">
        <f>F81*Assumptions!$C$65/(Assumptions!$G$14*0.001) /10^9</f>
        <v>4.1756131091076423</v>
      </c>
      <c r="L81" s="47">
        <f>4*Assumptions!$C$10/Assumptions!$G$14</f>
        <v>3.5850379503898764</v>
      </c>
      <c r="M81" s="46">
        <v>90.94</v>
      </c>
      <c r="N81">
        <v>105</v>
      </c>
      <c r="O81" s="44">
        <f>N81*Assumptions!$C$97/(Assumptions!$G$15*0.001) /10^9*M81/100</f>
        <v>30.379191771438638</v>
      </c>
      <c r="P81" s="48">
        <f>Assumptions!$C$115*Assumptions!$C$113/(Assumptions!$G$15*0.001) /10^9</f>
        <v>3.5836390578944357</v>
      </c>
      <c r="Q81" s="42">
        <f t="shared" si="4"/>
        <v>137.91886891997467</v>
      </c>
      <c r="S81" s="29" t="str">
        <f t="shared" si="5"/>
        <v>(510,28,70,100,105,0.91)</v>
      </c>
    </row>
    <row r="82" spans="2:19">
      <c r="B82" s="38">
        <v>12</v>
      </c>
      <c r="C82">
        <v>510</v>
      </c>
      <c r="D82" s="39">
        <v>28</v>
      </c>
      <c r="E82">
        <v>80</v>
      </c>
      <c r="F82" s="39">
        <v>100</v>
      </c>
      <c r="G82" s="40">
        <f>B82*Assumptions!$C$19*365*24*Assumptions!$D$26*1000/(Assumptions!$G$14*0.001) /10^9</f>
        <v>11.502397866094725</v>
      </c>
      <c r="H82" s="40">
        <f>C82*Assumptions!$C$20*365*24*Assumptions!$D$30*1000/(Assumptions!$G$14*0.001) /10^9</f>
        <v>80.202050826844115</v>
      </c>
      <c r="I82" s="40">
        <f>E82*Assumptions!$C$46/(Assumptions!$G$14*0.001) /10^9</f>
        <v>3.5369899277147088</v>
      </c>
      <c r="J82" s="40">
        <f>D82*Assumptions!$C$56/(Assumptions!$G$14*0.001) /10^9</f>
        <v>1.3960721514548804</v>
      </c>
      <c r="K82" s="40">
        <f>F82*Assumptions!$C$65/(Assumptions!$G$14*0.001) /10^9</f>
        <v>4.1756131091076423</v>
      </c>
      <c r="L82" s="47">
        <f>4*Assumptions!$C$10/Assumptions!$G$14</f>
        <v>3.5850379503898764</v>
      </c>
      <c r="M82" s="46">
        <v>91.06</v>
      </c>
      <c r="N82">
        <v>105</v>
      </c>
      <c r="O82" s="44">
        <f>N82*Assumptions!$C$97/(Assumptions!$G$15*0.001) /10^9*M82/100</f>
        <v>30.419278675029712</v>
      </c>
      <c r="P82" s="48">
        <f>Assumptions!$C$115*Assumptions!$C$113/(Assumptions!$G$15*0.001) /10^9</f>
        <v>3.5836390578944357</v>
      </c>
      <c r="Q82" s="42">
        <f t="shared" si="4"/>
        <v>138.40107956453008</v>
      </c>
      <c r="S82" s="29" t="str">
        <f t="shared" si="5"/>
        <v>(510,28,80,100,105,0.91)</v>
      </c>
    </row>
    <row r="83" spans="2:19">
      <c r="B83" s="38">
        <v>12</v>
      </c>
      <c r="C83">
        <v>510</v>
      </c>
      <c r="D83" s="39">
        <v>28</v>
      </c>
      <c r="E83">
        <v>90</v>
      </c>
      <c r="F83" s="39">
        <v>100</v>
      </c>
      <c r="G83" s="40">
        <f>B83*Assumptions!$C$19*365*24*Assumptions!$D$26*1000/(Assumptions!$G$14*0.001) /10^9</f>
        <v>11.502397866094725</v>
      </c>
      <c r="H83" s="40">
        <f>C83*Assumptions!$C$20*365*24*Assumptions!$D$30*1000/(Assumptions!$G$14*0.001) /10^9</f>
        <v>80.202050826844115</v>
      </c>
      <c r="I83" s="40">
        <f>E83*Assumptions!$C$46/(Assumptions!$G$14*0.001) /10^9</f>
        <v>3.979113668679048</v>
      </c>
      <c r="J83" s="40">
        <f>D83*Assumptions!$C$56/(Assumptions!$G$14*0.001) /10^9</f>
        <v>1.3960721514548804</v>
      </c>
      <c r="K83" s="40">
        <f>F83*Assumptions!$C$65/(Assumptions!$G$14*0.001) /10^9</f>
        <v>4.1756131091076423</v>
      </c>
      <c r="L83" s="47">
        <f>4*Assumptions!$C$10/Assumptions!$G$14</f>
        <v>3.5850379503898764</v>
      </c>
      <c r="M83" s="46">
        <v>91.14</v>
      </c>
      <c r="N83">
        <v>105</v>
      </c>
      <c r="O83" s="44">
        <f>N83*Assumptions!$C$97/(Assumptions!$G$15*0.001) /10^9*M83/100</f>
        <v>30.446003277423767</v>
      </c>
      <c r="P83" s="48">
        <f>Assumptions!$C$115*Assumptions!$C$113/(Assumptions!$G$15*0.001) /10^9</f>
        <v>3.5836390578944357</v>
      </c>
      <c r="Q83" s="42">
        <f t="shared" si="4"/>
        <v>138.86992790788847</v>
      </c>
      <c r="S83" s="29" t="str">
        <f t="shared" si="5"/>
        <v>(510,28,90,100,105,0.91)</v>
      </c>
    </row>
    <row r="84" spans="2:19">
      <c r="B84" s="38">
        <v>12</v>
      </c>
      <c r="C84">
        <v>510</v>
      </c>
      <c r="D84" s="39">
        <v>28</v>
      </c>
      <c r="E84">
        <v>100</v>
      </c>
      <c r="F84" s="39">
        <v>100</v>
      </c>
      <c r="G84" s="40">
        <f>B84*Assumptions!$C$19*365*24*Assumptions!$D$26*1000/(Assumptions!$G$14*0.001) /10^9</f>
        <v>11.502397866094725</v>
      </c>
      <c r="H84" s="40">
        <f>C84*Assumptions!$C$20*365*24*Assumptions!$D$30*1000/(Assumptions!$G$14*0.001) /10^9</f>
        <v>80.202050826844115</v>
      </c>
      <c r="I84" s="40">
        <f>E84*Assumptions!$C$46/(Assumptions!$G$14*0.001) /10^9</f>
        <v>4.4212374096433864</v>
      </c>
      <c r="J84" s="40">
        <f>D84*Assumptions!$C$56/(Assumptions!$G$14*0.001) /10^9</f>
        <v>1.3960721514548804</v>
      </c>
      <c r="K84" s="40">
        <f>F84*Assumptions!$C$65/(Assumptions!$G$14*0.001) /10^9</f>
        <v>4.1756131091076423</v>
      </c>
      <c r="L84" s="47">
        <f>4*Assumptions!$C$10/Assumptions!$G$14</f>
        <v>3.5850379503898764</v>
      </c>
      <c r="M84" s="46">
        <v>91.16</v>
      </c>
      <c r="N84">
        <v>105</v>
      </c>
      <c r="O84" s="44">
        <f>N84*Assumptions!$C$97/(Assumptions!$G$15*0.001) /10^9*M84/100</f>
        <v>30.452684428022277</v>
      </c>
      <c r="P84" s="48">
        <f>Assumptions!$C$115*Assumptions!$C$113/(Assumptions!$G$15*0.001) /10^9</f>
        <v>3.5836390578944357</v>
      </c>
      <c r="Q84" s="42">
        <f t="shared" si="4"/>
        <v>139.31873279945131</v>
      </c>
      <c r="S84" s="29" t="str">
        <f t="shared" si="5"/>
        <v>(510,28,100,100,105,0.91)</v>
      </c>
    </row>
    <row r="85" spans="2:19">
      <c r="B85" s="38">
        <v>12</v>
      </c>
      <c r="C85">
        <v>520</v>
      </c>
      <c r="D85" s="39">
        <v>28</v>
      </c>
      <c r="E85">
        <v>20</v>
      </c>
      <c r="F85" s="39">
        <v>100</v>
      </c>
      <c r="G85" s="40">
        <f>B85*Assumptions!$C$19*365*24*Assumptions!$D$26*1000/(Assumptions!$G$14*0.001) /10^9</f>
        <v>11.502397866094725</v>
      </c>
      <c r="H85" s="40">
        <f>C85*Assumptions!$C$20*365*24*Assumptions!$D$30*1000/(Assumptions!$G$14*0.001) /10^9</f>
        <v>81.774640058743017</v>
      </c>
      <c r="I85" s="40">
        <f>E85*Assumptions!$C$46/(Assumptions!$G$14*0.001) /10^9</f>
        <v>0.88424748192867719</v>
      </c>
      <c r="J85" s="40">
        <f>D85*Assumptions!$C$56/(Assumptions!$G$14*0.001) /10^9</f>
        <v>1.3960721514548804</v>
      </c>
      <c r="K85" s="40">
        <f>F85*Assumptions!$C$65/(Assumptions!$G$14*0.001) /10^9</f>
        <v>4.1756131091076423</v>
      </c>
      <c r="L85" s="47">
        <f>4*Assumptions!$C$10/Assumptions!$G$14</f>
        <v>3.5850379503898764</v>
      </c>
      <c r="M85" s="46">
        <v>87.57</v>
      </c>
      <c r="N85">
        <v>109</v>
      </c>
      <c r="O85" s="44">
        <f>N85*Assumptions!$C$97/(Assumptions!$G$15*0.001) /10^9*M85/100</f>
        <v>30.367833815421157</v>
      </c>
      <c r="P85" s="48">
        <f>Assumptions!$C$115*Assumptions!$C$113/(Assumptions!$G$15*0.001) /10^9</f>
        <v>3.5836390578944357</v>
      </c>
      <c r="Q85" s="42">
        <f t="shared" si="4"/>
        <v>137.26948149103441</v>
      </c>
      <c r="S85" s="29" t="str">
        <f t="shared" si="5"/>
        <v>(520,28,20,100,109,0.88)</v>
      </c>
    </row>
    <row r="86" spans="2:19">
      <c r="B86" s="38">
        <v>12</v>
      </c>
      <c r="C86">
        <v>520</v>
      </c>
      <c r="D86" s="39">
        <v>28</v>
      </c>
      <c r="E86">
        <v>30</v>
      </c>
      <c r="F86" s="39">
        <v>100</v>
      </c>
      <c r="G86" s="40">
        <f>B86*Assumptions!$C$19*365*24*Assumptions!$D$26*1000/(Assumptions!$G$14*0.001) /10^9</f>
        <v>11.502397866094725</v>
      </c>
      <c r="H86" s="40">
        <f>C86*Assumptions!$C$20*365*24*Assumptions!$D$30*1000/(Assumptions!$G$14*0.001) /10^9</f>
        <v>81.774640058743017</v>
      </c>
      <c r="I86" s="40">
        <f>E86*Assumptions!$C$46/(Assumptions!$G$14*0.001) /10^9</f>
        <v>1.326371222893016</v>
      </c>
      <c r="J86" s="40">
        <f>D86*Assumptions!$C$56/(Assumptions!$G$14*0.001) /10^9</f>
        <v>1.3960721514548804</v>
      </c>
      <c r="K86" s="40">
        <f>F86*Assumptions!$C$65/(Assumptions!$G$14*0.001) /10^9</f>
        <v>4.1756131091076423</v>
      </c>
      <c r="L86" s="47">
        <f>4*Assumptions!$C$10/Assumptions!$G$14</f>
        <v>3.5850379503898764</v>
      </c>
      <c r="M86" s="46">
        <v>89.76</v>
      </c>
      <c r="N86">
        <v>105</v>
      </c>
      <c r="O86" s="44">
        <f>N86*Assumptions!$C$97/(Assumptions!$G$15*0.001) /10^9*M86/100</f>
        <v>29.985003886126368</v>
      </c>
      <c r="P86" s="48">
        <f>Assumptions!$C$115*Assumptions!$C$113/(Assumptions!$G$15*0.001) /10^9</f>
        <v>3.5836390578944357</v>
      </c>
      <c r="Q86" s="42">
        <f t="shared" si="4"/>
        <v>137.32877530270395</v>
      </c>
      <c r="S86" s="29" t="str">
        <f t="shared" si="5"/>
        <v>(520,28,30,100,105,0.9)</v>
      </c>
    </row>
    <row r="87" spans="2:19">
      <c r="B87" s="38">
        <v>12</v>
      </c>
      <c r="C87">
        <v>520</v>
      </c>
      <c r="D87" s="39">
        <v>28</v>
      </c>
      <c r="E87">
        <v>40</v>
      </c>
      <c r="F87" s="39">
        <v>100</v>
      </c>
      <c r="G87" s="40">
        <f>B87*Assumptions!$C$19*365*24*Assumptions!$D$26*1000/(Assumptions!$G$14*0.001) /10^9</f>
        <v>11.502397866094725</v>
      </c>
      <c r="H87" s="40">
        <f>C87*Assumptions!$C$20*365*24*Assumptions!$D$30*1000/(Assumptions!$G$14*0.001) /10^9</f>
        <v>81.774640058743017</v>
      </c>
      <c r="I87" s="40">
        <f>E87*Assumptions!$C$46/(Assumptions!$G$14*0.001) /10^9</f>
        <v>1.7684949638573544</v>
      </c>
      <c r="J87" s="40">
        <f>D87*Assumptions!$C$56/(Assumptions!$G$14*0.001) /10^9</f>
        <v>1.3960721514548804</v>
      </c>
      <c r="K87" s="40">
        <f>F87*Assumptions!$C$65/(Assumptions!$G$14*0.001) /10^9</f>
        <v>4.1756131091076423</v>
      </c>
      <c r="L87" s="47">
        <f>4*Assumptions!$C$10/Assumptions!$G$14</f>
        <v>3.5850379503898764</v>
      </c>
      <c r="M87" s="46">
        <v>90.68</v>
      </c>
      <c r="N87">
        <v>104</v>
      </c>
      <c r="O87" s="44">
        <f>N87*Assumptions!$C$97/(Assumptions!$G$15*0.001) /10^9*M87/100</f>
        <v>30.0038383678136</v>
      </c>
      <c r="P87" s="48">
        <f>Assumptions!$C$115*Assumptions!$C$113/(Assumptions!$G$15*0.001) /10^9</f>
        <v>3.5836390578944357</v>
      </c>
      <c r="Q87" s="42">
        <f t="shared" si="4"/>
        <v>137.7897335253555</v>
      </c>
      <c r="S87" s="29" t="str">
        <f t="shared" si="5"/>
        <v>(520,28,40,100,104,0.91)</v>
      </c>
    </row>
    <row r="88" spans="2:19">
      <c r="B88" s="38">
        <v>12</v>
      </c>
      <c r="C88">
        <v>520</v>
      </c>
      <c r="D88" s="39">
        <v>28</v>
      </c>
      <c r="E88">
        <v>50</v>
      </c>
      <c r="F88" s="39">
        <v>100</v>
      </c>
      <c r="G88" s="40">
        <f>B88*Assumptions!$C$19*365*24*Assumptions!$D$26*1000/(Assumptions!$G$14*0.001) /10^9</f>
        <v>11.502397866094725</v>
      </c>
      <c r="H88" s="40">
        <f>C88*Assumptions!$C$20*365*24*Assumptions!$D$30*1000/(Assumptions!$G$14*0.001) /10^9</f>
        <v>81.774640058743017</v>
      </c>
      <c r="I88" s="40">
        <f>E88*Assumptions!$C$46/(Assumptions!$G$14*0.001) /10^9</f>
        <v>2.2106187048216932</v>
      </c>
      <c r="J88" s="40">
        <f>D88*Assumptions!$C$56/(Assumptions!$G$14*0.001) /10^9</f>
        <v>1.3960721514548804</v>
      </c>
      <c r="K88" s="40">
        <f>F88*Assumptions!$C$65/(Assumptions!$G$14*0.001) /10^9</f>
        <v>4.1756131091076423</v>
      </c>
      <c r="L88" s="47">
        <f>4*Assumptions!$C$10/Assumptions!$G$14</f>
        <v>3.5850379503898764</v>
      </c>
      <c r="M88" s="46">
        <v>91.11</v>
      </c>
      <c r="N88">
        <v>103</v>
      </c>
      <c r="O88" s="44">
        <f>N88*Assumptions!$C$97/(Assumptions!$G$15*0.001) /10^9*M88/100</f>
        <v>29.856248569592161</v>
      </c>
      <c r="P88" s="48">
        <f>Assumptions!$C$115*Assumptions!$C$113/(Assumptions!$G$15*0.001) /10^9</f>
        <v>3.5836390578944357</v>
      </c>
      <c r="Q88" s="42">
        <f t="shared" si="4"/>
        <v>138.08426746809843</v>
      </c>
      <c r="S88" s="29" t="str">
        <f t="shared" si="5"/>
        <v>(520,28,50,100,103,0.91)</v>
      </c>
    </row>
    <row r="89" spans="2:19">
      <c r="B89" s="38">
        <v>12</v>
      </c>
      <c r="C89">
        <v>520</v>
      </c>
      <c r="D89" s="39">
        <v>28</v>
      </c>
      <c r="E89">
        <v>60</v>
      </c>
      <c r="F89" s="39">
        <v>100</v>
      </c>
      <c r="G89" s="40">
        <f>B89*Assumptions!$C$19*365*24*Assumptions!$D$26*1000/(Assumptions!$G$14*0.001) /10^9</f>
        <v>11.502397866094725</v>
      </c>
      <c r="H89" s="40">
        <f>C89*Assumptions!$C$20*365*24*Assumptions!$D$30*1000/(Assumptions!$G$14*0.001) /10^9</f>
        <v>81.774640058743017</v>
      </c>
      <c r="I89" s="40">
        <f>E89*Assumptions!$C$46/(Assumptions!$G$14*0.001) /10^9</f>
        <v>2.652742445786032</v>
      </c>
      <c r="J89" s="40">
        <f>D89*Assumptions!$C$56/(Assumptions!$G$14*0.001) /10^9</f>
        <v>1.3960721514548804</v>
      </c>
      <c r="K89" s="40">
        <f>F89*Assumptions!$C$65/(Assumptions!$G$14*0.001) /10^9</f>
        <v>4.1756131091076423</v>
      </c>
      <c r="L89" s="47">
        <f>4*Assumptions!$C$10/Assumptions!$G$14</f>
        <v>3.5850379503898764</v>
      </c>
      <c r="M89" s="46">
        <v>91.44</v>
      </c>
      <c r="N89">
        <v>103</v>
      </c>
      <c r="O89" s="44">
        <f>N89*Assumptions!$C$97/(Assumptions!$G$15*0.001) /10^9*M89/100</f>
        <v>29.964387764279522</v>
      </c>
      <c r="P89" s="48">
        <f>Assumptions!$C$115*Assumptions!$C$113/(Assumptions!$G$15*0.001) /10^9</f>
        <v>3.5836390578944357</v>
      </c>
      <c r="Q89" s="42">
        <f t="shared" si="4"/>
        <v>138.63453040375012</v>
      </c>
      <c r="S89" s="29" t="str">
        <f t="shared" si="5"/>
        <v>(520,28,60,100,103,0.91)</v>
      </c>
    </row>
    <row r="90" spans="2:19">
      <c r="B90" s="38">
        <v>12</v>
      </c>
      <c r="C90">
        <v>520</v>
      </c>
      <c r="D90" s="39">
        <v>28</v>
      </c>
      <c r="E90">
        <v>70</v>
      </c>
      <c r="F90" s="39">
        <v>100</v>
      </c>
      <c r="G90" s="40">
        <f>B90*Assumptions!$C$19*365*24*Assumptions!$D$26*1000/(Assumptions!$G$14*0.001) /10^9</f>
        <v>11.502397866094725</v>
      </c>
      <c r="H90" s="40">
        <f>C90*Assumptions!$C$20*365*24*Assumptions!$D$30*1000/(Assumptions!$G$14*0.001) /10^9</f>
        <v>81.774640058743017</v>
      </c>
      <c r="I90" s="40">
        <f>E90*Assumptions!$C$46/(Assumptions!$G$14*0.001) /10^9</f>
        <v>3.0948661867503704</v>
      </c>
      <c r="J90" s="40">
        <f>D90*Assumptions!$C$56/(Assumptions!$G$14*0.001) /10^9</f>
        <v>1.3960721514548804</v>
      </c>
      <c r="K90" s="40">
        <f>F90*Assumptions!$C$65/(Assumptions!$G$14*0.001) /10^9</f>
        <v>4.1756131091076423</v>
      </c>
      <c r="L90" s="47">
        <f>4*Assumptions!$C$10/Assumptions!$G$14</f>
        <v>3.5850379503898764</v>
      </c>
      <c r="M90" s="46">
        <v>91.58</v>
      </c>
      <c r="N90">
        <v>103</v>
      </c>
      <c r="O90" s="44">
        <f>N90*Assumptions!$C$97/(Assumptions!$G$15*0.001) /10^9*M90/100</f>
        <v>30.01026499838931</v>
      </c>
      <c r="P90" s="48">
        <f>Assumptions!$C$115*Assumptions!$C$113/(Assumptions!$G$15*0.001) /10^9</f>
        <v>3.5836390578944357</v>
      </c>
      <c r="Q90" s="42">
        <f t="shared" si="4"/>
        <v>139.12253137882425</v>
      </c>
      <c r="S90" s="29" t="str">
        <f t="shared" si="5"/>
        <v>(520,28,70,100,103,0.92)</v>
      </c>
    </row>
    <row r="91" spans="2:19">
      <c r="B91" s="38">
        <v>12</v>
      </c>
      <c r="C91">
        <v>520</v>
      </c>
      <c r="D91" s="39">
        <v>28</v>
      </c>
      <c r="E91">
        <v>80</v>
      </c>
      <c r="F91" s="39">
        <v>100</v>
      </c>
      <c r="G91" s="40">
        <f>B91*Assumptions!$C$19*365*24*Assumptions!$D$26*1000/(Assumptions!$G$14*0.001) /10^9</f>
        <v>11.502397866094725</v>
      </c>
      <c r="H91" s="40">
        <f>C91*Assumptions!$C$20*365*24*Assumptions!$D$30*1000/(Assumptions!$G$14*0.001) /10^9</f>
        <v>81.774640058743017</v>
      </c>
      <c r="I91" s="40">
        <f>E91*Assumptions!$C$46/(Assumptions!$G$14*0.001) /10^9</f>
        <v>3.5369899277147088</v>
      </c>
      <c r="J91" s="40">
        <f>D91*Assumptions!$C$56/(Assumptions!$G$14*0.001) /10^9</f>
        <v>1.3960721514548804</v>
      </c>
      <c r="K91" s="40">
        <f>F91*Assumptions!$C$65/(Assumptions!$G$14*0.001) /10^9</f>
        <v>4.1756131091076423</v>
      </c>
      <c r="L91" s="47">
        <f>4*Assumptions!$C$10/Assumptions!$G$14</f>
        <v>3.5850379503898764</v>
      </c>
      <c r="M91" s="46">
        <v>91.69</v>
      </c>
      <c r="N91">
        <v>102</v>
      </c>
      <c r="O91" s="44">
        <f>N91*Assumptions!$C$97/(Assumptions!$G$15*0.001) /10^9*M91/100</f>
        <v>29.754599635486215</v>
      </c>
      <c r="P91" s="48">
        <f>Assumptions!$C$115*Assumptions!$C$113/(Assumptions!$G$15*0.001) /10^9</f>
        <v>3.5836390578944357</v>
      </c>
      <c r="Q91" s="42">
        <f t="shared" si="4"/>
        <v>139.3089897568855</v>
      </c>
      <c r="S91" s="29" t="str">
        <f t="shared" si="5"/>
        <v>(520,28,80,100,102,0.92)</v>
      </c>
    </row>
    <row r="92" spans="2:19">
      <c r="B92" s="38">
        <v>12</v>
      </c>
      <c r="C92">
        <v>520</v>
      </c>
      <c r="D92" s="39">
        <v>28</v>
      </c>
      <c r="E92">
        <v>90</v>
      </c>
      <c r="F92" s="39">
        <v>100</v>
      </c>
      <c r="G92" s="40">
        <f>B92*Assumptions!$C$19*365*24*Assumptions!$D$26*1000/(Assumptions!$G$14*0.001) /10^9</f>
        <v>11.502397866094725</v>
      </c>
      <c r="H92" s="40">
        <f>C92*Assumptions!$C$20*365*24*Assumptions!$D$30*1000/(Assumptions!$G$14*0.001) /10^9</f>
        <v>81.774640058743017</v>
      </c>
      <c r="I92" s="40">
        <f>E92*Assumptions!$C$46/(Assumptions!$G$14*0.001) /10^9</f>
        <v>3.979113668679048</v>
      </c>
      <c r="J92" s="40">
        <f>D92*Assumptions!$C$56/(Assumptions!$G$14*0.001) /10^9</f>
        <v>1.3960721514548804</v>
      </c>
      <c r="K92" s="40">
        <f>F92*Assumptions!$C$65/(Assumptions!$G$14*0.001) /10^9</f>
        <v>4.1756131091076423</v>
      </c>
      <c r="L92" s="47">
        <f>4*Assumptions!$C$10/Assumptions!$G$14</f>
        <v>3.5850379503898764</v>
      </c>
      <c r="M92" s="46">
        <v>91.75</v>
      </c>
      <c r="N92">
        <v>102</v>
      </c>
      <c r="O92" s="44">
        <f>N92*Assumptions!$C$97/(Assumptions!$G$15*0.001) /10^9*M92/100</f>
        <v>29.774070417230455</v>
      </c>
      <c r="P92" s="48">
        <f>Assumptions!$C$115*Assumptions!$C$113/(Assumptions!$G$15*0.001) /10^9</f>
        <v>3.5836390578944357</v>
      </c>
      <c r="Q92" s="42">
        <f t="shared" si="4"/>
        <v>139.77058427959406</v>
      </c>
      <c r="S92" s="29" t="str">
        <f t="shared" si="5"/>
        <v>(520,28,90,100,102,0.92)</v>
      </c>
    </row>
    <row r="93" spans="2:19">
      <c r="B93" s="38">
        <v>12</v>
      </c>
      <c r="C93">
        <v>520</v>
      </c>
      <c r="D93" s="39">
        <v>28</v>
      </c>
      <c r="E93">
        <v>100</v>
      </c>
      <c r="F93" s="39">
        <v>100</v>
      </c>
      <c r="G93" s="40">
        <f>B93*Assumptions!$C$19*365*24*Assumptions!$D$26*1000/(Assumptions!$G$14*0.001) /10^9</f>
        <v>11.502397866094725</v>
      </c>
      <c r="H93" s="40">
        <f>C93*Assumptions!$C$20*365*24*Assumptions!$D$30*1000/(Assumptions!$G$14*0.001) /10^9</f>
        <v>81.774640058743017</v>
      </c>
      <c r="I93" s="40">
        <f>E93*Assumptions!$C$46/(Assumptions!$G$14*0.001) /10^9</f>
        <v>4.4212374096433864</v>
      </c>
      <c r="J93" s="40">
        <f>D93*Assumptions!$C$56/(Assumptions!$G$14*0.001) /10^9</f>
        <v>1.3960721514548804</v>
      </c>
      <c r="K93" s="40">
        <f>F93*Assumptions!$C$65/(Assumptions!$G$14*0.001) /10^9</f>
        <v>4.1756131091076423</v>
      </c>
      <c r="L93" s="47">
        <f>4*Assumptions!$C$10/Assumptions!$G$14</f>
        <v>3.5850379503898764</v>
      </c>
      <c r="M93" s="46">
        <v>91.81</v>
      </c>
      <c r="N93">
        <v>102</v>
      </c>
      <c r="O93" s="44">
        <f>N93*Assumptions!$C$97/(Assumptions!$G$15*0.001) /10^9*M93/100</f>
        <v>29.793541198974694</v>
      </c>
      <c r="P93" s="48">
        <f>Assumptions!$C$115*Assumptions!$C$113/(Assumptions!$G$15*0.001) /10^9</f>
        <v>3.5836390578944357</v>
      </c>
      <c r="Q93" s="42">
        <f t="shared" si="4"/>
        <v>140.23217880230263</v>
      </c>
      <c r="S93" s="29" t="str">
        <f t="shared" si="5"/>
        <v>(520,28,100,100,102,0.92)</v>
      </c>
    </row>
    <row r="94" spans="2:19">
      <c r="B94" s="38">
        <v>12</v>
      </c>
      <c r="C94">
        <v>530</v>
      </c>
      <c r="D94" s="39">
        <v>28</v>
      </c>
      <c r="E94">
        <v>20</v>
      </c>
      <c r="F94" s="39">
        <v>100</v>
      </c>
      <c r="G94" s="40">
        <f>B94*Assumptions!$C$19*365*24*Assumptions!$D$26*1000/(Assumptions!$G$14*0.001) /10^9</f>
        <v>11.502397866094725</v>
      </c>
      <c r="H94" s="40">
        <f>C94*Assumptions!$C$20*365*24*Assumptions!$D$30*1000/(Assumptions!$G$14*0.001) /10^9</f>
        <v>83.34722929064192</v>
      </c>
      <c r="I94" s="40">
        <f>E94*Assumptions!$C$46/(Assumptions!$G$14*0.001) /10^9</f>
        <v>0.88424748192867719</v>
      </c>
      <c r="J94" s="40">
        <f>D94*Assumptions!$C$56/(Assumptions!$G$14*0.001) /10^9</f>
        <v>1.3960721514548804</v>
      </c>
      <c r="K94" s="40">
        <f>F94*Assumptions!$C$65/(Assumptions!$G$14*0.001) /10^9</f>
        <v>4.1756131091076423</v>
      </c>
      <c r="L94" s="47">
        <f>4*Assumptions!$C$10/Assumptions!$G$14</f>
        <v>3.5850379503898764</v>
      </c>
      <c r="M94" s="46">
        <v>88.56</v>
      </c>
      <c r="N94">
        <v>106</v>
      </c>
      <c r="O94" s="44">
        <f>N94*Assumptions!$C$97/(Assumptions!$G$15*0.001) /10^9*M94/100</f>
        <v>29.865888515455737</v>
      </c>
      <c r="P94" s="48">
        <f>Assumptions!$C$115*Assumptions!$C$113/(Assumptions!$G$15*0.001) /10^9</f>
        <v>3.5836390578944357</v>
      </c>
      <c r="Q94" s="42">
        <f t="shared" si="4"/>
        <v>138.34012542296787</v>
      </c>
      <c r="S94" s="29" t="str">
        <f t="shared" si="5"/>
        <v>(530,28,20,100,106,0.89)</v>
      </c>
    </row>
    <row r="95" spans="2:19">
      <c r="B95" s="38">
        <v>12</v>
      </c>
      <c r="C95">
        <v>530</v>
      </c>
      <c r="D95" s="39">
        <v>28</v>
      </c>
      <c r="E95">
        <v>30</v>
      </c>
      <c r="F95" s="39">
        <v>100</v>
      </c>
      <c r="G95" s="40">
        <f>B95*Assumptions!$C$19*365*24*Assumptions!$D$26*1000/(Assumptions!$G$14*0.001) /10^9</f>
        <v>11.502397866094725</v>
      </c>
      <c r="H95" s="40">
        <f>C95*Assumptions!$C$20*365*24*Assumptions!$D$30*1000/(Assumptions!$G$14*0.001) /10^9</f>
        <v>83.34722929064192</v>
      </c>
      <c r="I95" s="40">
        <f>E95*Assumptions!$C$46/(Assumptions!$G$14*0.001) /10^9</f>
        <v>1.326371222893016</v>
      </c>
      <c r="J95" s="40">
        <f>D95*Assumptions!$C$56/(Assumptions!$G$14*0.001) /10^9</f>
        <v>1.3960721514548804</v>
      </c>
      <c r="K95" s="40">
        <f>F95*Assumptions!$C$65/(Assumptions!$G$14*0.001) /10^9</f>
        <v>4.1756131091076423</v>
      </c>
      <c r="L95" s="47">
        <f>4*Assumptions!$C$10/Assumptions!$G$14</f>
        <v>3.5850379503898764</v>
      </c>
      <c r="M95" s="46">
        <v>90.56</v>
      </c>
      <c r="N95">
        <v>103</v>
      </c>
      <c r="O95" s="44">
        <f>N95*Assumptions!$C$97/(Assumptions!$G$15*0.001) /10^9*M95/100</f>
        <v>29.676016578446564</v>
      </c>
      <c r="P95" s="48">
        <f>Assumptions!$C$115*Assumptions!$C$113/(Assumptions!$G$15*0.001) /10^9</f>
        <v>3.5836390578944357</v>
      </c>
      <c r="Q95" s="42">
        <f t="shared" si="4"/>
        <v>138.59237722692305</v>
      </c>
      <c r="S95" s="29" t="str">
        <f t="shared" si="5"/>
        <v>(530,28,30,100,103,0.91)</v>
      </c>
    </row>
    <row r="96" spans="2:19">
      <c r="B96" s="38">
        <v>12</v>
      </c>
      <c r="C96">
        <v>530</v>
      </c>
      <c r="D96" s="39">
        <v>28</v>
      </c>
      <c r="E96">
        <v>40</v>
      </c>
      <c r="F96" s="39">
        <v>100</v>
      </c>
      <c r="G96" s="40">
        <f>B96*Assumptions!$C$19*365*24*Assumptions!$D$26*1000/(Assumptions!$G$14*0.001) /10^9</f>
        <v>11.502397866094725</v>
      </c>
      <c r="H96" s="40">
        <f>C96*Assumptions!$C$20*365*24*Assumptions!$D$30*1000/(Assumptions!$G$14*0.001) /10^9</f>
        <v>83.34722929064192</v>
      </c>
      <c r="I96" s="40">
        <f>E96*Assumptions!$C$46/(Assumptions!$G$14*0.001) /10^9</f>
        <v>1.7684949638573544</v>
      </c>
      <c r="J96" s="40">
        <f>D96*Assumptions!$C$56/(Assumptions!$G$14*0.001) /10^9</f>
        <v>1.3960721514548804</v>
      </c>
      <c r="K96" s="40">
        <f>F96*Assumptions!$C$65/(Assumptions!$G$14*0.001) /10^9</f>
        <v>4.1756131091076423</v>
      </c>
      <c r="L96" s="47">
        <f>4*Assumptions!$C$10/Assumptions!$G$14</f>
        <v>3.5850379503898764</v>
      </c>
      <c r="M96" s="46">
        <v>91.39</v>
      </c>
      <c r="N96">
        <v>102</v>
      </c>
      <c r="O96" s="44">
        <f>N96*Assumptions!$C$97/(Assumptions!$G$15*0.001) /10^9*M96/100</f>
        <v>29.657245726765026</v>
      </c>
      <c r="P96" s="48">
        <f>Assumptions!$C$115*Assumptions!$C$113/(Assumptions!$G$15*0.001) /10^9</f>
        <v>3.5836390578944357</v>
      </c>
      <c r="Q96" s="42">
        <f t="shared" si="4"/>
        <v>139.01573011620584</v>
      </c>
      <c r="S96" s="29" t="str">
        <f t="shared" si="5"/>
        <v>(530,28,40,100,102,0.91)</v>
      </c>
    </row>
    <row r="97" spans="2:19">
      <c r="B97" s="38">
        <v>12</v>
      </c>
      <c r="C97">
        <v>530</v>
      </c>
      <c r="D97" s="39">
        <v>28</v>
      </c>
      <c r="E97">
        <v>50</v>
      </c>
      <c r="F97" s="39">
        <v>100</v>
      </c>
      <c r="G97" s="40">
        <f>B97*Assumptions!$C$19*365*24*Assumptions!$D$26*1000/(Assumptions!$G$14*0.001) /10^9</f>
        <v>11.502397866094725</v>
      </c>
      <c r="H97" s="40">
        <f>C97*Assumptions!$C$20*365*24*Assumptions!$D$30*1000/(Assumptions!$G$14*0.001) /10^9</f>
        <v>83.34722929064192</v>
      </c>
      <c r="I97" s="40">
        <f>E97*Assumptions!$C$46/(Assumptions!$G$14*0.001) /10^9</f>
        <v>2.2106187048216932</v>
      </c>
      <c r="J97" s="40">
        <f>D97*Assumptions!$C$56/(Assumptions!$G$14*0.001) /10^9</f>
        <v>1.3960721514548804</v>
      </c>
      <c r="K97" s="40">
        <f>F97*Assumptions!$C$65/(Assumptions!$G$14*0.001) /10^9</f>
        <v>4.1756131091076423</v>
      </c>
      <c r="L97" s="47">
        <f>4*Assumptions!$C$10/Assumptions!$G$14</f>
        <v>3.5850379503898764</v>
      </c>
      <c r="M97" s="46">
        <v>91.84</v>
      </c>
      <c r="N97">
        <v>101</v>
      </c>
      <c r="O97" s="44">
        <f>N97*Assumptions!$C$97/(Assumptions!$G$15*0.001) /10^9*M97/100</f>
        <v>29.511087603671843</v>
      </c>
      <c r="P97" s="48">
        <f>Assumptions!$C$115*Assumptions!$C$113/(Assumptions!$G$15*0.001) /10^9</f>
        <v>3.5836390578944357</v>
      </c>
      <c r="Q97" s="42">
        <f t="shared" si="4"/>
        <v>139.31169573407701</v>
      </c>
      <c r="S97" s="29" t="str">
        <f t="shared" si="5"/>
        <v>(530,28,50,100,101,0.92)</v>
      </c>
    </row>
    <row r="98" spans="2:19">
      <c r="B98" s="38">
        <v>12</v>
      </c>
      <c r="C98">
        <v>530</v>
      </c>
      <c r="D98" s="39">
        <v>28</v>
      </c>
      <c r="E98">
        <v>60</v>
      </c>
      <c r="F98" s="39">
        <v>100</v>
      </c>
      <c r="G98" s="40">
        <f>B98*Assumptions!$C$19*365*24*Assumptions!$D$26*1000/(Assumptions!$G$14*0.001) /10^9</f>
        <v>11.502397866094725</v>
      </c>
      <c r="H98" s="40">
        <f>C98*Assumptions!$C$20*365*24*Assumptions!$D$30*1000/(Assumptions!$G$14*0.001) /10^9</f>
        <v>83.34722929064192</v>
      </c>
      <c r="I98" s="40">
        <f>E98*Assumptions!$C$46/(Assumptions!$G$14*0.001) /10^9</f>
        <v>2.652742445786032</v>
      </c>
      <c r="J98" s="40">
        <f>D98*Assumptions!$C$56/(Assumptions!$G$14*0.001) /10^9</f>
        <v>1.3960721514548804</v>
      </c>
      <c r="K98" s="40">
        <f>F98*Assumptions!$C$65/(Assumptions!$G$14*0.001) /10^9</f>
        <v>4.1756131091076423</v>
      </c>
      <c r="L98" s="47">
        <f>4*Assumptions!$C$10/Assumptions!$G$14</f>
        <v>3.5850379503898764</v>
      </c>
      <c r="M98" s="46">
        <v>92.1</v>
      </c>
      <c r="N98">
        <v>101</v>
      </c>
      <c r="O98" s="44">
        <f>N98*Assumptions!$C$97/(Assumptions!$G$15*0.001) /10^9*M98/100</f>
        <v>29.594633801156107</v>
      </c>
      <c r="P98" s="48">
        <f>Assumptions!$C$115*Assumptions!$C$113/(Assumptions!$G$15*0.001) /10^9</f>
        <v>3.5836390578944357</v>
      </c>
      <c r="Q98" s="42">
        <f t="shared" si="4"/>
        <v>139.83736567252561</v>
      </c>
      <c r="S98" s="29" t="str">
        <f t="shared" si="5"/>
        <v>(530,28,60,100,101,0.92)</v>
      </c>
    </row>
    <row r="99" spans="2:19">
      <c r="B99" s="38">
        <v>12</v>
      </c>
      <c r="C99">
        <v>530</v>
      </c>
      <c r="D99" s="39">
        <v>28</v>
      </c>
      <c r="E99">
        <v>70</v>
      </c>
      <c r="F99" s="39">
        <v>100</v>
      </c>
      <c r="G99" s="40">
        <f>B99*Assumptions!$C$19*365*24*Assumptions!$D$26*1000/(Assumptions!$G$14*0.001) /10^9</f>
        <v>11.502397866094725</v>
      </c>
      <c r="H99" s="40">
        <f>C99*Assumptions!$C$20*365*24*Assumptions!$D$30*1000/(Assumptions!$G$14*0.001) /10^9</f>
        <v>83.34722929064192</v>
      </c>
      <c r="I99" s="40">
        <f>E99*Assumptions!$C$46/(Assumptions!$G$14*0.001) /10^9</f>
        <v>3.0948661867503704</v>
      </c>
      <c r="J99" s="40">
        <f>D99*Assumptions!$C$56/(Assumptions!$G$14*0.001) /10^9</f>
        <v>1.3960721514548804</v>
      </c>
      <c r="K99" s="40">
        <f>F99*Assumptions!$C$65/(Assumptions!$G$14*0.001) /10^9</f>
        <v>4.1756131091076423</v>
      </c>
      <c r="L99" s="47">
        <f>4*Assumptions!$C$10/Assumptions!$G$14</f>
        <v>3.5850379503898764</v>
      </c>
      <c r="M99" s="46">
        <v>92.25</v>
      </c>
      <c r="N99">
        <v>100</v>
      </c>
      <c r="O99" s="44">
        <f>N99*Assumptions!$C$97/(Assumptions!$G$15*0.001) /10^9*M99/100</f>
        <v>29.349340129182128</v>
      </c>
      <c r="P99" s="48">
        <f>Assumptions!$C$115*Assumptions!$C$113/(Assumptions!$G$15*0.001) /10^9</f>
        <v>3.5836390578944357</v>
      </c>
      <c r="Q99" s="42">
        <f t="shared" si="4"/>
        <v>140.03419574151596</v>
      </c>
      <c r="S99" s="29" t="str">
        <f t="shared" si="5"/>
        <v>(530,28,70,100,100,0.92)</v>
      </c>
    </row>
    <row r="100" spans="2:19">
      <c r="B100" s="38">
        <v>12</v>
      </c>
      <c r="C100">
        <v>530</v>
      </c>
      <c r="D100" s="39">
        <v>28</v>
      </c>
      <c r="E100">
        <v>80</v>
      </c>
      <c r="F100" s="39">
        <v>100</v>
      </c>
      <c r="G100" s="40">
        <f>B100*Assumptions!$C$19*365*24*Assumptions!$D$26*1000/(Assumptions!$G$14*0.001) /10^9</f>
        <v>11.502397866094725</v>
      </c>
      <c r="H100" s="40">
        <f>C100*Assumptions!$C$20*365*24*Assumptions!$D$30*1000/(Assumptions!$G$14*0.001) /10^9</f>
        <v>83.34722929064192</v>
      </c>
      <c r="I100" s="40">
        <f>E100*Assumptions!$C$46/(Assumptions!$G$14*0.001) /10^9</f>
        <v>3.5369899277147088</v>
      </c>
      <c r="J100" s="40">
        <f>D100*Assumptions!$C$56/(Assumptions!$G$14*0.001) /10^9</f>
        <v>1.3960721514548804</v>
      </c>
      <c r="K100" s="40">
        <f>F100*Assumptions!$C$65/(Assumptions!$G$14*0.001) /10^9</f>
        <v>4.1756131091076423</v>
      </c>
      <c r="L100" s="47">
        <f>4*Assumptions!$C$10/Assumptions!$G$14</f>
        <v>3.5850379503898764</v>
      </c>
      <c r="M100" s="46">
        <v>92.34</v>
      </c>
      <c r="N100">
        <v>100</v>
      </c>
      <c r="O100" s="44">
        <f>N100*Assumptions!$C$97/(Assumptions!$G$15*0.001) /10^9*M100/100</f>
        <v>29.377973631747185</v>
      </c>
      <c r="P100" s="48">
        <f>Assumptions!$C$115*Assumptions!$C$113/(Assumptions!$G$15*0.001) /10^9</f>
        <v>3.5836390578944357</v>
      </c>
      <c r="Q100" s="42">
        <f t="shared" si="4"/>
        <v>140.50495298504538</v>
      </c>
      <c r="S100" s="29" t="str">
        <f t="shared" si="5"/>
        <v>(530,28,80,100,100,0.92)</v>
      </c>
    </row>
    <row r="101" spans="2:19">
      <c r="B101" s="38">
        <v>12</v>
      </c>
      <c r="C101">
        <v>530</v>
      </c>
      <c r="D101" s="39">
        <v>28</v>
      </c>
      <c r="E101">
        <v>90</v>
      </c>
      <c r="F101" s="39">
        <v>100</v>
      </c>
      <c r="G101" s="40">
        <f>B101*Assumptions!$C$19*365*24*Assumptions!$D$26*1000/(Assumptions!$G$14*0.001) /10^9</f>
        <v>11.502397866094725</v>
      </c>
      <c r="H101" s="40">
        <f>C101*Assumptions!$C$20*365*24*Assumptions!$D$30*1000/(Assumptions!$G$14*0.001) /10^9</f>
        <v>83.34722929064192</v>
      </c>
      <c r="I101" s="40">
        <f>E101*Assumptions!$C$46/(Assumptions!$G$14*0.001) /10^9</f>
        <v>3.979113668679048</v>
      </c>
      <c r="J101" s="40">
        <f>D101*Assumptions!$C$56/(Assumptions!$G$14*0.001) /10^9</f>
        <v>1.3960721514548804</v>
      </c>
      <c r="K101" s="40">
        <f>F101*Assumptions!$C$65/(Assumptions!$G$14*0.001) /10^9</f>
        <v>4.1756131091076423</v>
      </c>
      <c r="L101" s="47">
        <f>4*Assumptions!$C$10/Assumptions!$G$14</f>
        <v>3.5850379503898764</v>
      </c>
      <c r="M101" s="46">
        <v>92.39</v>
      </c>
      <c r="N101">
        <v>100</v>
      </c>
      <c r="O101" s="44">
        <f>N101*Assumptions!$C$97/(Assumptions!$G$15*0.001) /10^9*M101/100</f>
        <v>29.393881133172211</v>
      </c>
      <c r="P101" s="48">
        <f>Assumptions!$C$115*Assumptions!$C$113/(Assumptions!$G$15*0.001) /10^9</f>
        <v>3.5836390578944357</v>
      </c>
      <c r="Q101" s="42">
        <f t="shared" si="4"/>
        <v>140.96298422743473</v>
      </c>
      <c r="S101" s="29" t="str">
        <f t="shared" si="5"/>
        <v>(530,28,90,100,100,0.92)</v>
      </c>
    </row>
    <row r="102" spans="2:19">
      <c r="B102" s="38">
        <v>12</v>
      </c>
      <c r="C102">
        <v>530</v>
      </c>
      <c r="D102" s="39">
        <v>28</v>
      </c>
      <c r="E102">
        <v>100</v>
      </c>
      <c r="F102" s="39">
        <v>100</v>
      </c>
      <c r="G102" s="40">
        <f>B102*Assumptions!$C$19*365*24*Assumptions!$D$26*1000/(Assumptions!$G$14*0.001) /10^9</f>
        <v>11.502397866094725</v>
      </c>
      <c r="H102" s="40">
        <f>C102*Assumptions!$C$20*365*24*Assumptions!$D$30*1000/(Assumptions!$G$14*0.001) /10^9</f>
        <v>83.34722929064192</v>
      </c>
      <c r="I102" s="40">
        <f>E102*Assumptions!$C$46/(Assumptions!$G$14*0.001) /10^9</f>
        <v>4.4212374096433864</v>
      </c>
      <c r="J102" s="40">
        <f>D102*Assumptions!$C$56/(Assumptions!$G$14*0.001) /10^9</f>
        <v>1.3960721514548804</v>
      </c>
      <c r="K102" s="40">
        <f>F102*Assumptions!$C$65/(Assumptions!$G$14*0.001) /10^9</f>
        <v>4.1756131091076423</v>
      </c>
      <c r="L102" s="47">
        <f>4*Assumptions!$C$10/Assumptions!$G$14</f>
        <v>3.5850379503898764</v>
      </c>
      <c r="M102" s="46">
        <v>92.45</v>
      </c>
      <c r="N102">
        <v>100</v>
      </c>
      <c r="O102" s="44">
        <f>N102*Assumptions!$C$97/(Assumptions!$G$15*0.001) /10^9*M102/100</f>
        <v>29.412970134882254</v>
      </c>
      <c r="P102" s="48">
        <f>Assumptions!$C$115*Assumptions!$C$113/(Assumptions!$G$15*0.001) /10^9</f>
        <v>3.5836390578944357</v>
      </c>
      <c r="Q102" s="42">
        <f t="shared" si="4"/>
        <v>141.42419697010911</v>
      </c>
      <c r="S102" s="29" t="str">
        <f t="shared" si="5"/>
        <v>(530,28,100,100,100,0.92)</v>
      </c>
    </row>
    <row r="103" spans="2:19">
      <c r="B103" s="38">
        <v>12</v>
      </c>
      <c r="C103">
        <v>540</v>
      </c>
      <c r="D103" s="39">
        <v>27</v>
      </c>
      <c r="E103">
        <v>20</v>
      </c>
      <c r="F103" s="39">
        <v>100</v>
      </c>
      <c r="G103" s="40">
        <f>B103*Assumptions!$C$19*365*24*Assumptions!$D$26*1000/(Assumptions!$G$14*0.001) /10^9</f>
        <v>11.502397866094725</v>
      </c>
      <c r="H103" s="40">
        <f>C103*Assumptions!$C$20*365*24*Assumptions!$D$30*1000/(Assumptions!$G$14*0.001) /10^9</f>
        <v>84.919818522540822</v>
      </c>
      <c r="I103" s="40">
        <f>E103*Assumptions!$C$46/(Assumptions!$G$14*0.001) /10^9</f>
        <v>0.88424748192867719</v>
      </c>
      <c r="J103" s="40">
        <f>D103*Assumptions!$C$56/(Assumptions!$G$14*0.001) /10^9</f>
        <v>1.3462124317600632</v>
      </c>
      <c r="K103" s="40">
        <f>F103*Assumptions!$C$65/(Assumptions!$G$14*0.001) /10^9</f>
        <v>4.1756131091076423</v>
      </c>
      <c r="L103" s="47">
        <f>4*Assumptions!$C$10/Assumptions!$G$14</f>
        <v>3.5850379503898764</v>
      </c>
      <c r="M103" s="46">
        <v>89.47</v>
      </c>
      <c r="N103">
        <v>103</v>
      </c>
      <c r="O103" s="44">
        <f>N103*Assumptions!$C$97/(Assumptions!$G$15*0.001) /10^9*M103/100</f>
        <v>29.318829541448917</v>
      </c>
      <c r="P103" s="48">
        <f>Assumptions!$C$115*Assumptions!$C$113/(Assumptions!$G$15*0.001) /10^9</f>
        <v>3.5836390578944357</v>
      </c>
      <c r="Q103" s="42">
        <f t="shared" si="4"/>
        <v>139.31579596116515</v>
      </c>
      <c r="S103" s="29" t="str">
        <f t="shared" si="5"/>
        <v>(540,27,20,100,103,0.89)</v>
      </c>
    </row>
    <row r="104" spans="2:19">
      <c r="B104" s="38">
        <v>12</v>
      </c>
      <c r="C104">
        <v>540</v>
      </c>
      <c r="D104" s="39">
        <v>27</v>
      </c>
      <c r="E104">
        <v>30</v>
      </c>
      <c r="F104" s="39">
        <v>100</v>
      </c>
      <c r="G104" s="40">
        <f>B104*Assumptions!$C$19*365*24*Assumptions!$D$26*1000/(Assumptions!$G$14*0.001) /10^9</f>
        <v>11.502397866094725</v>
      </c>
      <c r="H104" s="40">
        <f>C104*Assumptions!$C$20*365*24*Assumptions!$D$30*1000/(Assumptions!$G$14*0.001) /10^9</f>
        <v>84.919818522540822</v>
      </c>
      <c r="I104" s="40">
        <f>E104*Assumptions!$C$46/(Assumptions!$G$14*0.001) /10^9</f>
        <v>1.326371222893016</v>
      </c>
      <c r="J104" s="40">
        <f>D104*Assumptions!$C$56/(Assumptions!$G$14*0.001) /10^9</f>
        <v>1.3462124317600632</v>
      </c>
      <c r="K104" s="40">
        <f>F104*Assumptions!$C$65/(Assumptions!$G$14*0.001) /10^9</f>
        <v>4.1756131091076423</v>
      </c>
      <c r="L104" s="47">
        <f>4*Assumptions!$C$10/Assumptions!$G$14</f>
        <v>3.5850379503898764</v>
      </c>
      <c r="M104" s="46">
        <v>91.31</v>
      </c>
      <c r="N104">
        <v>100</v>
      </c>
      <c r="O104" s="44">
        <f>N104*Assumptions!$C$97/(Assumptions!$G$15*0.001) /10^9*M104/100</f>
        <v>29.050279102391546</v>
      </c>
      <c r="P104" s="48">
        <f>Assumptions!$C$115*Assumptions!$C$113/(Assumptions!$G$15*0.001) /10^9</f>
        <v>3.5836390578944357</v>
      </c>
      <c r="Q104" s="42">
        <f t="shared" si="4"/>
        <v>139.48936926307212</v>
      </c>
      <c r="S104" s="29" t="str">
        <f t="shared" si="5"/>
        <v>(540,27,30,100,100,0.91)</v>
      </c>
    </row>
    <row r="105" spans="2:19">
      <c r="B105" s="38">
        <v>12</v>
      </c>
      <c r="C105">
        <v>540</v>
      </c>
      <c r="D105" s="39">
        <v>27</v>
      </c>
      <c r="E105">
        <v>40</v>
      </c>
      <c r="F105" s="39">
        <v>100</v>
      </c>
      <c r="G105" s="40">
        <f>B105*Assumptions!$C$19*365*24*Assumptions!$D$26*1000/(Assumptions!$G$14*0.001) /10^9</f>
        <v>11.502397866094725</v>
      </c>
      <c r="H105" s="40">
        <f>C105*Assumptions!$C$20*365*24*Assumptions!$D$30*1000/(Assumptions!$G$14*0.001) /10^9</f>
        <v>84.919818522540822</v>
      </c>
      <c r="I105" s="40">
        <f>E105*Assumptions!$C$46/(Assumptions!$G$14*0.001) /10^9</f>
        <v>1.7684949638573544</v>
      </c>
      <c r="J105" s="40">
        <f>D105*Assumptions!$C$56/(Assumptions!$G$14*0.001) /10^9</f>
        <v>1.3462124317600632</v>
      </c>
      <c r="K105" s="40">
        <f>F105*Assumptions!$C$65/(Assumptions!$G$14*0.001) /10^9</f>
        <v>4.1756131091076423</v>
      </c>
      <c r="L105" s="47">
        <f>4*Assumptions!$C$10/Assumptions!$G$14</f>
        <v>3.5850379503898764</v>
      </c>
      <c r="M105" s="46">
        <v>92.11</v>
      </c>
      <c r="N105">
        <v>99</v>
      </c>
      <c r="O105" s="44">
        <f>N105*Assumptions!$C$97/(Assumptions!$G$15*0.001) /10^9*M105/100</f>
        <v>29.01175113394012</v>
      </c>
      <c r="P105" s="48">
        <f>Assumptions!$C$115*Assumptions!$C$113/(Assumptions!$G$15*0.001) /10^9</f>
        <v>3.5836390578944357</v>
      </c>
      <c r="Q105" s="42">
        <f t="shared" si="4"/>
        <v>139.89296503558504</v>
      </c>
      <c r="S105" s="29" t="str">
        <f t="shared" si="5"/>
        <v>(540,27,40,100,99,0.92)</v>
      </c>
    </row>
    <row r="106" spans="2:19">
      <c r="B106" s="38">
        <v>12</v>
      </c>
      <c r="C106">
        <v>540</v>
      </c>
      <c r="D106" s="39">
        <v>27</v>
      </c>
      <c r="E106">
        <v>50</v>
      </c>
      <c r="F106" s="39">
        <v>100</v>
      </c>
      <c r="G106" s="40">
        <f>B106*Assumptions!$C$19*365*24*Assumptions!$D$26*1000/(Assumptions!$G$14*0.001) /10^9</f>
        <v>11.502397866094725</v>
      </c>
      <c r="H106" s="40">
        <f>C106*Assumptions!$C$20*365*24*Assumptions!$D$30*1000/(Assumptions!$G$14*0.001) /10^9</f>
        <v>84.919818522540822</v>
      </c>
      <c r="I106" s="40">
        <f>E106*Assumptions!$C$46/(Assumptions!$G$14*0.001) /10^9</f>
        <v>2.2106187048216932</v>
      </c>
      <c r="J106" s="40">
        <f>D106*Assumptions!$C$56/(Assumptions!$G$14*0.001) /10^9</f>
        <v>1.3462124317600632</v>
      </c>
      <c r="K106" s="40">
        <f>F106*Assumptions!$C$65/(Assumptions!$G$14*0.001) /10^9</f>
        <v>4.1756131091076423</v>
      </c>
      <c r="L106" s="47">
        <f>4*Assumptions!$C$10/Assumptions!$G$14</f>
        <v>3.5850379503898764</v>
      </c>
      <c r="M106" s="46">
        <v>92.47</v>
      </c>
      <c r="N106">
        <v>99</v>
      </c>
      <c r="O106" s="44">
        <f>N106*Assumptions!$C$97/(Assumptions!$G$15*0.001) /10^9*M106/100</f>
        <v>29.125139804097739</v>
      </c>
      <c r="P106" s="48">
        <f>Assumptions!$C$115*Assumptions!$C$113/(Assumptions!$G$15*0.001) /10^9</f>
        <v>3.5836390578944357</v>
      </c>
      <c r="Q106" s="42">
        <f t="shared" si="4"/>
        <v>140.44847744670699</v>
      </c>
      <c r="S106" s="29" t="str">
        <f t="shared" si="5"/>
        <v>(540,27,50,100,99,0.92)</v>
      </c>
    </row>
    <row r="107" spans="2:19">
      <c r="B107" s="38">
        <v>12</v>
      </c>
      <c r="C107">
        <v>540</v>
      </c>
      <c r="D107" s="39">
        <v>27</v>
      </c>
      <c r="E107">
        <v>60</v>
      </c>
      <c r="F107" s="39">
        <v>100</v>
      </c>
      <c r="G107" s="40">
        <f>B107*Assumptions!$C$19*365*24*Assumptions!$D$26*1000/(Assumptions!$G$14*0.001) /10^9</f>
        <v>11.502397866094725</v>
      </c>
      <c r="H107" s="40">
        <f>C107*Assumptions!$C$20*365*24*Assumptions!$D$30*1000/(Assumptions!$G$14*0.001) /10^9</f>
        <v>84.919818522540822</v>
      </c>
      <c r="I107" s="40">
        <f>E107*Assumptions!$C$46/(Assumptions!$G$14*0.001) /10^9</f>
        <v>2.652742445786032</v>
      </c>
      <c r="J107" s="40">
        <f>D107*Assumptions!$C$56/(Assumptions!$G$14*0.001) /10^9</f>
        <v>1.3462124317600632</v>
      </c>
      <c r="K107" s="40">
        <f>F107*Assumptions!$C$65/(Assumptions!$G$14*0.001) /10^9</f>
        <v>4.1756131091076423</v>
      </c>
      <c r="L107" s="47">
        <f>4*Assumptions!$C$10/Assumptions!$G$14</f>
        <v>3.5850379503898764</v>
      </c>
      <c r="M107" s="46">
        <v>92.65</v>
      </c>
      <c r="N107">
        <v>98</v>
      </c>
      <c r="O107" s="44">
        <f>N107*Assumptions!$C$97/(Assumptions!$G$15*0.001) /10^9*M107/100</f>
        <v>28.887068137770729</v>
      </c>
      <c r="P107" s="48">
        <f>Assumptions!$C$115*Assumptions!$C$113/(Assumptions!$G$15*0.001) /10^9</f>
        <v>3.5836390578944357</v>
      </c>
      <c r="Q107" s="42">
        <f t="shared" si="4"/>
        <v>140.65252952134432</v>
      </c>
      <c r="S107" s="29" t="str">
        <f t="shared" si="5"/>
        <v>(540,27,60,100,98,0.93)</v>
      </c>
    </row>
    <row r="108" spans="2:19">
      <c r="B108" s="38">
        <v>12</v>
      </c>
      <c r="C108">
        <v>540</v>
      </c>
      <c r="D108" s="39">
        <v>27</v>
      </c>
      <c r="E108">
        <v>70</v>
      </c>
      <c r="F108" s="39">
        <v>100</v>
      </c>
      <c r="G108" s="40">
        <f>B108*Assumptions!$C$19*365*24*Assumptions!$D$26*1000/(Assumptions!$G$14*0.001) /10^9</f>
        <v>11.502397866094725</v>
      </c>
      <c r="H108" s="40">
        <f>C108*Assumptions!$C$20*365*24*Assumptions!$D$30*1000/(Assumptions!$G$14*0.001) /10^9</f>
        <v>84.919818522540822</v>
      </c>
      <c r="I108" s="40">
        <f>E108*Assumptions!$C$46/(Assumptions!$G$14*0.001) /10^9</f>
        <v>3.0948661867503704</v>
      </c>
      <c r="J108" s="40">
        <f>D108*Assumptions!$C$56/(Assumptions!$G$14*0.001) /10^9</f>
        <v>1.3462124317600632</v>
      </c>
      <c r="K108" s="40">
        <f>F108*Assumptions!$C$65/(Assumptions!$G$14*0.001) /10^9</f>
        <v>4.1756131091076423</v>
      </c>
      <c r="L108" s="47">
        <f>4*Assumptions!$C$10/Assumptions!$G$14</f>
        <v>3.5850379503898764</v>
      </c>
      <c r="M108" s="46">
        <v>92.83</v>
      </c>
      <c r="N108">
        <v>98</v>
      </c>
      <c r="O108" s="44">
        <f>N108*Assumptions!$C$97/(Assumptions!$G$15*0.001) /10^9*M108/100</f>
        <v>28.943189802798234</v>
      </c>
      <c r="P108" s="48">
        <f>Assumptions!$C$115*Assumptions!$C$113/(Assumptions!$G$15*0.001) /10^9</f>
        <v>3.5836390578944357</v>
      </c>
      <c r="Q108" s="42">
        <f t="shared" si="4"/>
        <v>141.15077492733616</v>
      </c>
      <c r="S108" s="29" t="str">
        <f t="shared" si="5"/>
        <v>(540,27,70,100,98,0.93)</v>
      </c>
    </row>
    <row r="109" spans="2:19">
      <c r="B109" s="38">
        <v>12</v>
      </c>
      <c r="C109">
        <v>540</v>
      </c>
      <c r="D109" s="39">
        <v>27</v>
      </c>
      <c r="E109">
        <v>80</v>
      </c>
      <c r="F109" s="39">
        <v>100</v>
      </c>
      <c r="G109" s="40">
        <f>B109*Assumptions!$C$19*365*24*Assumptions!$D$26*1000/(Assumptions!$G$14*0.001) /10^9</f>
        <v>11.502397866094725</v>
      </c>
      <c r="H109" s="40">
        <f>C109*Assumptions!$C$20*365*24*Assumptions!$D$30*1000/(Assumptions!$G$14*0.001) /10^9</f>
        <v>84.919818522540822</v>
      </c>
      <c r="I109" s="40">
        <f>E109*Assumptions!$C$46/(Assumptions!$G$14*0.001) /10^9</f>
        <v>3.5369899277147088</v>
      </c>
      <c r="J109" s="40">
        <f>D109*Assumptions!$C$56/(Assumptions!$G$14*0.001) /10^9</f>
        <v>1.3462124317600632</v>
      </c>
      <c r="K109" s="40">
        <f>F109*Assumptions!$C$65/(Assumptions!$G$14*0.001) /10^9</f>
        <v>4.1756131091076423</v>
      </c>
      <c r="L109" s="47">
        <f>4*Assumptions!$C$10/Assumptions!$G$14</f>
        <v>3.5850379503898764</v>
      </c>
      <c r="M109" s="46">
        <v>92.93</v>
      </c>
      <c r="N109">
        <v>98</v>
      </c>
      <c r="O109" s="44">
        <f>N109*Assumptions!$C$97/(Assumptions!$G$15*0.001) /10^9*M109/100</f>
        <v>28.974368505591297</v>
      </c>
      <c r="P109" s="48">
        <f>Assumptions!$C$115*Assumptions!$C$113/(Assumptions!$G$15*0.001) /10^9</f>
        <v>3.5836390578944357</v>
      </c>
      <c r="Q109" s="42">
        <f t="shared" si="4"/>
        <v>141.62407737109356</v>
      </c>
      <c r="S109" s="29" t="str">
        <f t="shared" si="5"/>
        <v>(540,27,80,100,98,0.93)</v>
      </c>
    </row>
    <row r="110" spans="2:19">
      <c r="B110" s="38">
        <v>12</v>
      </c>
      <c r="C110">
        <v>540</v>
      </c>
      <c r="D110" s="39">
        <v>27</v>
      </c>
      <c r="E110">
        <v>90</v>
      </c>
      <c r="F110" s="39">
        <v>100</v>
      </c>
      <c r="G110" s="40">
        <f>B110*Assumptions!$C$19*365*24*Assumptions!$D$26*1000/(Assumptions!$G$14*0.001) /10^9</f>
        <v>11.502397866094725</v>
      </c>
      <c r="H110" s="40">
        <f>C110*Assumptions!$C$20*365*24*Assumptions!$D$30*1000/(Assumptions!$G$14*0.001) /10^9</f>
        <v>84.919818522540822</v>
      </c>
      <c r="I110" s="40">
        <f>E110*Assumptions!$C$46/(Assumptions!$G$14*0.001) /10^9</f>
        <v>3.979113668679048</v>
      </c>
      <c r="J110" s="40">
        <f>D110*Assumptions!$C$56/(Assumptions!$G$14*0.001) /10^9</f>
        <v>1.3462124317600632</v>
      </c>
      <c r="K110" s="40">
        <f>F110*Assumptions!$C$65/(Assumptions!$G$14*0.001) /10^9</f>
        <v>4.1756131091076423</v>
      </c>
      <c r="L110" s="47">
        <f>4*Assumptions!$C$10/Assumptions!$G$14</f>
        <v>3.5850379503898764</v>
      </c>
      <c r="M110" s="46">
        <v>93</v>
      </c>
      <c r="N110">
        <v>98</v>
      </c>
      <c r="O110" s="44">
        <f>N110*Assumptions!$C$97/(Assumptions!$G$15*0.001) /10^9*M110/100</f>
        <v>28.996193597546441</v>
      </c>
      <c r="P110" s="48">
        <f>Assumptions!$C$115*Assumptions!$C$113/(Assumptions!$G$15*0.001) /10^9</f>
        <v>3.5836390578944357</v>
      </c>
      <c r="Q110" s="42">
        <f t="shared" si="4"/>
        <v>142.08802620401306</v>
      </c>
      <c r="S110" s="29" t="str">
        <f t="shared" si="5"/>
        <v>(540,27,90,100,98,0.93)</v>
      </c>
    </row>
    <row r="111" spans="2:19">
      <c r="B111" s="38">
        <v>12</v>
      </c>
      <c r="C111">
        <v>540</v>
      </c>
      <c r="D111" s="39">
        <v>27</v>
      </c>
      <c r="E111">
        <v>100</v>
      </c>
      <c r="F111" s="39">
        <v>100</v>
      </c>
      <c r="G111" s="40">
        <f>B111*Assumptions!$C$19*365*24*Assumptions!$D$26*1000/(Assumptions!$G$14*0.001) /10^9</f>
        <v>11.502397866094725</v>
      </c>
      <c r="H111" s="40">
        <f>C111*Assumptions!$C$20*365*24*Assumptions!$D$30*1000/(Assumptions!$G$14*0.001) /10^9</f>
        <v>84.919818522540822</v>
      </c>
      <c r="I111" s="40">
        <f>E111*Assumptions!$C$46/(Assumptions!$G$14*0.001) /10^9</f>
        <v>4.4212374096433864</v>
      </c>
      <c r="J111" s="40">
        <f>D111*Assumptions!$C$56/(Assumptions!$G$14*0.001) /10^9</f>
        <v>1.3462124317600632</v>
      </c>
      <c r="K111" s="40">
        <f>F111*Assumptions!$C$65/(Assumptions!$G$14*0.001) /10^9</f>
        <v>4.1756131091076423</v>
      </c>
      <c r="L111" s="47">
        <f>4*Assumptions!$C$10/Assumptions!$G$14</f>
        <v>3.5850379503898764</v>
      </c>
      <c r="M111" s="46">
        <v>93.01</v>
      </c>
      <c r="N111">
        <v>98</v>
      </c>
      <c r="O111" s="44">
        <f>N111*Assumptions!$C$97/(Assumptions!$G$15*0.001) /10^9*M111/100</f>
        <v>28.999311467825745</v>
      </c>
      <c r="P111" s="48">
        <f>Assumptions!$C$115*Assumptions!$C$113/(Assumptions!$G$15*0.001) /10^9</f>
        <v>3.5836390578944357</v>
      </c>
      <c r="Q111" s="42">
        <f t="shared" si="4"/>
        <v>142.53326781525669</v>
      </c>
      <c r="S111" s="29" t="str">
        <f t="shared" si="5"/>
        <v>(540,27,100,100,98,0.93)</v>
      </c>
    </row>
  </sheetData>
  <autoFilter ref="B4:N4"/>
  <mergeCells count="2">
    <mergeCell ref="G2:L2"/>
    <mergeCell ref="M2:R2"/>
  </mergeCells>
  <phoneticPr fontId="15"/>
  <conditionalFormatting sqref="C5:C11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conditionalFormatting sqref="Q5:Q11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S83"/>
  <sheetViews>
    <sheetView showGridLines="0" zoomScale="85" zoomScaleNormal="85" workbookViewId="0">
      <pane ySplit="4" topLeftCell="A5" activePane="bottomLeft" state="frozen"/>
      <selection pane="bottomLeft" activeCell="E18" sqref="E18"/>
    </sheetView>
  </sheetViews>
  <sheetFormatPr defaultColWidth="11" defaultRowHeight="15.6"/>
  <cols>
    <col min="1" max="1" width="6.8984375" customWidth="1"/>
    <col min="2" max="2" width="17.09765625" customWidth="1"/>
    <col min="3" max="4" width="22.8984375" customWidth="1"/>
    <col min="5" max="5" width="24.3984375" customWidth="1"/>
    <col min="6" max="6" width="36.3984375" customWidth="1"/>
    <col min="7" max="7" width="14.59765625" customWidth="1"/>
    <col min="8" max="8" width="14.8984375" customWidth="1"/>
    <col min="9" max="9" width="23.3984375" customWidth="1"/>
    <col min="10" max="10" width="20.09765625" customWidth="1"/>
    <col min="11" max="11" width="29.3984375" customWidth="1"/>
    <col min="12" max="12" width="14.8984375" customWidth="1"/>
    <col min="13" max="13" width="21.09765625" customWidth="1"/>
    <col min="14" max="14" width="20" customWidth="1"/>
    <col min="15" max="15" width="18.3984375" customWidth="1"/>
    <col min="16" max="16" width="16.3984375" customWidth="1"/>
    <col min="17" max="17" width="21.09765625" customWidth="1"/>
    <col min="19" max="19" width="13.3984375" customWidth="1"/>
  </cols>
  <sheetData>
    <row r="1" spans="2:19">
      <c r="H1" s="25"/>
      <c r="I1" s="25"/>
      <c r="J1" s="25"/>
      <c r="K1" s="25"/>
      <c r="L1" s="25"/>
      <c r="M1" s="25"/>
    </row>
    <row r="2" spans="2:19">
      <c r="G2" s="55" t="s">
        <v>54</v>
      </c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4" spans="2:19" s="4" customFormat="1">
      <c r="B4" s="13" t="s">
        <v>55</v>
      </c>
      <c r="C4" s="13" t="s">
        <v>56</v>
      </c>
      <c r="D4" s="13" t="s">
        <v>57</v>
      </c>
      <c r="E4" s="13" t="s">
        <v>58</v>
      </c>
      <c r="F4" s="13" t="s">
        <v>59</v>
      </c>
      <c r="G4" s="26" t="s">
        <v>13</v>
      </c>
      <c r="H4" s="26" t="s">
        <v>60</v>
      </c>
      <c r="I4" s="26" t="s">
        <v>61</v>
      </c>
      <c r="J4" s="26" t="s">
        <v>62</v>
      </c>
      <c r="K4" s="26" t="s">
        <v>49</v>
      </c>
      <c r="L4" s="13" t="s">
        <v>63</v>
      </c>
      <c r="M4" s="43" t="s">
        <v>77</v>
      </c>
      <c r="N4" s="43" t="s">
        <v>67</v>
      </c>
      <c r="O4" s="43" t="s">
        <v>66</v>
      </c>
      <c r="P4" s="43" t="s">
        <v>78</v>
      </c>
      <c r="Q4" s="27" t="s">
        <v>64</v>
      </c>
      <c r="R4"/>
      <c r="S4" s="23" t="s">
        <v>65</v>
      </c>
    </row>
    <row r="5" spans="2:19">
      <c r="B5" s="38">
        <v>12</v>
      </c>
      <c r="C5" s="39">
        <v>320</v>
      </c>
      <c r="D5" s="39">
        <v>38</v>
      </c>
      <c r="E5" s="39">
        <v>100</v>
      </c>
      <c r="F5" s="39">
        <v>100</v>
      </c>
      <c r="G5" s="40">
        <f>B5*Assumptions!$C$19*365*24*Assumptions!$D$26*1000/(Assumptions!$G$14*0.001) /10^9</f>
        <v>11.502397866094725</v>
      </c>
      <c r="H5" s="40">
        <f>C5*Assumptions!$C$20*365*24*Assumptions!$D$30*1000/(Assumptions!$G$14*0.001) /10^9</f>
        <v>50.322855420764924</v>
      </c>
      <c r="I5" s="40">
        <f>E5*Assumptions!$C$46/(Assumptions!$G$14*0.001) /10^9</f>
        <v>4.4212374096433864</v>
      </c>
      <c r="J5" s="40">
        <f>D5*Assumptions!$C$56/(Assumptions!$G$14*0.001) /10^9</f>
        <v>1.8946693484030519</v>
      </c>
      <c r="K5" s="40">
        <f>F5*Assumptions!$C$65/(Assumptions!$G$14*0.001) /10^9</f>
        <v>4.1756131091076423</v>
      </c>
      <c r="L5" s="47">
        <f>4*Assumptions!$C$10/Assumptions!$G$14</f>
        <v>3.5850379503898764</v>
      </c>
      <c r="M5" s="46">
        <v>59.96</v>
      </c>
      <c r="N5">
        <v>160</v>
      </c>
      <c r="O5" s="44">
        <f>N5*Assumptions!$C$97/(Assumptions!$G$16*0.001) /10^9*M5/100</f>
        <v>40.34194524394043</v>
      </c>
      <c r="P5" s="48">
        <f>Assumptions!$C$116*Assumptions!$C$113/(Assumptions!$G$16*0.001) /10^9</f>
        <v>2.6088428438793594</v>
      </c>
      <c r="Q5" s="42">
        <f t="shared" ref="Q5" si="0">SUM(G5:L5)+O5+P5</f>
        <v>118.85259919222339</v>
      </c>
      <c r="S5" s="29" t="str">
        <f t="shared" ref="S5" si="1">CONCATENATE("(",C5,",",D5,",",E5,",",F5,",",ROUND(N5,0),",",ROUND(M5/100,2),")")</f>
        <v>(320,38,100,100,160,0.6)</v>
      </c>
    </row>
    <row r="6" spans="2:19">
      <c r="B6" s="38">
        <v>12</v>
      </c>
      <c r="C6" s="39">
        <v>330</v>
      </c>
      <c r="D6" s="39">
        <v>38</v>
      </c>
      <c r="E6" s="39">
        <v>60</v>
      </c>
      <c r="F6" s="39">
        <v>100</v>
      </c>
      <c r="G6" s="40">
        <f>B6*Assumptions!$C$19*365*24*Assumptions!$D$26*1000/(Assumptions!$G$14*0.001) /10^9</f>
        <v>11.502397866094725</v>
      </c>
      <c r="H6" s="40">
        <f>C6*Assumptions!$C$20*365*24*Assumptions!$D$30*1000/(Assumptions!$G$14*0.001) /10^9</f>
        <v>51.895444652663834</v>
      </c>
      <c r="I6" s="40">
        <f>E6*Assumptions!$C$46/(Assumptions!$G$14*0.001) /10^9</f>
        <v>2.652742445786032</v>
      </c>
      <c r="J6" s="40">
        <f>D6*Assumptions!$C$56/(Assumptions!$G$14*0.001) /10^9</f>
        <v>1.8946693484030519</v>
      </c>
      <c r="K6" s="40">
        <f>F6*Assumptions!$C$65/(Assumptions!$G$14*0.001) /10^9</f>
        <v>4.1756131091076423</v>
      </c>
      <c r="L6" s="47">
        <f>4*Assumptions!$C$10/Assumptions!$G$14</f>
        <v>3.5850379503898764</v>
      </c>
      <c r="M6" s="46">
        <v>61.18</v>
      </c>
      <c r="N6">
        <v>120</v>
      </c>
      <c r="O6" s="44">
        <f>N6*Assumptions!$C$97/(Assumptions!$G$16*0.001) /10^9*M6/100</f>
        <v>30.872084014646536</v>
      </c>
      <c r="P6" s="48">
        <f>Assumptions!$C$116*Assumptions!$C$113/(Assumptions!$G$16*0.001) /10^9</f>
        <v>2.6088428438793594</v>
      </c>
      <c r="Q6" s="42">
        <f t="shared" ref="Q6:Q10" si="2">SUM(G6:L6)+O6+P6</f>
        <v>109.18683223097105</v>
      </c>
      <c r="S6" s="29" t="str">
        <f t="shared" ref="S6:S10" si="3">CONCATENATE("(",C6,",",D6,",",E6,",",F6,",",ROUND(N6,0),",",ROUND(M6/100,2),")")</f>
        <v>(330,38,60,100,120,0.61)</v>
      </c>
    </row>
    <row r="7" spans="2:19">
      <c r="B7" s="38">
        <v>12</v>
      </c>
      <c r="C7" s="39">
        <v>330</v>
      </c>
      <c r="D7" s="39">
        <v>38</v>
      </c>
      <c r="E7" s="39">
        <v>70</v>
      </c>
      <c r="F7" s="39">
        <v>100</v>
      </c>
      <c r="G7" s="40">
        <f>B7*Assumptions!$C$19*365*24*Assumptions!$D$26*1000/(Assumptions!$G$14*0.001) /10^9</f>
        <v>11.502397866094725</v>
      </c>
      <c r="H7" s="40">
        <f>C7*Assumptions!$C$20*365*24*Assumptions!$D$30*1000/(Assumptions!$G$14*0.001) /10^9</f>
        <v>51.895444652663834</v>
      </c>
      <c r="I7" s="40">
        <f>E7*Assumptions!$C$46/(Assumptions!$G$14*0.001) /10^9</f>
        <v>3.0948661867503704</v>
      </c>
      <c r="J7" s="40">
        <f>D7*Assumptions!$C$56/(Assumptions!$G$14*0.001) /10^9</f>
        <v>1.8946693484030519</v>
      </c>
      <c r="K7" s="40">
        <f>F7*Assumptions!$C$65/(Assumptions!$G$14*0.001) /10^9</f>
        <v>4.1756131091076423</v>
      </c>
      <c r="L7" s="47">
        <f>4*Assumptions!$C$10/Assumptions!$G$14</f>
        <v>3.5850379503898764</v>
      </c>
      <c r="M7" s="46">
        <v>62.07</v>
      </c>
      <c r="N7">
        <v>115</v>
      </c>
      <c r="O7" s="44">
        <f>N7*Assumptions!$C$97/(Assumptions!$G$16*0.001) /10^9*M7/100</f>
        <v>30.016138076270526</v>
      </c>
      <c r="P7" s="48">
        <f>Assumptions!$C$116*Assumptions!$C$113/(Assumptions!$G$16*0.001) /10^9</f>
        <v>2.6088428438793594</v>
      </c>
      <c r="Q7" s="42">
        <f t="shared" si="2"/>
        <v>108.77301003355939</v>
      </c>
      <c r="S7" s="29" t="str">
        <f t="shared" si="3"/>
        <v>(330,38,70,100,115,0.62)</v>
      </c>
    </row>
    <row r="8" spans="2:19">
      <c r="B8" s="38">
        <v>12</v>
      </c>
      <c r="C8" s="39">
        <v>330</v>
      </c>
      <c r="D8" s="39">
        <v>38</v>
      </c>
      <c r="E8" s="39">
        <v>80</v>
      </c>
      <c r="F8" s="39">
        <v>100</v>
      </c>
      <c r="G8" s="40">
        <f>B8*Assumptions!$C$19*365*24*Assumptions!$D$26*1000/(Assumptions!$G$14*0.001) /10^9</f>
        <v>11.502397866094725</v>
      </c>
      <c r="H8" s="40">
        <f>C8*Assumptions!$C$20*365*24*Assumptions!$D$30*1000/(Assumptions!$G$14*0.001) /10^9</f>
        <v>51.895444652663834</v>
      </c>
      <c r="I8" s="40">
        <f>E8*Assumptions!$C$46/(Assumptions!$G$14*0.001) /10^9</f>
        <v>3.5369899277147088</v>
      </c>
      <c r="J8" s="40">
        <f>D8*Assumptions!$C$56/(Assumptions!$G$14*0.001) /10^9</f>
        <v>1.8946693484030519</v>
      </c>
      <c r="K8" s="40">
        <f>F8*Assumptions!$C$65/(Assumptions!$G$14*0.001) /10^9</f>
        <v>4.1756131091076423</v>
      </c>
      <c r="L8" s="47">
        <f>4*Assumptions!$C$10/Assumptions!$G$14</f>
        <v>3.5850379503898764</v>
      </c>
      <c r="M8" s="46">
        <v>62.66</v>
      </c>
      <c r="N8">
        <v>112</v>
      </c>
      <c r="O8" s="44">
        <f>N8*Assumptions!$C$97/(Assumptions!$G$16*0.001) /10^9*M8/100</f>
        <v>29.510980691956547</v>
      </c>
      <c r="P8" s="48">
        <f>Assumptions!$C$116*Assumptions!$C$113/(Assumptions!$G$16*0.001) /10^9</f>
        <v>2.6088428438793594</v>
      </c>
      <c r="Q8" s="42">
        <f t="shared" si="2"/>
        <v>108.70997639020975</v>
      </c>
      <c r="S8" s="29" t="str">
        <f t="shared" si="3"/>
        <v>(330,38,80,100,112,0.63)</v>
      </c>
    </row>
    <row r="9" spans="2:19">
      <c r="B9" s="38">
        <v>12</v>
      </c>
      <c r="C9" s="39">
        <v>330</v>
      </c>
      <c r="D9" s="39">
        <v>38</v>
      </c>
      <c r="E9" s="39">
        <v>90</v>
      </c>
      <c r="F9" s="39">
        <v>100</v>
      </c>
      <c r="G9" s="40">
        <f>B9*Assumptions!$C$19*365*24*Assumptions!$D$26*1000/(Assumptions!$G$14*0.001) /10^9</f>
        <v>11.502397866094725</v>
      </c>
      <c r="H9" s="40">
        <f>C9*Assumptions!$C$20*365*24*Assumptions!$D$30*1000/(Assumptions!$G$14*0.001) /10^9</f>
        <v>51.895444652663834</v>
      </c>
      <c r="I9" s="40">
        <f>E9*Assumptions!$C$46/(Assumptions!$G$14*0.001) /10^9</f>
        <v>3.979113668679048</v>
      </c>
      <c r="J9" s="40">
        <f>D9*Assumptions!$C$56/(Assumptions!$G$14*0.001) /10^9</f>
        <v>1.8946693484030519</v>
      </c>
      <c r="K9" s="40">
        <f>F9*Assumptions!$C$65/(Assumptions!$G$14*0.001) /10^9</f>
        <v>4.1756131091076423</v>
      </c>
      <c r="L9" s="47">
        <f>4*Assumptions!$C$10/Assumptions!$G$14</f>
        <v>3.5850379503898764</v>
      </c>
      <c r="M9" s="46">
        <v>63.07</v>
      </c>
      <c r="N9">
        <v>110</v>
      </c>
      <c r="O9" s="44">
        <f>N9*Assumptions!$C$97/(Assumptions!$G$16*0.001) /10^9*M9/100</f>
        <v>29.173648423833125</v>
      </c>
      <c r="P9" s="48">
        <f>Assumptions!$C$116*Assumptions!$C$113/(Assumptions!$G$16*0.001) /10^9</f>
        <v>2.6088428438793594</v>
      </c>
      <c r="Q9" s="42">
        <f t="shared" si="2"/>
        <v>108.81476786305066</v>
      </c>
      <c r="S9" s="29" t="str">
        <f t="shared" si="3"/>
        <v>(330,38,90,100,110,0.63)</v>
      </c>
    </row>
    <row r="10" spans="2:19">
      <c r="B10" s="38">
        <v>12</v>
      </c>
      <c r="C10" s="39">
        <v>330</v>
      </c>
      <c r="D10" s="39">
        <v>38</v>
      </c>
      <c r="E10" s="39">
        <v>100</v>
      </c>
      <c r="F10" s="39">
        <v>100</v>
      </c>
      <c r="G10" s="40">
        <f>B10*Assumptions!$C$19*365*24*Assumptions!$D$26*1000/(Assumptions!$G$14*0.001) /10^9</f>
        <v>11.502397866094725</v>
      </c>
      <c r="H10" s="40">
        <f>C10*Assumptions!$C$20*365*24*Assumptions!$D$30*1000/(Assumptions!$G$14*0.001) /10^9</f>
        <v>51.895444652663834</v>
      </c>
      <c r="I10" s="40">
        <f>E10*Assumptions!$C$46/(Assumptions!$G$14*0.001) /10^9</f>
        <v>4.4212374096433864</v>
      </c>
      <c r="J10" s="40">
        <f>D10*Assumptions!$C$56/(Assumptions!$G$14*0.001) /10^9</f>
        <v>1.8946693484030519</v>
      </c>
      <c r="K10" s="40">
        <f>F10*Assumptions!$C$65/(Assumptions!$G$14*0.001) /10^9</f>
        <v>4.1756131091076423</v>
      </c>
      <c r="L10" s="47">
        <f>4*Assumptions!$C$10/Assumptions!$G$14</f>
        <v>3.5850379503898764</v>
      </c>
      <c r="M10" s="46">
        <v>63.31</v>
      </c>
      <c r="N10">
        <v>109</v>
      </c>
      <c r="O10" s="44">
        <f>N10*Assumptions!$C$97/(Assumptions!$G$16*0.001) /10^9*M10/100</f>
        <v>29.018438575710015</v>
      </c>
      <c r="P10" s="48">
        <f>Assumptions!$C$116*Assumptions!$C$113/(Assumptions!$G$16*0.001) /10^9</f>
        <v>2.6088428438793594</v>
      </c>
      <c r="Q10" s="42">
        <f t="shared" si="2"/>
        <v>109.10168175589189</v>
      </c>
      <c r="S10" s="29" t="str">
        <f t="shared" si="3"/>
        <v>(330,38,100,100,109,0.63)</v>
      </c>
    </row>
    <row r="11" spans="2:19">
      <c r="B11" s="38">
        <v>12</v>
      </c>
      <c r="C11" s="39">
        <v>340</v>
      </c>
      <c r="D11" s="39">
        <v>37</v>
      </c>
      <c r="E11" s="39">
        <v>60</v>
      </c>
      <c r="F11" s="39">
        <v>100</v>
      </c>
      <c r="G11" s="40">
        <f>B11*Assumptions!$C$19*365*24*Assumptions!$D$26*1000/(Assumptions!$G$14*0.001) /10^9</f>
        <v>11.502397866094725</v>
      </c>
      <c r="H11" s="40">
        <f>C11*Assumptions!$C$20*365*24*Assumptions!$D$30*1000/(Assumptions!$G$14*0.001) /10^9</f>
        <v>53.468033884562736</v>
      </c>
      <c r="I11" s="40">
        <f>E11*Assumptions!$C$46/(Assumptions!$G$14*0.001) /10^9</f>
        <v>2.652742445786032</v>
      </c>
      <c r="J11" s="40">
        <f>D11*Assumptions!$C$56/(Assumptions!$G$14*0.001) /10^9</f>
        <v>1.8448096287082347</v>
      </c>
      <c r="K11" s="40">
        <f>F11*Assumptions!$C$65/(Assumptions!$G$14*0.001) /10^9</f>
        <v>4.1756131091076423</v>
      </c>
      <c r="L11" s="47">
        <f>4*Assumptions!$C$10/Assumptions!$G$14</f>
        <v>3.5850379503898764</v>
      </c>
      <c r="M11" s="46">
        <v>64.2</v>
      </c>
      <c r="N11">
        <v>100</v>
      </c>
      <c r="O11" s="44">
        <f>N11*Assumptions!$C$97/(Assumptions!$G$16*0.001) /10^9*M11/100</f>
        <v>26.996673664328046</v>
      </c>
      <c r="P11" s="48">
        <f>Assumptions!$C$116*Assumptions!$C$113/(Assumptions!$G$16*0.001) /10^9</f>
        <v>2.6088428438793594</v>
      </c>
      <c r="Q11" s="42">
        <f>SUM(G11:L11)+O11+P11</f>
        <v>106.83415139285665</v>
      </c>
      <c r="S11" s="29" t="str">
        <f>CONCATENATE("(",C11,",",D11,",",E11,",",F11,",",ROUND(N11,0),",",ROUND(M11/100,2),")")</f>
        <v>(340,37,60,100,100,0.64)</v>
      </c>
    </row>
    <row r="12" spans="2:19" ht="16.95" customHeight="1">
      <c r="B12" s="38">
        <v>12</v>
      </c>
      <c r="C12" s="39">
        <v>340</v>
      </c>
      <c r="D12" s="39">
        <v>37</v>
      </c>
      <c r="E12" s="39">
        <v>70</v>
      </c>
      <c r="F12" s="39">
        <v>100</v>
      </c>
      <c r="G12" s="40">
        <f>B12*Assumptions!$C$19*365*24*Assumptions!$D$26*1000/(Assumptions!$G$14*0.001) /10^9</f>
        <v>11.502397866094725</v>
      </c>
      <c r="H12" s="40">
        <f>C12*Assumptions!$C$20*365*24*Assumptions!$D$30*1000/(Assumptions!$G$14*0.001) /10^9</f>
        <v>53.468033884562736</v>
      </c>
      <c r="I12" s="40">
        <f>E12*Assumptions!$C$46/(Assumptions!$G$14*0.001) /10^9</f>
        <v>3.0948661867503704</v>
      </c>
      <c r="J12" s="40">
        <f>D12*Assumptions!$C$56/(Assumptions!$G$14*0.001) /10^9</f>
        <v>1.8448096287082347</v>
      </c>
      <c r="K12" s="40">
        <f>F12*Assumptions!$C$65/(Assumptions!$G$14*0.001) /10^9</f>
        <v>4.1756131091076423</v>
      </c>
      <c r="L12" s="47">
        <f>4*Assumptions!$C$10/Assumptions!$G$14</f>
        <v>3.5850379503898764</v>
      </c>
      <c r="M12" s="46">
        <v>64.989999999999995</v>
      </c>
      <c r="N12">
        <v>97</v>
      </c>
      <c r="O12" s="44">
        <f>N12*Assumptions!$C$97/(Assumptions!$G$16*0.001) /10^9*M12/100</f>
        <v>26.509009451734254</v>
      </c>
      <c r="P12" s="48">
        <f>Assumptions!$C$116*Assumptions!$C$113/(Assumptions!$G$16*0.001) /10^9</f>
        <v>2.6088428438793594</v>
      </c>
      <c r="Q12" s="42">
        <f t="shared" ref="Q12:Q36" si="4">SUM(G12:L12)+O12+P12</f>
        <v>106.7886109212272</v>
      </c>
      <c r="S12" s="29" t="str">
        <f t="shared" ref="S12:S36" si="5">CONCATENATE("(",C12,",",D12,",",E12,",",F12,",",ROUND(N12,0),",",ROUND(M12/100,2),")")</f>
        <v>(340,37,70,100,97,0.65)</v>
      </c>
    </row>
    <row r="13" spans="2:19">
      <c r="B13" s="38">
        <v>12</v>
      </c>
      <c r="C13" s="39">
        <v>340</v>
      </c>
      <c r="D13" s="39">
        <v>37</v>
      </c>
      <c r="E13" s="39">
        <v>80</v>
      </c>
      <c r="F13" s="39">
        <v>100</v>
      </c>
      <c r="G13" s="40">
        <f>B13*Assumptions!$C$19*365*24*Assumptions!$D$26*1000/(Assumptions!$G$14*0.001) /10^9</f>
        <v>11.502397866094725</v>
      </c>
      <c r="H13" s="40">
        <f>C13*Assumptions!$C$20*365*24*Assumptions!$D$30*1000/(Assumptions!$G$14*0.001) /10^9</f>
        <v>53.468033884562736</v>
      </c>
      <c r="I13" s="40">
        <f>E13*Assumptions!$C$46/(Assumptions!$G$14*0.001) /10^9</f>
        <v>3.5369899277147088</v>
      </c>
      <c r="J13" s="40">
        <f>D13*Assumptions!$C$56/(Assumptions!$G$14*0.001) /10^9</f>
        <v>1.8448096287082347</v>
      </c>
      <c r="K13" s="40">
        <f>F13*Assumptions!$C$65/(Assumptions!$G$14*0.001) /10^9</f>
        <v>4.1756131091076423</v>
      </c>
      <c r="L13" s="47">
        <f>4*Assumptions!$C$10/Assumptions!$G$14</f>
        <v>3.5850379503898764</v>
      </c>
      <c r="M13" s="46">
        <v>65.56</v>
      </c>
      <c r="N13">
        <v>95</v>
      </c>
      <c r="O13" s="44">
        <f>N13*Assumptions!$C$97/(Assumptions!$G$16*0.001) /10^9*M13/100</f>
        <v>26.19013752588285</v>
      </c>
      <c r="P13" s="48">
        <f>Assumptions!$C$116*Assumptions!$C$113/(Assumptions!$G$16*0.001) /10^9</f>
        <v>2.6088428438793594</v>
      </c>
      <c r="Q13" s="42">
        <f t="shared" si="4"/>
        <v>106.91186273634014</v>
      </c>
      <c r="S13" s="29" t="str">
        <f t="shared" si="5"/>
        <v>(340,37,80,100,95,0.66)</v>
      </c>
    </row>
    <row r="14" spans="2:19">
      <c r="B14" s="38">
        <v>12</v>
      </c>
      <c r="C14" s="39">
        <v>340</v>
      </c>
      <c r="D14" s="39">
        <v>37</v>
      </c>
      <c r="E14" s="39">
        <v>90</v>
      </c>
      <c r="F14" s="39">
        <v>100</v>
      </c>
      <c r="G14" s="40">
        <f>B14*Assumptions!$C$19*365*24*Assumptions!$D$26*1000/(Assumptions!$G$14*0.001) /10^9</f>
        <v>11.502397866094725</v>
      </c>
      <c r="H14" s="40">
        <f>C14*Assumptions!$C$20*365*24*Assumptions!$D$30*1000/(Assumptions!$G$14*0.001) /10^9</f>
        <v>53.468033884562736</v>
      </c>
      <c r="I14" s="40">
        <f>E14*Assumptions!$C$46/(Assumptions!$G$14*0.001) /10^9</f>
        <v>3.979113668679048</v>
      </c>
      <c r="J14" s="40">
        <f>D14*Assumptions!$C$56/(Assumptions!$G$14*0.001) /10^9</f>
        <v>1.8448096287082347</v>
      </c>
      <c r="K14" s="40">
        <f>F14*Assumptions!$C$65/(Assumptions!$G$14*0.001) /10^9</f>
        <v>4.1756131091076423</v>
      </c>
      <c r="L14" s="47">
        <f>4*Assumptions!$C$10/Assumptions!$G$14</f>
        <v>3.5850379503898764</v>
      </c>
      <c r="M14" s="46">
        <v>65.89</v>
      </c>
      <c r="N14">
        <v>94</v>
      </c>
      <c r="O14" s="44">
        <f>N14*Assumptions!$C$97/(Assumptions!$G$16*0.001) /10^9*M14/100</f>
        <v>26.04489373953303</v>
      </c>
      <c r="P14" s="48">
        <f>Assumptions!$C$116*Assumptions!$C$113/(Assumptions!$G$16*0.001) /10^9</f>
        <v>2.6088428438793594</v>
      </c>
      <c r="Q14" s="42">
        <f t="shared" si="4"/>
        <v>107.20874269095467</v>
      </c>
      <c r="S14" s="29" t="str">
        <f t="shared" si="5"/>
        <v>(340,37,90,100,94,0.66)</v>
      </c>
    </row>
    <row r="15" spans="2:19" ht="16.95" customHeight="1">
      <c r="B15" s="38">
        <v>12</v>
      </c>
      <c r="C15" s="39">
        <v>340</v>
      </c>
      <c r="D15" s="39">
        <v>37</v>
      </c>
      <c r="E15" s="39">
        <v>100</v>
      </c>
      <c r="F15" s="39">
        <v>100</v>
      </c>
      <c r="G15" s="40">
        <f>B15*Assumptions!$C$19*365*24*Assumptions!$D$26*1000/(Assumptions!$G$14*0.001) /10^9</f>
        <v>11.502397866094725</v>
      </c>
      <c r="H15" s="40">
        <f>C15*Assumptions!$C$20*365*24*Assumptions!$D$30*1000/(Assumptions!$G$14*0.001) /10^9</f>
        <v>53.468033884562736</v>
      </c>
      <c r="I15" s="40">
        <f>E15*Assumptions!$C$46/(Assumptions!$G$14*0.001) /10^9</f>
        <v>4.4212374096433864</v>
      </c>
      <c r="J15" s="40">
        <f>D15*Assumptions!$C$56/(Assumptions!$G$14*0.001) /10^9</f>
        <v>1.8448096287082347</v>
      </c>
      <c r="K15" s="40">
        <f>F15*Assumptions!$C$65/(Assumptions!$G$14*0.001) /10^9</f>
        <v>4.1756131091076423</v>
      </c>
      <c r="L15" s="47">
        <f>4*Assumptions!$C$10/Assumptions!$G$14</f>
        <v>3.5850379503898764</v>
      </c>
      <c r="M15" s="46">
        <v>66.069999999999993</v>
      </c>
      <c r="N15">
        <v>94</v>
      </c>
      <c r="O15" s="44">
        <f>N15*Assumptions!$C$97/(Assumptions!$G$16*0.001) /10^9*M15/100</f>
        <v>26.116043851433407</v>
      </c>
      <c r="P15" s="48">
        <f>Assumptions!$C$116*Assumptions!$C$113/(Assumptions!$G$16*0.001) /10^9</f>
        <v>2.6088428438793594</v>
      </c>
      <c r="Q15" s="42">
        <f t="shared" si="4"/>
        <v>107.72201654381936</v>
      </c>
      <c r="S15" s="29" t="str">
        <f t="shared" si="5"/>
        <v>(340,37,100,100,94,0.66)</v>
      </c>
    </row>
    <row r="16" spans="2:19" ht="16.95" customHeight="1">
      <c r="B16" s="38">
        <v>12</v>
      </c>
      <c r="C16" s="39">
        <v>350</v>
      </c>
      <c r="D16" s="39">
        <v>36</v>
      </c>
      <c r="E16" s="39">
        <v>50</v>
      </c>
      <c r="F16" s="39">
        <v>100</v>
      </c>
      <c r="G16" s="40">
        <f>B16*Assumptions!$C$19*365*24*Assumptions!$D$26*1000/(Assumptions!$G$14*0.001) /10^9</f>
        <v>11.502397866094725</v>
      </c>
      <c r="H16" s="40">
        <f>C16*Assumptions!$C$20*365*24*Assumptions!$D$30*1000/(Assumptions!$G$14*0.001) /10^9</f>
        <v>55.040623116461646</v>
      </c>
      <c r="I16" s="40">
        <f>E16*Assumptions!$C$46/(Assumptions!$G$14*0.001) /10^9</f>
        <v>2.2106187048216932</v>
      </c>
      <c r="J16" s="40">
        <f>D16*Assumptions!$C$56/(Assumptions!$G$14*0.001) /10^9</f>
        <v>1.7949499090134178</v>
      </c>
      <c r="K16" s="40">
        <f>F16*Assumptions!$C$65/(Assumptions!$G$14*0.001) /10^9</f>
        <v>4.1756131091076423</v>
      </c>
      <c r="L16" s="47">
        <f>4*Assumptions!$C$10/Assumptions!$G$14</f>
        <v>3.5850379503898764</v>
      </c>
      <c r="M16" s="46">
        <v>66.03</v>
      </c>
      <c r="N16">
        <v>91</v>
      </c>
      <c r="O16" s="44">
        <f>N16*Assumptions!$C$97/(Assumptions!$G$16*0.001) /10^9*M16/100</f>
        <v>25.267246564962274</v>
      </c>
      <c r="P16" s="48">
        <f>Assumptions!$C$116*Assumptions!$C$113/(Assumptions!$G$16*0.001) /10^9</f>
        <v>2.6088428438793594</v>
      </c>
      <c r="Q16" s="42">
        <f t="shared" si="4"/>
        <v>106.18533006473064</v>
      </c>
      <c r="S16" s="29" t="str">
        <f t="shared" si="5"/>
        <v>(350,36,50,100,91,0.66)</v>
      </c>
    </row>
    <row r="17" spans="2:19" ht="16.95" customHeight="1">
      <c r="B17" s="38">
        <v>12</v>
      </c>
      <c r="C17" s="39">
        <v>350</v>
      </c>
      <c r="D17" s="39">
        <v>36</v>
      </c>
      <c r="E17" s="39">
        <v>60</v>
      </c>
      <c r="F17" s="39">
        <v>100</v>
      </c>
      <c r="G17" s="40">
        <f>B17*Assumptions!$C$19*365*24*Assumptions!$D$26*1000/(Assumptions!$G$14*0.001) /10^9</f>
        <v>11.502397866094725</v>
      </c>
      <c r="H17" s="40">
        <f>C17*Assumptions!$C$20*365*24*Assumptions!$D$30*1000/(Assumptions!$G$14*0.001) /10^9</f>
        <v>55.040623116461646</v>
      </c>
      <c r="I17" s="40">
        <f>E17*Assumptions!$C$46/(Assumptions!$G$14*0.001) /10^9</f>
        <v>2.652742445786032</v>
      </c>
      <c r="J17" s="40">
        <f>D17*Assumptions!$C$56/(Assumptions!$G$14*0.001) /10^9</f>
        <v>1.7949499090134178</v>
      </c>
      <c r="K17" s="40">
        <f>F17*Assumptions!$C$65/(Assumptions!$G$14*0.001) /10^9</f>
        <v>4.1756131091076423</v>
      </c>
      <c r="L17" s="47">
        <f>4*Assumptions!$C$10/Assumptions!$G$14</f>
        <v>3.5850379503898764</v>
      </c>
      <c r="M17" s="46">
        <v>67.19</v>
      </c>
      <c r="N17">
        <v>88</v>
      </c>
      <c r="O17" s="44">
        <f>N17*Assumptions!$C$97/(Assumptions!$G$16*0.001) /10^9*M17/100</f>
        <v>24.863515935910542</v>
      </c>
      <c r="P17" s="48">
        <f>Assumptions!$C$116*Assumptions!$C$113/(Assumptions!$G$16*0.001) /10^9</f>
        <v>2.6088428438793594</v>
      </c>
      <c r="Q17" s="42">
        <f t="shared" si="4"/>
        <v>106.22372317664323</v>
      </c>
      <c r="S17" s="29" t="str">
        <f t="shared" si="5"/>
        <v>(350,36,60,100,88,0.67)</v>
      </c>
    </row>
    <row r="18" spans="2:19" ht="16.95" customHeight="1">
      <c r="B18" s="38">
        <v>12</v>
      </c>
      <c r="C18" s="39">
        <v>350</v>
      </c>
      <c r="D18" s="39">
        <v>36</v>
      </c>
      <c r="E18" s="39">
        <v>70</v>
      </c>
      <c r="F18" s="39">
        <v>100</v>
      </c>
      <c r="G18" s="40">
        <f>B18*Assumptions!$C$19*365*24*Assumptions!$D$26*1000/(Assumptions!$G$14*0.001) /10^9</f>
        <v>11.502397866094725</v>
      </c>
      <c r="H18" s="40">
        <f>C18*Assumptions!$C$20*365*24*Assumptions!$D$30*1000/(Assumptions!$G$14*0.001) /10^9</f>
        <v>55.040623116461646</v>
      </c>
      <c r="I18" s="40">
        <f>E18*Assumptions!$C$46/(Assumptions!$G$14*0.001) /10^9</f>
        <v>3.0948661867503704</v>
      </c>
      <c r="J18" s="40">
        <f>D18*Assumptions!$C$56/(Assumptions!$G$14*0.001) /10^9</f>
        <v>1.7949499090134178</v>
      </c>
      <c r="K18" s="40">
        <f>F18*Assumptions!$C$65/(Assumptions!$G$14*0.001) /10^9</f>
        <v>4.1756131091076423</v>
      </c>
      <c r="L18" s="47">
        <f>4*Assumptions!$C$10/Assumptions!$G$14</f>
        <v>3.5850379503898764</v>
      </c>
      <c r="M18" s="46">
        <v>68.05</v>
      </c>
      <c r="N18">
        <v>86</v>
      </c>
      <c r="O18" s="44">
        <f>N18*Assumptions!$C$97/(Assumptions!$G$16*0.001) /10^9*M18/100</f>
        <v>24.609444437032245</v>
      </c>
      <c r="P18" s="48">
        <f>Assumptions!$C$116*Assumptions!$C$113/(Assumptions!$G$16*0.001) /10^9</f>
        <v>2.6088428438793594</v>
      </c>
      <c r="Q18" s="42">
        <f t="shared" si="4"/>
        <v>106.41177541872926</v>
      </c>
      <c r="S18" s="29" t="str">
        <f t="shared" si="5"/>
        <v>(350,36,70,100,86,0.68)</v>
      </c>
    </row>
    <row r="19" spans="2:19">
      <c r="B19" s="38">
        <v>12</v>
      </c>
      <c r="C19" s="39">
        <v>350</v>
      </c>
      <c r="D19" s="39">
        <v>36</v>
      </c>
      <c r="E19" s="39">
        <v>80</v>
      </c>
      <c r="F19" s="39">
        <v>100</v>
      </c>
      <c r="G19" s="40">
        <f>B19*Assumptions!$C$19*365*24*Assumptions!$D$26*1000/(Assumptions!$G$14*0.001) /10^9</f>
        <v>11.502397866094725</v>
      </c>
      <c r="H19" s="40">
        <f>C19*Assumptions!$C$20*365*24*Assumptions!$D$30*1000/(Assumptions!$G$14*0.001) /10^9</f>
        <v>55.040623116461646</v>
      </c>
      <c r="I19" s="40">
        <f>E19*Assumptions!$C$46/(Assumptions!$G$14*0.001) /10^9</f>
        <v>3.5369899277147088</v>
      </c>
      <c r="J19" s="40">
        <f>D19*Assumptions!$C$56/(Assumptions!$G$14*0.001) /10^9</f>
        <v>1.7949499090134178</v>
      </c>
      <c r="K19" s="40">
        <f>F19*Assumptions!$C$65/(Assumptions!$G$14*0.001) /10^9</f>
        <v>4.1756131091076423</v>
      </c>
      <c r="L19" s="47">
        <f>4*Assumptions!$C$10/Assumptions!$G$14</f>
        <v>3.5850379503898764</v>
      </c>
      <c r="M19" s="46">
        <v>68.55</v>
      </c>
      <c r="N19">
        <v>85</v>
      </c>
      <c r="O19" s="44">
        <f>N19*Assumptions!$C$97/(Assumptions!$G$16*0.001) /10^9*M19/100</f>
        <v>24.502004403991183</v>
      </c>
      <c r="P19" s="48">
        <f>Assumptions!$C$116*Assumptions!$C$113/(Assumptions!$G$16*0.001) /10^9</f>
        <v>2.6088428438793594</v>
      </c>
      <c r="Q19" s="42">
        <f t="shared" si="4"/>
        <v>106.74645912665255</v>
      </c>
      <c r="S19" s="29" t="str">
        <f t="shared" si="5"/>
        <v>(350,36,80,100,85,0.69)</v>
      </c>
    </row>
    <row r="20" spans="2:19">
      <c r="B20" s="38">
        <v>12</v>
      </c>
      <c r="C20" s="39">
        <v>350</v>
      </c>
      <c r="D20" s="39">
        <v>36</v>
      </c>
      <c r="E20" s="39">
        <v>90</v>
      </c>
      <c r="F20" s="39">
        <v>100</v>
      </c>
      <c r="G20" s="40">
        <f>B20*Assumptions!$C$19*365*24*Assumptions!$D$26*1000/(Assumptions!$G$14*0.001) /10^9</f>
        <v>11.502397866094725</v>
      </c>
      <c r="H20" s="40">
        <f>C20*Assumptions!$C$20*365*24*Assumptions!$D$30*1000/(Assumptions!$G$14*0.001) /10^9</f>
        <v>55.040623116461646</v>
      </c>
      <c r="I20" s="40">
        <f>E20*Assumptions!$C$46/(Assumptions!$G$14*0.001) /10^9</f>
        <v>3.979113668679048</v>
      </c>
      <c r="J20" s="40">
        <f>D20*Assumptions!$C$56/(Assumptions!$G$14*0.001) /10^9</f>
        <v>1.7949499090134178</v>
      </c>
      <c r="K20" s="40">
        <f>F20*Assumptions!$C$65/(Assumptions!$G$14*0.001) /10^9</f>
        <v>4.1756131091076423</v>
      </c>
      <c r="L20" s="47">
        <f>4*Assumptions!$C$10/Assumptions!$G$14</f>
        <v>3.5850379503898764</v>
      </c>
      <c r="M20" s="46">
        <v>68.86</v>
      </c>
      <c r="N20">
        <v>85</v>
      </c>
      <c r="O20" s="44">
        <f>N20*Assumptions!$C$97/(Assumptions!$G$16*0.001) /10^9*M20/100</f>
        <v>24.612808508516892</v>
      </c>
      <c r="P20" s="48">
        <f>Assumptions!$C$116*Assumptions!$C$113/(Assumptions!$G$16*0.001) /10^9</f>
        <v>2.6088428438793594</v>
      </c>
      <c r="Q20" s="42">
        <f t="shared" si="4"/>
        <v>107.2993869721426</v>
      </c>
      <c r="S20" s="29" t="str">
        <f t="shared" si="5"/>
        <v>(350,36,90,100,85,0.69)</v>
      </c>
    </row>
    <row r="21" spans="2:19">
      <c r="B21" s="38">
        <v>12</v>
      </c>
      <c r="C21" s="39">
        <v>350</v>
      </c>
      <c r="D21" s="39">
        <v>36</v>
      </c>
      <c r="E21" s="39">
        <v>100</v>
      </c>
      <c r="F21" s="39">
        <v>100</v>
      </c>
      <c r="G21" s="40">
        <f>B21*Assumptions!$C$19*365*24*Assumptions!$D$26*1000/(Assumptions!$G$14*0.001) /10^9</f>
        <v>11.502397866094725</v>
      </c>
      <c r="H21" s="40">
        <f>C21*Assumptions!$C$20*365*24*Assumptions!$D$30*1000/(Assumptions!$G$14*0.001) /10^9</f>
        <v>55.040623116461646</v>
      </c>
      <c r="I21" s="40">
        <f>E21*Assumptions!$C$46/(Assumptions!$G$14*0.001) /10^9</f>
        <v>4.4212374096433864</v>
      </c>
      <c r="J21" s="40">
        <f>D21*Assumptions!$C$56/(Assumptions!$G$14*0.001) /10^9</f>
        <v>1.7949499090134178</v>
      </c>
      <c r="K21" s="40">
        <f>F21*Assumptions!$C$65/(Assumptions!$G$14*0.001) /10^9</f>
        <v>4.1756131091076423</v>
      </c>
      <c r="L21" s="47">
        <f>4*Assumptions!$C$10/Assumptions!$G$14</f>
        <v>3.5850379503898764</v>
      </c>
      <c r="M21" s="46">
        <v>69.040000000000006</v>
      </c>
      <c r="N21">
        <v>84</v>
      </c>
      <c r="O21" s="44">
        <f>N21*Assumptions!$C$97/(Assumptions!$G$16*0.001) /10^9*M21/100</f>
        <v>24.38682700653543</v>
      </c>
      <c r="P21" s="48">
        <f>Assumptions!$C$116*Assumptions!$C$113/(Assumptions!$G$16*0.001) /10^9</f>
        <v>2.6088428438793594</v>
      </c>
      <c r="Q21" s="42">
        <f t="shared" si="4"/>
        <v>107.51552921112547</v>
      </c>
      <c r="S21" s="29" t="str">
        <f t="shared" si="5"/>
        <v>(350,36,100,100,84,0.69)</v>
      </c>
    </row>
    <row r="22" spans="2:19">
      <c r="B22" s="38">
        <v>12</v>
      </c>
      <c r="C22" s="39">
        <v>360</v>
      </c>
      <c r="D22" s="39">
        <v>35</v>
      </c>
      <c r="E22" s="39">
        <v>40</v>
      </c>
      <c r="F22" s="39">
        <v>100</v>
      </c>
      <c r="G22" s="40">
        <f>B22*Assumptions!$C$19*365*24*Assumptions!$D$26*1000/(Assumptions!$G$14*0.001) /10^9</f>
        <v>11.502397866094725</v>
      </c>
      <c r="H22" s="40">
        <f>C22*Assumptions!$C$20*365*24*Assumptions!$D$30*1000/(Assumptions!$G$14*0.001) /10^9</f>
        <v>56.613212348360541</v>
      </c>
      <c r="I22" s="40">
        <f>E22*Assumptions!$C$46/(Assumptions!$G$14*0.001) /10^9</f>
        <v>1.7684949638573544</v>
      </c>
      <c r="J22" s="40">
        <f>D22*Assumptions!$C$56/(Assumptions!$G$14*0.001) /10^9</f>
        <v>1.7450901893186006</v>
      </c>
      <c r="K22" s="40">
        <f>F22*Assumptions!$C$65/(Assumptions!$G$14*0.001) /10^9</f>
        <v>4.1756131091076423</v>
      </c>
      <c r="L22" s="47">
        <f>4*Assumptions!$C$10/Assumptions!$G$14</f>
        <v>3.5850379503898764</v>
      </c>
      <c r="M22" s="45">
        <v>66.7</v>
      </c>
      <c r="N22" s="39">
        <v>86</v>
      </c>
      <c r="O22" s="44">
        <f>N22*Assumptions!$C$97/(Assumptions!$G$16*0.001) /10^9*M22/100</f>
        <v>24.121233562822198</v>
      </c>
      <c r="P22" s="48">
        <f>Assumptions!$C$116*Assumptions!$C$113/(Assumptions!$G$16*0.001) /10^9</f>
        <v>2.6088428438793594</v>
      </c>
      <c r="Q22" s="42">
        <f t="shared" si="4"/>
        <v>106.1199228338303</v>
      </c>
      <c r="S22" s="29" t="str">
        <f t="shared" si="5"/>
        <v>(360,35,40,100,86,0.67)</v>
      </c>
    </row>
    <row r="23" spans="2:19">
      <c r="B23" s="38">
        <v>12</v>
      </c>
      <c r="C23" s="39">
        <v>360</v>
      </c>
      <c r="D23" s="39">
        <v>35</v>
      </c>
      <c r="E23" s="39">
        <v>50</v>
      </c>
      <c r="F23" s="39">
        <v>100</v>
      </c>
      <c r="G23" s="40">
        <f>B23*Assumptions!$C$19*365*24*Assumptions!$D$26*1000/(Assumptions!$G$14*0.001) /10^9</f>
        <v>11.502397866094725</v>
      </c>
      <c r="H23" s="40">
        <f>C23*Assumptions!$C$20*365*24*Assumptions!$D$30*1000/(Assumptions!$G$14*0.001) /10^9</f>
        <v>56.613212348360541</v>
      </c>
      <c r="I23" s="40">
        <f>E23*Assumptions!$C$46/(Assumptions!$G$14*0.001) /10^9</f>
        <v>2.2106187048216932</v>
      </c>
      <c r="J23" s="40">
        <f>D23*Assumptions!$C$56/(Assumptions!$G$14*0.001) /10^9</f>
        <v>1.7450901893186006</v>
      </c>
      <c r="K23" s="40">
        <f>F23*Assumptions!$C$65/(Assumptions!$G$14*0.001) /10^9</f>
        <v>4.1756131091076423</v>
      </c>
      <c r="L23" s="47">
        <f>4*Assumptions!$C$10/Assumptions!$G$14</f>
        <v>3.5850379503898764</v>
      </c>
      <c r="M23" s="45">
        <v>68.739999999999995</v>
      </c>
      <c r="N23" s="39">
        <v>83</v>
      </c>
      <c r="O23" s="44">
        <f>N23*Assumptions!$C$97/(Assumptions!$G$16*0.001) /10^9*M23/100</f>
        <v>23.991800912450234</v>
      </c>
      <c r="P23" s="48">
        <f>Assumptions!$C$116*Assumptions!$C$113/(Assumptions!$G$16*0.001) /10^9</f>
        <v>2.6088428438793594</v>
      </c>
      <c r="Q23" s="42">
        <f t="shared" si="4"/>
        <v>106.43261392442268</v>
      </c>
      <c r="S23" s="29" t="str">
        <f t="shared" si="5"/>
        <v>(360,35,50,100,83,0.69)</v>
      </c>
    </row>
    <row r="24" spans="2:19">
      <c r="B24" s="38">
        <v>12</v>
      </c>
      <c r="C24" s="39">
        <v>360</v>
      </c>
      <c r="D24" s="39">
        <v>35</v>
      </c>
      <c r="E24" s="39">
        <v>60</v>
      </c>
      <c r="F24" s="39">
        <v>100</v>
      </c>
      <c r="G24" s="40">
        <f>B24*Assumptions!$C$19*365*24*Assumptions!$D$26*1000/(Assumptions!$G$14*0.001) /10^9</f>
        <v>11.502397866094725</v>
      </c>
      <c r="H24" s="40">
        <f>C24*Assumptions!$C$20*365*24*Assumptions!$D$30*1000/(Assumptions!$G$14*0.001) /10^9</f>
        <v>56.613212348360541</v>
      </c>
      <c r="I24" s="40">
        <f>E24*Assumptions!$C$46/(Assumptions!$G$14*0.001) /10^9</f>
        <v>2.652742445786032</v>
      </c>
      <c r="J24" s="40">
        <f>D24*Assumptions!$C$56/(Assumptions!$G$14*0.001) /10^9</f>
        <v>1.7450901893186006</v>
      </c>
      <c r="K24" s="40">
        <f>F24*Assumptions!$C$65/(Assumptions!$G$14*0.001) /10^9</f>
        <v>4.1756131091076423</v>
      </c>
      <c r="L24" s="47">
        <f>4*Assumptions!$C$10/Assumptions!$G$14</f>
        <v>3.5850379503898764</v>
      </c>
      <c r="M24" s="45">
        <v>69.89</v>
      </c>
      <c r="N24" s="39">
        <v>80</v>
      </c>
      <c r="O24" s="44">
        <f>N24*Assumptions!$C$97/(Assumptions!$G$16*0.001) /10^9*M24/100</f>
        <v>23.511495606229122</v>
      </c>
      <c r="P24" s="48">
        <f>Assumptions!$C$116*Assumptions!$C$113/(Assumptions!$G$16*0.001) /10^9</f>
        <v>2.6088428438793594</v>
      </c>
      <c r="Q24" s="42">
        <f t="shared" si="4"/>
        <v>106.3944323591659</v>
      </c>
      <c r="S24" s="29" t="str">
        <f t="shared" si="5"/>
        <v>(360,35,60,100,80,0.7)</v>
      </c>
    </row>
    <row r="25" spans="2:19">
      <c r="B25" s="38">
        <v>12</v>
      </c>
      <c r="C25" s="39">
        <v>360</v>
      </c>
      <c r="D25" s="39">
        <v>35</v>
      </c>
      <c r="E25" s="39">
        <v>70</v>
      </c>
      <c r="F25" s="39">
        <v>100</v>
      </c>
      <c r="G25" s="40">
        <f>B25*Assumptions!$C$19*365*24*Assumptions!$D$26*1000/(Assumptions!$G$14*0.001) /10^9</f>
        <v>11.502397866094725</v>
      </c>
      <c r="H25" s="40">
        <f>C25*Assumptions!$C$20*365*24*Assumptions!$D$30*1000/(Assumptions!$G$14*0.001) /10^9</f>
        <v>56.613212348360541</v>
      </c>
      <c r="I25" s="40">
        <f>E25*Assumptions!$C$46/(Assumptions!$G$14*0.001) /10^9</f>
        <v>3.0948661867503704</v>
      </c>
      <c r="J25" s="40">
        <f>D25*Assumptions!$C$56/(Assumptions!$G$14*0.001) /10^9</f>
        <v>1.7450901893186006</v>
      </c>
      <c r="K25" s="40">
        <f>F25*Assumptions!$C$65/(Assumptions!$G$14*0.001) /10^9</f>
        <v>4.1756131091076423</v>
      </c>
      <c r="L25" s="47">
        <f>4*Assumptions!$C$10/Assumptions!$G$14</f>
        <v>3.5850379503898764</v>
      </c>
      <c r="M25" s="45">
        <v>70.62</v>
      </c>
      <c r="N25" s="39">
        <v>79</v>
      </c>
      <c r="O25" s="44">
        <f>N25*Assumptions!$C$97/(Assumptions!$G$16*0.001) /10^9*M25/100</f>
        <v>23.460109414301069</v>
      </c>
      <c r="P25" s="48">
        <f>Assumptions!$C$116*Assumptions!$C$113/(Assumptions!$G$16*0.001) /10^9</f>
        <v>2.6088428438793594</v>
      </c>
      <c r="Q25" s="42">
        <f t="shared" si="4"/>
        <v>106.78516990820219</v>
      </c>
      <c r="S25" s="29" t="str">
        <f t="shared" si="5"/>
        <v>(360,35,70,100,79,0.71)</v>
      </c>
    </row>
    <row r="26" spans="2:19">
      <c r="B26" s="38">
        <v>12</v>
      </c>
      <c r="C26" s="39">
        <v>360</v>
      </c>
      <c r="D26" s="39">
        <v>35</v>
      </c>
      <c r="E26" s="39">
        <v>80</v>
      </c>
      <c r="F26" s="39">
        <v>100</v>
      </c>
      <c r="G26" s="40">
        <f>B26*Assumptions!$C$19*365*24*Assumptions!$D$26*1000/(Assumptions!$G$14*0.001) /10^9</f>
        <v>11.502397866094725</v>
      </c>
      <c r="H26" s="40">
        <f>C26*Assumptions!$C$20*365*24*Assumptions!$D$30*1000/(Assumptions!$G$14*0.001) /10^9</f>
        <v>56.613212348360541</v>
      </c>
      <c r="I26" s="40">
        <f>E26*Assumptions!$C$46/(Assumptions!$G$14*0.001) /10^9</f>
        <v>3.5369899277147088</v>
      </c>
      <c r="J26" s="40">
        <f>D26*Assumptions!$C$56/(Assumptions!$G$14*0.001) /10^9</f>
        <v>1.7450901893186006</v>
      </c>
      <c r="K26" s="40">
        <f>F26*Assumptions!$C$65/(Assumptions!$G$14*0.001) /10^9</f>
        <v>4.1756131091076423</v>
      </c>
      <c r="L26" s="47">
        <f>4*Assumptions!$C$10/Assumptions!$G$14</f>
        <v>3.5850379503898764</v>
      </c>
      <c r="M26" s="45">
        <v>71.069999999999993</v>
      </c>
      <c r="N26" s="39">
        <v>78</v>
      </c>
      <c r="O26" s="44">
        <f>N26*Assumptions!$C$97/(Assumptions!$G$16*0.001) /10^9*M26/100</f>
        <v>23.310744640382541</v>
      </c>
      <c r="P26" s="48">
        <f>Assumptions!$C$116*Assumptions!$C$113/(Assumptions!$G$16*0.001) /10^9</f>
        <v>2.6088428438793594</v>
      </c>
      <c r="Q26" s="42">
        <f t="shared" si="4"/>
        <v>107.07792887524801</v>
      </c>
      <c r="S26" s="29" t="str">
        <f t="shared" si="5"/>
        <v>(360,35,80,100,78,0.71)</v>
      </c>
    </row>
    <row r="27" spans="2:19">
      <c r="B27" s="38">
        <v>12</v>
      </c>
      <c r="C27" s="39">
        <v>360</v>
      </c>
      <c r="D27" s="39">
        <v>35</v>
      </c>
      <c r="E27" s="39">
        <v>90</v>
      </c>
      <c r="F27" s="39">
        <v>100</v>
      </c>
      <c r="G27" s="40">
        <f>B27*Assumptions!$C$19*365*24*Assumptions!$D$26*1000/(Assumptions!$G$14*0.001) /10^9</f>
        <v>11.502397866094725</v>
      </c>
      <c r="H27" s="40">
        <f>C27*Assumptions!$C$20*365*24*Assumptions!$D$30*1000/(Assumptions!$G$14*0.001) /10^9</f>
        <v>56.613212348360541</v>
      </c>
      <c r="I27" s="40">
        <f>E27*Assumptions!$C$46/(Assumptions!$G$14*0.001) /10^9</f>
        <v>3.979113668679048</v>
      </c>
      <c r="J27" s="40">
        <f>D27*Assumptions!$C$56/(Assumptions!$G$14*0.001) /10^9</f>
        <v>1.7450901893186006</v>
      </c>
      <c r="K27" s="40">
        <f>F27*Assumptions!$C$65/(Assumptions!$G$14*0.001) /10^9</f>
        <v>4.1756131091076423</v>
      </c>
      <c r="L27" s="47">
        <f>4*Assumptions!$C$10/Assumptions!$G$14</f>
        <v>3.5850379503898764</v>
      </c>
      <c r="M27" s="45">
        <v>71.34</v>
      </c>
      <c r="N27" s="39">
        <v>78</v>
      </c>
      <c r="O27" s="44">
        <f>N27*Assumptions!$C$97/(Assumptions!$G$16*0.001) /10^9*M27/100</f>
        <v>23.399303822215998</v>
      </c>
      <c r="P27" s="48">
        <f>Assumptions!$C$116*Assumptions!$C$113/(Assumptions!$G$16*0.001) /10^9</f>
        <v>2.6088428438793594</v>
      </c>
      <c r="Q27" s="42">
        <f t="shared" si="4"/>
        <v>107.6086117980458</v>
      </c>
      <c r="S27" s="29" t="str">
        <f t="shared" si="5"/>
        <v>(360,35,90,100,78,0.71)</v>
      </c>
    </row>
    <row r="28" spans="2:19">
      <c r="B28" s="38">
        <v>12</v>
      </c>
      <c r="C28" s="39">
        <v>360</v>
      </c>
      <c r="D28" s="39">
        <v>35</v>
      </c>
      <c r="E28" s="39">
        <v>100</v>
      </c>
      <c r="F28" s="39">
        <v>100</v>
      </c>
      <c r="G28" s="40">
        <f>B28*Assumptions!$C$19*365*24*Assumptions!$D$26*1000/(Assumptions!$G$14*0.001) /10^9</f>
        <v>11.502397866094725</v>
      </c>
      <c r="H28" s="40">
        <f>C28*Assumptions!$C$20*365*24*Assumptions!$D$30*1000/(Assumptions!$G$14*0.001) /10^9</f>
        <v>56.613212348360541</v>
      </c>
      <c r="I28" s="40">
        <f>E28*Assumptions!$C$46/(Assumptions!$G$14*0.001) /10^9</f>
        <v>4.4212374096433864</v>
      </c>
      <c r="J28" s="40">
        <f>D28*Assumptions!$C$56/(Assumptions!$G$14*0.001) /10^9</f>
        <v>1.7450901893186006</v>
      </c>
      <c r="K28" s="40">
        <f>F28*Assumptions!$C$65/(Assumptions!$G$14*0.001) /10^9</f>
        <v>4.1756131091076423</v>
      </c>
      <c r="L28" s="47">
        <f>4*Assumptions!$C$10/Assumptions!$G$14</f>
        <v>3.5850379503898764</v>
      </c>
      <c r="M28" s="45">
        <v>71.540000000000006</v>
      </c>
      <c r="N28" s="39">
        <v>78</v>
      </c>
      <c r="O28" s="44">
        <f>N28*Assumptions!$C$97/(Assumptions!$G$16*0.001) /10^9*M28/100</f>
        <v>23.4649032161667</v>
      </c>
      <c r="P28" s="48">
        <f>Assumptions!$C$116*Assumptions!$C$113/(Assumptions!$G$16*0.001) /10^9</f>
        <v>2.6088428438793594</v>
      </c>
      <c r="Q28" s="42">
        <f t="shared" si="4"/>
        <v>108.11633493296084</v>
      </c>
      <c r="S28" s="29" t="str">
        <f t="shared" si="5"/>
        <v>(360,35,100,100,78,0.72)</v>
      </c>
    </row>
    <row r="29" spans="2:19">
      <c r="B29" s="38">
        <v>12</v>
      </c>
      <c r="C29" s="39">
        <v>370</v>
      </c>
      <c r="D29" s="39">
        <v>34</v>
      </c>
      <c r="E29" s="39">
        <v>30</v>
      </c>
      <c r="F29" s="39">
        <v>100</v>
      </c>
      <c r="G29" s="40">
        <f>B29*Assumptions!$C$19*365*24*Assumptions!$D$26*1000/(Assumptions!$G$14*0.001) /10^9</f>
        <v>11.502397866094725</v>
      </c>
      <c r="H29" s="40">
        <f>C29*Assumptions!$C$20*365*24*Assumptions!$D$30*1000/(Assumptions!$G$14*0.001) /10^9</f>
        <v>58.185801580259451</v>
      </c>
      <c r="I29" s="40">
        <f>E29*Assumptions!$C$46/(Assumptions!$G$14*0.001) /10^9</f>
        <v>1.326371222893016</v>
      </c>
      <c r="J29" s="40">
        <f>D29*Assumptions!$C$56/(Assumptions!$G$14*0.001) /10^9</f>
        <v>1.6952304696237834</v>
      </c>
      <c r="K29" s="40">
        <f>F29*Assumptions!$C$65/(Assumptions!$G$14*0.001) /10^9</f>
        <v>4.1756131091076423</v>
      </c>
      <c r="L29" s="47">
        <f>4*Assumptions!$C$10/Assumptions!$G$14</f>
        <v>3.5850379503898764</v>
      </c>
      <c r="M29" s="46">
        <v>65.72</v>
      </c>
      <c r="N29" s="39">
        <v>86</v>
      </c>
      <c r="O29" s="44">
        <f>N29*Assumptions!$C$97/(Assumptions!$G$16*0.001) /10^9*M29/100</f>
        <v>23.766828631914169</v>
      </c>
      <c r="P29" s="48">
        <f>Assumptions!$C$116*Assumptions!$C$113/(Assumptions!$G$16*0.001) /10^9</f>
        <v>2.6088428438793594</v>
      </c>
      <c r="Q29" s="42">
        <f t="shared" si="4"/>
        <v>106.84612367416202</v>
      </c>
      <c r="S29" s="29" t="str">
        <f t="shared" si="5"/>
        <v>(370,34,30,100,86,0.66)</v>
      </c>
    </row>
    <row r="30" spans="2:19">
      <c r="B30" s="38">
        <v>12</v>
      </c>
      <c r="C30" s="39">
        <v>370</v>
      </c>
      <c r="D30" s="39">
        <v>34</v>
      </c>
      <c r="E30" s="39">
        <v>40</v>
      </c>
      <c r="F30" s="39">
        <v>100</v>
      </c>
      <c r="G30" s="40">
        <f>B30*Assumptions!$C$19*365*24*Assumptions!$D$26*1000/(Assumptions!$G$14*0.001) /10^9</f>
        <v>11.502397866094725</v>
      </c>
      <c r="H30" s="40">
        <f>C30*Assumptions!$C$20*365*24*Assumptions!$D$30*1000/(Assumptions!$G$14*0.001) /10^9</f>
        <v>58.185801580259451</v>
      </c>
      <c r="I30" s="40">
        <f>E30*Assumptions!$C$46/(Assumptions!$G$14*0.001) /10^9</f>
        <v>1.7684949638573544</v>
      </c>
      <c r="J30" s="40">
        <f>D30*Assumptions!$C$56/(Assumptions!$G$14*0.001) /10^9</f>
        <v>1.6952304696237834</v>
      </c>
      <c r="K30" s="40">
        <f>F30*Assumptions!$C$65/(Assumptions!$G$14*0.001) /10^9</f>
        <v>4.1756131091076423</v>
      </c>
      <c r="L30" s="47">
        <f>4*Assumptions!$C$10/Assumptions!$G$14</f>
        <v>3.5850379503898764</v>
      </c>
      <c r="M30" s="46">
        <v>69.209999999999994</v>
      </c>
      <c r="N30" s="39">
        <v>81</v>
      </c>
      <c r="O30" s="44">
        <f>N30*Assumptions!$C$97/(Assumptions!$G$16*0.001) /10^9*M30/100</f>
        <v>23.573772979588728</v>
      </c>
      <c r="P30" s="48">
        <f>Assumptions!$C$116*Assumptions!$C$113/(Assumptions!$G$16*0.001) /10^9</f>
        <v>2.6088428438793594</v>
      </c>
      <c r="Q30" s="42">
        <f t="shared" si="4"/>
        <v>107.09519176280091</v>
      </c>
      <c r="S30" s="29" t="str">
        <f t="shared" si="5"/>
        <v>(370,34,40,100,81,0.69)</v>
      </c>
    </row>
    <row r="31" spans="2:19">
      <c r="B31" s="38">
        <v>12</v>
      </c>
      <c r="C31" s="39">
        <v>370</v>
      </c>
      <c r="D31" s="39">
        <v>34</v>
      </c>
      <c r="E31" s="39">
        <v>50</v>
      </c>
      <c r="F31" s="39">
        <v>100</v>
      </c>
      <c r="G31" s="40">
        <f>B31*Assumptions!$C$19*365*24*Assumptions!$D$26*1000/(Assumptions!$G$14*0.001) /10^9</f>
        <v>11.502397866094725</v>
      </c>
      <c r="H31" s="40">
        <f>C31*Assumptions!$C$20*365*24*Assumptions!$D$30*1000/(Assumptions!$G$14*0.001) /10^9</f>
        <v>58.185801580259451</v>
      </c>
      <c r="I31" s="40">
        <f>E31*Assumptions!$C$46/(Assumptions!$G$14*0.001) /10^9</f>
        <v>2.2106187048216932</v>
      </c>
      <c r="J31" s="40">
        <f>D31*Assumptions!$C$56/(Assumptions!$G$14*0.001) /10^9</f>
        <v>1.6952304696237834</v>
      </c>
      <c r="K31" s="40">
        <f>F31*Assumptions!$C$65/(Assumptions!$G$14*0.001) /10^9</f>
        <v>4.1756131091076423</v>
      </c>
      <c r="L31" s="47">
        <f>4*Assumptions!$C$10/Assumptions!$G$14</f>
        <v>3.5850379503898764</v>
      </c>
      <c r="M31" s="46">
        <v>71.12</v>
      </c>
      <c r="N31" s="39">
        <v>76</v>
      </c>
      <c r="O31" s="44">
        <f>N31*Assumptions!$C$97/(Assumptions!$G$16*0.001) /10^9*M31/100</f>
        <v>22.729012578899191</v>
      </c>
      <c r="P31" s="48">
        <f>Assumptions!$C$116*Assumptions!$C$113/(Assumptions!$G$16*0.001) /10^9</f>
        <v>2.6088428438793594</v>
      </c>
      <c r="Q31" s="42">
        <f t="shared" si="4"/>
        <v>106.69255510307572</v>
      </c>
      <c r="S31" s="29" t="str">
        <f t="shared" si="5"/>
        <v>(370,34,50,100,76,0.71)</v>
      </c>
    </row>
    <row r="32" spans="2:19">
      <c r="B32" s="38">
        <v>12</v>
      </c>
      <c r="C32" s="39">
        <v>370</v>
      </c>
      <c r="D32" s="39">
        <v>34</v>
      </c>
      <c r="E32" s="39">
        <v>60</v>
      </c>
      <c r="F32" s="39">
        <v>100</v>
      </c>
      <c r="G32" s="40">
        <f>B32*Assumptions!$C$19*365*24*Assumptions!$D$26*1000/(Assumptions!$G$14*0.001) /10^9</f>
        <v>11.502397866094725</v>
      </c>
      <c r="H32" s="40">
        <f>C32*Assumptions!$C$20*365*24*Assumptions!$D$30*1000/(Assumptions!$G$14*0.001) /10^9</f>
        <v>58.185801580259451</v>
      </c>
      <c r="I32" s="40">
        <f>E32*Assumptions!$C$46/(Assumptions!$G$14*0.001) /10^9</f>
        <v>2.652742445786032</v>
      </c>
      <c r="J32" s="40">
        <f>D32*Assumptions!$C$56/(Assumptions!$G$14*0.001) /10^9</f>
        <v>1.6952304696237834</v>
      </c>
      <c r="K32" s="40">
        <f>F32*Assumptions!$C$65/(Assumptions!$G$14*0.001) /10^9</f>
        <v>4.1756131091076423</v>
      </c>
      <c r="L32" s="47">
        <f>4*Assumptions!$C$10/Assumptions!$G$14</f>
        <v>3.5850379503898764</v>
      </c>
      <c r="M32" s="46">
        <v>72.11</v>
      </c>
      <c r="N32" s="39">
        <v>75</v>
      </c>
      <c r="O32" s="44">
        <f>N32*Assumptions!$C$97/(Assumptions!$G$16*0.001) /10^9*M32/100</f>
        <v>22.742174508582885</v>
      </c>
      <c r="P32" s="48">
        <f>Assumptions!$C$116*Assumptions!$C$113/(Assumptions!$G$16*0.001) /10^9</f>
        <v>2.6088428438793594</v>
      </c>
      <c r="Q32" s="42">
        <f t="shared" si="4"/>
        <v>107.14784077372374</v>
      </c>
      <c r="S32" s="29" t="str">
        <f t="shared" si="5"/>
        <v>(370,34,60,100,75,0.72)</v>
      </c>
    </row>
    <row r="33" spans="2:19">
      <c r="B33" s="38">
        <v>12</v>
      </c>
      <c r="C33" s="39">
        <v>370</v>
      </c>
      <c r="D33" s="39">
        <v>34</v>
      </c>
      <c r="E33" s="39">
        <v>70</v>
      </c>
      <c r="F33" s="39">
        <v>100</v>
      </c>
      <c r="G33" s="40">
        <f>B33*Assumptions!$C$19*365*24*Assumptions!$D$26*1000/(Assumptions!$G$14*0.001) /10^9</f>
        <v>11.502397866094725</v>
      </c>
      <c r="H33" s="40">
        <f>C33*Assumptions!$C$20*365*24*Assumptions!$D$30*1000/(Assumptions!$G$14*0.001) /10^9</f>
        <v>58.185801580259451</v>
      </c>
      <c r="I33" s="40">
        <f>E33*Assumptions!$C$46/(Assumptions!$G$14*0.001) /10^9</f>
        <v>3.0948661867503704</v>
      </c>
      <c r="J33" s="40">
        <f>D33*Assumptions!$C$56/(Assumptions!$G$14*0.001) /10^9</f>
        <v>1.6952304696237834</v>
      </c>
      <c r="K33" s="40">
        <f>F33*Assumptions!$C$65/(Assumptions!$G$14*0.001) /10^9</f>
        <v>4.1756131091076423</v>
      </c>
      <c r="L33" s="47">
        <f>4*Assumptions!$C$10/Assumptions!$G$14</f>
        <v>3.5850379503898764</v>
      </c>
      <c r="M33" s="46">
        <v>72.819999999999993</v>
      </c>
      <c r="N33" s="39">
        <v>73</v>
      </c>
      <c r="O33" s="44">
        <f>N33*Assumptions!$C$97/(Assumptions!$G$16*0.001) /10^9*M33/100</f>
        <v>22.353666302999201</v>
      </c>
      <c r="P33" s="48">
        <f>Assumptions!$C$116*Assumptions!$C$113/(Assumptions!$G$16*0.001) /10^9</f>
        <v>2.6088428438793594</v>
      </c>
      <c r="Q33" s="42">
        <f t="shared" si="4"/>
        <v>107.2014563091044</v>
      </c>
      <c r="S33" s="29" t="str">
        <f t="shared" si="5"/>
        <v>(370,34,70,100,73,0.73)</v>
      </c>
    </row>
    <row r="34" spans="2:19">
      <c r="B34" s="38">
        <v>12</v>
      </c>
      <c r="C34" s="39">
        <v>370</v>
      </c>
      <c r="D34" s="39">
        <v>34</v>
      </c>
      <c r="E34" s="39">
        <v>80</v>
      </c>
      <c r="F34" s="39">
        <v>100</v>
      </c>
      <c r="G34" s="40">
        <f>B34*Assumptions!$C$19*365*24*Assumptions!$D$26*1000/(Assumptions!$G$14*0.001) /10^9</f>
        <v>11.502397866094725</v>
      </c>
      <c r="H34" s="40">
        <f>C34*Assumptions!$C$20*365*24*Assumptions!$D$30*1000/(Assumptions!$G$14*0.001) /10^9</f>
        <v>58.185801580259451</v>
      </c>
      <c r="I34" s="40">
        <f>E34*Assumptions!$C$46/(Assumptions!$G$14*0.001) /10^9</f>
        <v>3.5369899277147088</v>
      </c>
      <c r="J34" s="40">
        <f>D34*Assumptions!$C$56/(Assumptions!$G$14*0.001) /10^9</f>
        <v>1.6952304696237834</v>
      </c>
      <c r="K34" s="40">
        <f>F34*Assumptions!$C$65/(Assumptions!$G$14*0.001) /10^9</f>
        <v>4.1756131091076423</v>
      </c>
      <c r="L34" s="47">
        <f>4*Assumptions!$C$10/Assumptions!$G$14</f>
        <v>3.5850379503898764</v>
      </c>
      <c r="M34" s="46">
        <v>73.14</v>
      </c>
      <c r="N34" s="39">
        <v>73</v>
      </c>
      <c r="O34" s="44">
        <f>N34*Assumptions!$C$97/(Assumptions!$G$16*0.001) /10^9*M34/100</f>
        <v>22.451897190351023</v>
      </c>
      <c r="P34" s="48">
        <f>Assumptions!$C$116*Assumptions!$C$113/(Assumptions!$G$16*0.001) /10^9</f>
        <v>2.6088428438793594</v>
      </c>
      <c r="Q34" s="42">
        <f t="shared" si="4"/>
        <v>107.74181093742057</v>
      </c>
      <c r="S34" s="29" t="str">
        <f t="shared" si="5"/>
        <v>(370,34,80,100,73,0.73)</v>
      </c>
    </row>
    <row r="35" spans="2:19">
      <c r="B35" s="38">
        <v>12</v>
      </c>
      <c r="C35" s="39">
        <v>370</v>
      </c>
      <c r="D35" s="39">
        <v>34</v>
      </c>
      <c r="E35" s="39">
        <v>90</v>
      </c>
      <c r="F35" s="39">
        <v>100</v>
      </c>
      <c r="G35" s="40">
        <f>B35*Assumptions!$C$19*365*24*Assumptions!$D$26*1000/(Assumptions!$G$14*0.001) /10^9</f>
        <v>11.502397866094725</v>
      </c>
      <c r="H35" s="40">
        <f>C35*Assumptions!$C$20*365*24*Assumptions!$D$30*1000/(Assumptions!$G$14*0.001) /10^9</f>
        <v>58.185801580259451</v>
      </c>
      <c r="I35" s="40">
        <f>E35*Assumptions!$C$46/(Assumptions!$G$14*0.001) /10^9</f>
        <v>3.979113668679048</v>
      </c>
      <c r="J35" s="40">
        <f>D35*Assumptions!$C$56/(Assumptions!$G$14*0.001) /10^9</f>
        <v>1.6952304696237834</v>
      </c>
      <c r="K35" s="40">
        <f>F35*Assumptions!$C$65/(Assumptions!$G$14*0.001) /10^9</f>
        <v>4.1756131091076423</v>
      </c>
      <c r="L35" s="47">
        <f>4*Assumptions!$C$10/Assumptions!$G$14</f>
        <v>3.5850379503898764</v>
      </c>
      <c r="M35" s="46">
        <v>73.37</v>
      </c>
      <c r="N35" s="39">
        <v>73</v>
      </c>
      <c r="O35" s="44">
        <f>N35*Assumptions!$C$97/(Assumptions!$G$16*0.001) /10^9*M35/100</f>
        <v>22.522500640635148</v>
      </c>
      <c r="P35" s="48">
        <f>Assumptions!$C$116*Assumptions!$C$113/(Assumptions!$G$16*0.001) /10^9</f>
        <v>2.6088428438793594</v>
      </c>
      <c r="Q35" s="42">
        <f t="shared" si="4"/>
        <v>108.25453812866903</v>
      </c>
      <c r="S35" s="29" t="str">
        <f t="shared" si="5"/>
        <v>(370,34,90,100,73,0.73)</v>
      </c>
    </row>
    <row r="36" spans="2:19">
      <c r="B36" s="38">
        <v>12</v>
      </c>
      <c r="C36" s="39">
        <v>370</v>
      </c>
      <c r="D36" s="39">
        <v>34</v>
      </c>
      <c r="E36" s="39">
        <v>100</v>
      </c>
      <c r="F36" s="39">
        <v>100</v>
      </c>
      <c r="G36" s="40">
        <f>B36*Assumptions!$C$19*365*24*Assumptions!$D$26*1000/(Assumptions!$G$14*0.001) /10^9</f>
        <v>11.502397866094725</v>
      </c>
      <c r="H36" s="40">
        <f>C36*Assumptions!$C$20*365*24*Assumptions!$D$30*1000/(Assumptions!$G$14*0.001) /10^9</f>
        <v>58.185801580259451</v>
      </c>
      <c r="I36" s="40">
        <f>E36*Assumptions!$C$46/(Assumptions!$G$14*0.001) /10^9</f>
        <v>4.4212374096433864</v>
      </c>
      <c r="J36" s="40">
        <f>D36*Assumptions!$C$56/(Assumptions!$G$14*0.001) /10^9</f>
        <v>1.6952304696237834</v>
      </c>
      <c r="K36" s="40">
        <f>F36*Assumptions!$C$65/(Assumptions!$G$14*0.001) /10^9</f>
        <v>4.1756131091076423</v>
      </c>
      <c r="L36" s="47">
        <f>4*Assumptions!$C$10/Assumptions!$G$14</f>
        <v>3.5850379503898764</v>
      </c>
      <c r="M36" s="46">
        <v>73.56</v>
      </c>
      <c r="N36">
        <v>72</v>
      </c>
      <c r="O36" s="44">
        <f>N36*Assumptions!$C$97/(Assumptions!$G$16*0.001) /10^9*M36/100</f>
        <v>22.271498856986589</v>
      </c>
      <c r="P36" s="48">
        <f>Assumptions!$C$116*Assumptions!$C$113/(Assumptions!$G$16*0.001) /10^9</f>
        <v>2.6088428438793594</v>
      </c>
      <c r="Q36" s="42">
        <f t="shared" si="4"/>
        <v>108.4456600859848</v>
      </c>
      <c r="S36" s="29" t="str">
        <f t="shared" si="5"/>
        <v>(370,34,100,100,72,0.74)</v>
      </c>
    </row>
    <row r="37" spans="2:19">
      <c r="B37" s="38">
        <v>12</v>
      </c>
      <c r="C37" s="39">
        <v>380</v>
      </c>
      <c r="D37" s="39">
        <v>34</v>
      </c>
      <c r="E37" s="39">
        <v>20</v>
      </c>
      <c r="F37" s="39">
        <v>100</v>
      </c>
      <c r="G37" s="40">
        <f>B37*Assumptions!$C$19*365*24*Assumptions!$D$26*1000/(Assumptions!$G$14*0.001) /10^9</f>
        <v>11.502397866094725</v>
      </c>
      <c r="H37" s="40">
        <f>C37*Assumptions!$C$20*365*24*Assumptions!$D$30*1000/(Assumptions!$G$14*0.001) /10^9</f>
        <v>59.758390812158353</v>
      </c>
      <c r="I37" s="40">
        <f>E37*Assumptions!$C$46/(Assumptions!$G$14*0.001) /10^9</f>
        <v>0.88424748192867719</v>
      </c>
      <c r="J37" s="40">
        <f>D37*Assumptions!$C$56/(Assumptions!$G$14*0.001) /10^9</f>
        <v>1.6952304696237834</v>
      </c>
      <c r="K37" s="40">
        <f>F37*Assumptions!$C$65/(Assumptions!$G$14*0.001) /10^9</f>
        <v>4.1756131091076423</v>
      </c>
      <c r="L37" s="47">
        <f>4*Assumptions!$C$10/Assumptions!$G$14</f>
        <v>3.5850379503898764</v>
      </c>
      <c r="M37" s="45">
        <v>61.14</v>
      </c>
      <c r="N37" s="39">
        <v>94</v>
      </c>
      <c r="O37" s="44">
        <f>N37*Assumptions!$C$97/(Assumptions!$G$16*0.001) /10^9*M37/100</f>
        <v>24.167321342161927</v>
      </c>
      <c r="P37" s="48">
        <f>Assumptions!$C$116*Assumptions!$C$113/(Assumptions!$G$16*0.001) /10^9</f>
        <v>2.6088428438793594</v>
      </c>
      <c r="Q37" s="42">
        <f>SUM(G37:L37)+O37+P37</f>
        <v>108.37708187534435</v>
      </c>
      <c r="S37" s="29" t="str">
        <f>CONCATENATE("(",C37,",",D37,",",E37,",",F37,",",ROUND(N37,0),",",ROUND(M37/100,2),")")</f>
        <v>(380,34,20,100,94,0.61)</v>
      </c>
    </row>
    <row r="38" spans="2:19">
      <c r="B38" s="38">
        <v>12</v>
      </c>
      <c r="C38" s="39">
        <v>380</v>
      </c>
      <c r="D38" s="39">
        <v>33</v>
      </c>
      <c r="E38" s="39">
        <v>30</v>
      </c>
      <c r="F38" s="39">
        <v>100</v>
      </c>
      <c r="G38" s="40">
        <f>B38*Assumptions!$C$19*365*24*Assumptions!$D$26*1000/(Assumptions!$G$14*0.001) /10^9</f>
        <v>11.502397866094725</v>
      </c>
      <c r="H38" s="40">
        <f>C38*Assumptions!$C$20*365*24*Assumptions!$D$30*1000/(Assumptions!$G$14*0.001) /10^9</f>
        <v>59.758390812158353</v>
      </c>
      <c r="I38" s="40">
        <f>E38*Assumptions!$C$46/(Assumptions!$G$14*0.001) /10^9</f>
        <v>1.326371222893016</v>
      </c>
      <c r="J38" s="40">
        <f>D38*Assumptions!$C$56/(Assumptions!$G$14*0.001) /10^9</f>
        <v>1.6453707499289663</v>
      </c>
      <c r="K38" s="40">
        <f>F38*Assumptions!$C$65/(Assumptions!$G$14*0.001) /10^9</f>
        <v>4.1756131091076423</v>
      </c>
      <c r="L38" s="47">
        <f>4*Assumptions!$C$10/Assumptions!$G$14</f>
        <v>3.5850379503898764</v>
      </c>
      <c r="M38" s="45">
        <v>68.58</v>
      </c>
      <c r="N38" s="39">
        <v>79</v>
      </c>
      <c r="O38" s="44">
        <f>N38*Assumptions!$C$97/(Assumptions!$G$16*0.001) /10^9*M38/100</f>
        <v>22.782417213718027</v>
      </c>
      <c r="P38" s="48">
        <f>Assumptions!$C$116*Assumptions!$C$113/(Assumptions!$G$16*0.001) /10^9</f>
        <v>2.6088428438793594</v>
      </c>
      <c r="Q38" s="42">
        <f t="shared" ref="Q38:Q81" si="6">SUM(G38:L38)+O38+P38</f>
        <v>107.38444176816998</v>
      </c>
      <c r="S38" s="29" t="str">
        <f t="shared" ref="S38:S81" si="7">CONCATENATE("(",C38,",",D38,",",E38,",",F38,",",ROUND(N38,0),",",ROUND(M38/100,2),")")</f>
        <v>(380,33,30,100,79,0.69)</v>
      </c>
    </row>
    <row r="39" spans="2:19">
      <c r="B39" s="38">
        <v>12</v>
      </c>
      <c r="C39" s="39">
        <v>380</v>
      </c>
      <c r="D39" s="39">
        <v>33</v>
      </c>
      <c r="E39" s="39">
        <v>40</v>
      </c>
      <c r="F39" s="39">
        <v>100</v>
      </c>
      <c r="G39" s="40">
        <f>B39*Assumptions!$C$19*365*24*Assumptions!$D$26*1000/(Assumptions!$G$14*0.001) /10^9</f>
        <v>11.502397866094725</v>
      </c>
      <c r="H39" s="40">
        <f>C39*Assumptions!$C$20*365*24*Assumptions!$D$30*1000/(Assumptions!$G$14*0.001) /10^9</f>
        <v>59.758390812158353</v>
      </c>
      <c r="I39" s="40">
        <f>E39*Assumptions!$C$46/(Assumptions!$G$14*0.001) /10^9</f>
        <v>1.7684949638573544</v>
      </c>
      <c r="J39" s="40">
        <f>D39*Assumptions!$C$56/(Assumptions!$G$14*0.001) /10^9</f>
        <v>1.6453707499289663</v>
      </c>
      <c r="K39" s="40">
        <f>F39*Assumptions!$C$65/(Assumptions!$G$14*0.001) /10^9</f>
        <v>4.1756131091076423</v>
      </c>
      <c r="L39" s="47">
        <f>4*Assumptions!$C$10/Assumptions!$G$14</f>
        <v>3.5850379503898764</v>
      </c>
      <c r="M39" s="45">
        <v>71.849999999999994</v>
      </c>
      <c r="N39" s="39">
        <v>74</v>
      </c>
      <c r="O39" s="44">
        <f>N39*Assumptions!$C$97/(Assumptions!$G$16*0.001) /10^9*M39/100</f>
        <v>22.358039595929242</v>
      </c>
      <c r="P39" s="48">
        <f>Assumptions!$C$116*Assumptions!$C$113/(Assumptions!$G$16*0.001) /10^9</f>
        <v>2.6088428438793594</v>
      </c>
      <c r="Q39" s="42">
        <f t="shared" si="6"/>
        <v>107.40218789134552</v>
      </c>
      <c r="S39" s="29" t="str">
        <f t="shared" si="7"/>
        <v>(380,33,40,100,74,0.72)</v>
      </c>
    </row>
    <row r="40" spans="2:19">
      <c r="B40" s="38">
        <v>12</v>
      </c>
      <c r="C40" s="39">
        <v>380</v>
      </c>
      <c r="D40" s="39">
        <v>33</v>
      </c>
      <c r="E40" s="39">
        <v>50</v>
      </c>
      <c r="F40" s="39">
        <v>100</v>
      </c>
      <c r="G40" s="40">
        <f>B40*Assumptions!$C$19*365*24*Assumptions!$D$26*1000/(Assumptions!$G$14*0.001) /10^9</f>
        <v>11.502397866094725</v>
      </c>
      <c r="H40" s="40">
        <f>C40*Assumptions!$C$20*365*24*Assumptions!$D$30*1000/(Assumptions!$G$14*0.001) /10^9</f>
        <v>59.758390812158353</v>
      </c>
      <c r="I40" s="40">
        <f>E40*Assumptions!$C$46/(Assumptions!$G$14*0.001) /10^9</f>
        <v>2.2106187048216932</v>
      </c>
      <c r="J40" s="40">
        <f>D40*Assumptions!$C$56/(Assumptions!$G$14*0.001) /10^9</f>
        <v>1.6453707499289663</v>
      </c>
      <c r="K40" s="40">
        <f>F40*Assumptions!$C$65/(Assumptions!$G$14*0.001) /10^9</f>
        <v>4.1756131091076423</v>
      </c>
      <c r="L40" s="47">
        <f>4*Assumptions!$C$10/Assumptions!$G$14</f>
        <v>3.5850379503898764</v>
      </c>
      <c r="M40" s="45">
        <v>73.459999999999994</v>
      </c>
      <c r="N40" s="39">
        <v>71</v>
      </c>
      <c r="O40" s="44">
        <f>N40*Assumptions!$C$97/(Assumptions!$G$16*0.001) /10^9*M40/100</f>
        <v>21.9323163495466</v>
      </c>
      <c r="P40" s="48">
        <f>Assumptions!$C$116*Assumptions!$C$113/(Assumptions!$G$16*0.001) /10^9</f>
        <v>2.6088428438793594</v>
      </c>
      <c r="Q40" s="42">
        <f t="shared" si="6"/>
        <v>107.41858838592722</v>
      </c>
      <c r="S40" s="29" t="str">
        <f t="shared" si="7"/>
        <v>(380,33,50,100,71,0.73)</v>
      </c>
    </row>
    <row r="41" spans="2:19">
      <c r="B41" s="38">
        <v>12</v>
      </c>
      <c r="C41" s="39">
        <v>380</v>
      </c>
      <c r="D41" s="39">
        <v>33</v>
      </c>
      <c r="E41" s="39">
        <v>60</v>
      </c>
      <c r="F41" s="39">
        <v>100</v>
      </c>
      <c r="G41" s="40">
        <f>B41*Assumptions!$C$19*365*24*Assumptions!$D$26*1000/(Assumptions!$G$14*0.001) /10^9</f>
        <v>11.502397866094725</v>
      </c>
      <c r="H41" s="40">
        <f>C41*Assumptions!$C$20*365*24*Assumptions!$D$30*1000/(Assumptions!$G$14*0.001) /10^9</f>
        <v>59.758390812158353</v>
      </c>
      <c r="I41" s="40">
        <f>E41*Assumptions!$C$46/(Assumptions!$G$14*0.001) /10^9</f>
        <v>2.652742445786032</v>
      </c>
      <c r="J41" s="40">
        <f>D41*Assumptions!$C$56/(Assumptions!$G$14*0.001) /10^9</f>
        <v>1.6453707499289663</v>
      </c>
      <c r="K41" s="40">
        <f>F41*Assumptions!$C$65/(Assumptions!$G$14*0.001) /10^9</f>
        <v>4.1756131091076423</v>
      </c>
      <c r="L41" s="47">
        <f>4*Assumptions!$C$10/Assumptions!$G$14</f>
        <v>3.5850379503898764</v>
      </c>
      <c r="M41" s="45">
        <v>74.48</v>
      </c>
      <c r="N41" s="39">
        <v>70</v>
      </c>
      <c r="O41" s="44">
        <f>N41*Assumptions!$C$97/(Assumptions!$G$16*0.001) /10^9*M41/100</f>
        <v>21.923653865473625</v>
      </c>
      <c r="P41" s="48">
        <f>Assumptions!$C$116*Assumptions!$C$113/(Assumptions!$G$16*0.001) /10^9</f>
        <v>2.6088428438793594</v>
      </c>
      <c r="Q41" s="42">
        <f t="shared" si="6"/>
        <v>107.85204964281859</v>
      </c>
      <c r="S41" s="29" t="str">
        <f t="shared" si="7"/>
        <v>(380,33,60,100,70,0.74)</v>
      </c>
    </row>
    <row r="42" spans="2:19">
      <c r="B42" s="38">
        <v>12</v>
      </c>
      <c r="C42" s="39">
        <v>380</v>
      </c>
      <c r="D42" s="39">
        <v>33</v>
      </c>
      <c r="E42" s="39">
        <v>70</v>
      </c>
      <c r="F42" s="39">
        <v>100</v>
      </c>
      <c r="G42" s="40">
        <f>B42*Assumptions!$C$19*365*24*Assumptions!$D$26*1000/(Assumptions!$G$14*0.001) /10^9</f>
        <v>11.502397866094725</v>
      </c>
      <c r="H42" s="40">
        <f>C42*Assumptions!$C$20*365*24*Assumptions!$D$30*1000/(Assumptions!$G$14*0.001) /10^9</f>
        <v>59.758390812158353</v>
      </c>
      <c r="I42" s="40">
        <f>E42*Assumptions!$C$46/(Assumptions!$G$14*0.001) /10^9</f>
        <v>3.0948661867503704</v>
      </c>
      <c r="J42" s="40">
        <f>D42*Assumptions!$C$56/(Assumptions!$G$14*0.001) /10^9</f>
        <v>1.6453707499289663</v>
      </c>
      <c r="K42" s="40">
        <f>F42*Assumptions!$C$65/(Assumptions!$G$14*0.001) /10^9</f>
        <v>4.1756131091076423</v>
      </c>
      <c r="L42" s="47">
        <f>4*Assumptions!$C$10/Assumptions!$G$14</f>
        <v>3.5850379503898764</v>
      </c>
      <c r="M42" s="45">
        <v>75.03</v>
      </c>
      <c r="N42" s="39">
        <v>69</v>
      </c>
      <c r="O42" s="44">
        <f>N42*Assumptions!$C$97/(Assumptions!$G$16*0.001) /10^9*M42/100</f>
        <v>21.770041951305728</v>
      </c>
      <c r="P42" s="48">
        <f>Assumptions!$C$116*Assumptions!$C$113/(Assumptions!$G$16*0.001) /10^9</f>
        <v>2.6088428438793594</v>
      </c>
      <c r="Q42" s="42">
        <f t="shared" si="6"/>
        <v>108.14056146961502</v>
      </c>
      <c r="S42" s="29" t="str">
        <f t="shared" si="7"/>
        <v>(380,33,70,100,69,0.75)</v>
      </c>
    </row>
    <row r="43" spans="2:19">
      <c r="B43" s="38">
        <v>12</v>
      </c>
      <c r="C43" s="39">
        <v>380</v>
      </c>
      <c r="D43" s="39">
        <v>33</v>
      </c>
      <c r="E43" s="39">
        <v>80</v>
      </c>
      <c r="F43" s="39">
        <v>100</v>
      </c>
      <c r="G43" s="40">
        <f>B43*Assumptions!$C$19*365*24*Assumptions!$D$26*1000/(Assumptions!$G$14*0.001) /10^9</f>
        <v>11.502397866094725</v>
      </c>
      <c r="H43" s="40">
        <f>C43*Assumptions!$C$20*365*24*Assumptions!$D$30*1000/(Assumptions!$G$14*0.001) /10^9</f>
        <v>59.758390812158353</v>
      </c>
      <c r="I43" s="40">
        <f>E43*Assumptions!$C$46/(Assumptions!$G$14*0.001) /10^9</f>
        <v>3.5369899277147088</v>
      </c>
      <c r="J43" s="40">
        <f>D43*Assumptions!$C$56/(Assumptions!$G$14*0.001) /10^9</f>
        <v>1.6453707499289663</v>
      </c>
      <c r="K43" s="40">
        <f>F43*Assumptions!$C$65/(Assumptions!$G$14*0.001) /10^9</f>
        <v>4.1756131091076423</v>
      </c>
      <c r="L43" s="47">
        <f>4*Assumptions!$C$10/Assumptions!$G$14</f>
        <v>3.5850379503898764</v>
      </c>
      <c r="M43" s="45">
        <v>75.37</v>
      </c>
      <c r="N43" s="39">
        <v>69</v>
      </c>
      <c r="O43" s="44">
        <f>N43*Assumptions!$C$97/(Assumptions!$G$16*0.001) /10^9*M43/100</f>
        <v>21.868693347593133</v>
      </c>
      <c r="P43" s="48">
        <f>Assumptions!$C$116*Assumptions!$C$113/(Assumptions!$G$16*0.001) /10^9</f>
        <v>2.6088428438793594</v>
      </c>
      <c r="Q43" s="42">
        <f t="shared" si="6"/>
        <v>108.68133660686678</v>
      </c>
      <c r="S43" s="29" t="str">
        <f t="shared" si="7"/>
        <v>(380,33,80,100,69,0.75)</v>
      </c>
    </row>
    <row r="44" spans="2:19">
      <c r="B44" s="38">
        <v>12</v>
      </c>
      <c r="C44" s="39">
        <v>380</v>
      </c>
      <c r="D44" s="39">
        <v>33</v>
      </c>
      <c r="E44" s="39">
        <v>90</v>
      </c>
      <c r="F44" s="39">
        <v>100</v>
      </c>
      <c r="G44" s="40">
        <f>B44*Assumptions!$C$19*365*24*Assumptions!$D$26*1000/(Assumptions!$G$14*0.001) /10^9</f>
        <v>11.502397866094725</v>
      </c>
      <c r="H44" s="40">
        <f>C44*Assumptions!$C$20*365*24*Assumptions!$D$30*1000/(Assumptions!$G$14*0.001) /10^9</f>
        <v>59.758390812158353</v>
      </c>
      <c r="I44" s="40">
        <f>E44*Assumptions!$C$46/(Assumptions!$G$14*0.001) /10^9</f>
        <v>3.979113668679048</v>
      </c>
      <c r="J44" s="40">
        <f>D44*Assumptions!$C$56/(Assumptions!$G$14*0.001) /10^9</f>
        <v>1.6453707499289663</v>
      </c>
      <c r="K44" s="40">
        <f>F44*Assumptions!$C$65/(Assumptions!$G$14*0.001) /10^9</f>
        <v>4.1756131091076423</v>
      </c>
      <c r="L44" s="47">
        <f>4*Assumptions!$C$10/Assumptions!$G$14</f>
        <v>3.5850379503898764</v>
      </c>
      <c r="M44" s="45">
        <v>75.59</v>
      </c>
      <c r="N44" s="39">
        <v>69</v>
      </c>
      <c r="O44" s="44">
        <f>N44*Assumptions!$C$97/(Assumptions!$G$16*0.001) /10^9*M44/100</f>
        <v>21.932526604014392</v>
      </c>
      <c r="P44" s="48">
        <f>Assumptions!$C$116*Assumptions!$C$113/(Assumptions!$G$16*0.001) /10^9</f>
        <v>2.6088428438793594</v>
      </c>
      <c r="Q44" s="42">
        <f t="shared" si="6"/>
        <v>109.18729360425237</v>
      </c>
      <c r="S44" s="29" t="str">
        <f t="shared" si="7"/>
        <v>(380,33,90,100,69,0.76)</v>
      </c>
    </row>
    <row r="45" spans="2:19">
      <c r="B45" s="38">
        <v>12</v>
      </c>
      <c r="C45" s="39">
        <v>380</v>
      </c>
      <c r="D45" s="39">
        <v>33</v>
      </c>
      <c r="E45" s="39">
        <v>100</v>
      </c>
      <c r="F45" s="39">
        <v>100</v>
      </c>
      <c r="G45" s="40">
        <f>B45*Assumptions!$C$19*365*24*Assumptions!$D$26*1000/(Assumptions!$G$14*0.001) /10^9</f>
        <v>11.502397866094725</v>
      </c>
      <c r="H45" s="40">
        <f>C45*Assumptions!$C$20*365*24*Assumptions!$D$30*1000/(Assumptions!$G$14*0.001) /10^9</f>
        <v>59.758390812158353</v>
      </c>
      <c r="I45" s="40">
        <f>E45*Assumptions!$C$46/(Assumptions!$G$14*0.001) /10^9</f>
        <v>4.4212374096433864</v>
      </c>
      <c r="J45" s="40">
        <f>D45*Assumptions!$C$56/(Assumptions!$G$14*0.001) /10^9</f>
        <v>1.6453707499289663</v>
      </c>
      <c r="K45" s="40">
        <f>F45*Assumptions!$C$65/(Assumptions!$G$14*0.001) /10^9</f>
        <v>4.1756131091076423</v>
      </c>
      <c r="L45" s="47">
        <f>4*Assumptions!$C$10/Assumptions!$G$14</f>
        <v>3.5850379503898764</v>
      </c>
      <c r="M45" s="45">
        <v>75.73</v>
      </c>
      <c r="N45" s="39">
        <v>68</v>
      </c>
      <c r="O45" s="44">
        <f>N45*Assumptions!$C$97/(Assumptions!$G$16*0.001) /10^9*M45/100</f>
        <v>21.654696350275746</v>
      </c>
      <c r="P45" s="48">
        <f>Assumptions!$C$116*Assumptions!$C$113/(Assumptions!$G$16*0.001) /10^9</f>
        <v>2.6088428438793594</v>
      </c>
      <c r="Q45" s="42">
        <f t="shared" si="6"/>
        <v>109.35158709147805</v>
      </c>
      <c r="S45" s="29" t="str">
        <f t="shared" si="7"/>
        <v>(380,33,100,100,68,0.76)</v>
      </c>
    </row>
    <row r="46" spans="2:19">
      <c r="B46" s="38">
        <v>12</v>
      </c>
      <c r="C46" s="39">
        <v>390</v>
      </c>
      <c r="D46" s="39">
        <v>33</v>
      </c>
      <c r="E46" s="39">
        <v>20</v>
      </c>
      <c r="F46" s="39">
        <v>100</v>
      </c>
      <c r="G46" s="40">
        <f>B46*Assumptions!$C$19*365*24*Assumptions!$D$26*1000/(Assumptions!$G$14*0.001) /10^9</f>
        <v>11.502397866094725</v>
      </c>
      <c r="H46" s="40">
        <f>C46*Assumptions!$C$20*365*24*Assumptions!$D$30*1000/(Assumptions!$G$14*0.001) /10^9</f>
        <v>61.330980044057263</v>
      </c>
      <c r="I46" s="40">
        <f>E46*Assumptions!$C$46/(Assumptions!$G$14*0.001) /10^9</f>
        <v>0.88424748192867719</v>
      </c>
      <c r="J46" s="40">
        <f>D46*Assumptions!$C$56/(Assumptions!$G$14*0.001) /10^9</f>
        <v>1.6453707499289663</v>
      </c>
      <c r="K46" s="40">
        <f>F46*Assumptions!$C$65/(Assumptions!$G$14*0.001) /10^9</f>
        <v>4.1756131091076423</v>
      </c>
      <c r="L46" s="47">
        <f>4*Assumptions!$C$10/Assumptions!$G$14</f>
        <v>3.5850379503898764</v>
      </c>
      <c r="M46" s="45">
        <v>64.290000000000006</v>
      </c>
      <c r="N46" s="39">
        <v>85</v>
      </c>
      <c r="O46" s="44">
        <f>N46*Assumptions!$C$97/(Assumptions!$G$16*0.001) /10^9*M46/100</f>
        <v>22.979341548250815</v>
      </c>
      <c r="P46" s="48">
        <f>Assumptions!$C$116*Assumptions!$C$113/(Assumptions!$G$16*0.001) /10^9</f>
        <v>2.6088428438793594</v>
      </c>
      <c r="Q46" s="42">
        <f t="shared" si="6"/>
        <v>108.71183159363734</v>
      </c>
      <c r="S46" s="29" t="str">
        <f t="shared" si="7"/>
        <v>(390,33,20,100,85,0.64)</v>
      </c>
    </row>
    <row r="47" spans="2:19">
      <c r="B47" s="38">
        <v>12</v>
      </c>
      <c r="C47" s="39">
        <v>390</v>
      </c>
      <c r="D47" s="39">
        <v>33</v>
      </c>
      <c r="E47" s="39">
        <v>30</v>
      </c>
      <c r="F47" s="39">
        <v>100</v>
      </c>
      <c r="G47" s="40">
        <f>B47*Assumptions!$C$19*365*24*Assumptions!$D$26*1000/(Assumptions!$G$14*0.001) /10^9</f>
        <v>11.502397866094725</v>
      </c>
      <c r="H47" s="40">
        <f>C47*Assumptions!$C$20*365*24*Assumptions!$D$30*1000/(Assumptions!$G$14*0.001) /10^9</f>
        <v>61.330980044057263</v>
      </c>
      <c r="I47" s="40">
        <f>E47*Assumptions!$C$46/(Assumptions!$G$14*0.001) /10^9</f>
        <v>1.326371222893016</v>
      </c>
      <c r="J47" s="40">
        <f>D47*Assumptions!$C$56/(Assumptions!$G$14*0.001) /10^9</f>
        <v>1.6453707499289663</v>
      </c>
      <c r="K47" s="40">
        <f>F47*Assumptions!$C$65/(Assumptions!$G$14*0.001) /10^9</f>
        <v>4.1756131091076423</v>
      </c>
      <c r="L47" s="47">
        <f>4*Assumptions!$C$10/Assumptions!$G$14</f>
        <v>3.5850379503898764</v>
      </c>
      <c r="M47" s="45">
        <v>70.930000000000007</v>
      </c>
      <c r="N47" s="39">
        <v>73</v>
      </c>
      <c r="O47" s="44">
        <f>N47*Assumptions!$C$97/(Assumptions!$G$16*0.001) /10^9*M47/100</f>
        <v>21.773490124577496</v>
      </c>
      <c r="P47" s="48">
        <f>Assumptions!$C$116*Assumptions!$C$113/(Assumptions!$G$16*0.001) /10^9</f>
        <v>2.6088428438793594</v>
      </c>
      <c r="Q47" s="42">
        <f t="shared" si="6"/>
        <v>107.94810391092835</v>
      </c>
      <c r="S47" s="29" t="str">
        <f t="shared" si="7"/>
        <v>(390,33,30,100,73,0.71)</v>
      </c>
    </row>
    <row r="48" spans="2:19">
      <c r="B48" s="38">
        <v>12</v>
      </c>
      <c r="C48" s="39">
        <v>390</v>
      </c>
      <c r="D48" s="39">
        <v>33</v>
      </c>
      <c r="E48" s="39">
        <v>40</v>
      </c>
      <c r="F48" s="39">
        <v>100</v>
      </c>
      <c r="G48" s="40">
        <f>B48*Assumptions!$C$19*365*24*Assumptions!$D$26*1000/(Assumptions!$G$14*0.001) /10^9</f>
        <v>11.502397866094725</v>
      </c>
      <c r="H48" s="40">
        <f>C48*Assumptions!$C$20*365*24*Assumptions!$D$30*1000/(Assumptions!$G$14*0.001) /10^9</f>
        <v>61.330980044057263</v>
      </c>
      <c r="I48" s="40">
        <f>E48*Assumptions!$C$46/(Assumptions!$G$14*0.001) /10^9</f>
        <v>1.7684949638573544</v>
      </c>
      <c r="J48" s="40">
        <f>D48*Assumptions!$C$56/(Assumptions!$G$14*0.001) /10^9</f>
        <v>1.6453707499289663</v>
      </c>
      <c r="K48" s="40">
        <f>F48*Assumptions!$C$65/(Assumptions!$G$14*0.001) /10^9</f>
        <v>4.1756131091076423</v>
      </c>
      <c r="L48" s="47">
        <f>4*Assumptions!$C$10/Assumptions!$G$14</f>
        <v>3.5850379503898764</v>
      </c>
      <c r="M48" s="45">
        <v>73.88</v>
      </c>
      <c r="N48" s="39">
        <v>70</v>
      </c>
      <c r="O48" s="44">
        <f>N48*Assumptions!$C$97/(Assumptions!$G$16*0.001) /10^9*M48/100</f>
        <v>21.747040112529422</v>
      </c>
      <c r="P48" s="48">
        <f>Assumptions!$C$116*Assumptions!$C$113/(Assumptions!$G$16*0.001) /10^9</f>
        <v>2.6088428438793594</v>
      </c>
      <c r="Q48" s="42">
        <f t="shared" si="6"/>
        <v>108.36377763984461</v>
      </c>
      <c r="S48" s="29" t="str">
        <f t="shared" si="7"/>
        <v>(390,33,40,100,70,0.74)</v>
      </c>
    </row>
    <row r="49" spans="2:19">
      <c r="B49" s="38">
        <v>12</v>
      </c>
      <c r="C49" s="39">
        <v>390</v>
      </c>
      <c r="D49" s="39">
        <v>33</v>
      </c>
      <c r="E49" s="39">
        <v>50</v>
      </c>
      <c r="F49" s="39">
        <v>100</v>
      </c>
      <c r="G49" s="40">
        <f>B49*Assumptions!$C$19*365*24*Assumptions!$D$26*1000/(Assumptions!$G$14*0.001) /10^9</f>
        <v>11.502397866094725</v>
      </c>
      <c r="H49" s="40">
        <f>C49*Assumptions!$C$20*365*24*Assumptions!$D$30*1000/(Assumptions!$G$14*0.001) /10^9</f>
        <v>61.330980044057263</v>
      </c>
      <c r="I49" s="40">
        <f>E49*Assumptions!$C$46/(Assumptions!$G$14*0.001) /10^9</f>
        <v>2.2106187048216932</v>
      </c>
      <c r="J49" s="40">
        <f>D49*Assumptions!$C$56/(Assumptions!$G$14*0.001) /10^9</f>
        <v>1.6453707499289663</v>
      </c>
      <c r="K49" s="40">
        <f>F49*Assumptions!$C$65/(Assumptions!$G$14*0.001) /10^9</f>
        <v>4.1756131091076423</v>
      </c>
      <c r="L49" s="47">
        <f>4*Assumptions!$C$10/Assumptions!$G$14</f>
        <v>3.5850379503898764</v>
      </c>
      <c r="M49" s="45">
        <v>75.47</v>
      </c>
      <c r="N49" s="39">
        <v>67</v>
      </c>
      <c r="O49" s="44">
        <f>N49*Assumptions!$C$97/(Assumptions!$G$16*0.001) /10^9*M49/100</f>
        <v>21.262992276781635</v>
      </c>
      <c r="P49" s="48">
        <f>Assumptions!$C$116*Assumptions!$C$113/(Assumptions!$G$16*0.001) /10^9</f>
        <v>2.6088428438793594</v>
      </c>
      <c r="Q49" s="42">
        <f t="shared" si="6"/>
        <v>108.32185354506117</v>
      </c>
      <c r="S49" s="29" t="str">
        <f t="shared" si="7"/>
        <v>(390,33,50,100,67,0.75)</v>
      </c>
    </row>
    <row r="50" spans="2:19">
      <c r="B50" s="38">
        <v>12</v>
      </c>
      <c r="C50" s="39">
        <v>390</v>
      </c>
      <c r="D50" s="39">
        <v>33</v>
      </c>
      <c r="E50" s="39">
        <v>60</v>
      </c>
      <c r="F50" s="39">
        <v>100</v>
      </c>
      <c r="G50" s="40">
        <f>B50*Assumptions!$C$19*365*24*Assumptions!$D$26*1000/(Assumptions!$G$14*0.001) /10^9</f>
        <v>11.502397866094725</v>
      </c>
      <c r="H50" s="40">
        <f>C50*Assumptions!$C$20*365*24*Assumptions!$D$30*1000/(Assumptions!$G$14*0.001) /10^9</f>
        <v>61.330980044057263</v>
      </c>
      <c r="I50" s="40">
        <f>E50*Assumptions!$C$46/(Assumptions!$G$14*0.001) /10^9</f>
        <v>2.652742445786032</v>
      </c>
      <c r="J50" s="40">
        <f>D50*Assumptions!$C$56/(Assumptions!$G$14*0.001) /10^9</f>
        <v>1.6453707499289663</v>
      </c>
      <c r="K50" s="40">
        <f>F50*Assumptions!$C$65/(Assumptions!$G$14*0.001) /10^9</f>
        <v>4.1756131091076423</v>
      </c>
      <c r="L50" s="47">
        <f>4*Assumptions!$C$10/Assumptions!$G$14</f>
        <v>3.5850379503898764</v>
      </c>
      <c r="M50" s="45">
        <v>76.34</v>
      </c>
      <c r="N50" s="39">
        <v>66</v>
      </c>
      <c r="O50" s="44">
        <f>N50*Assumptions!$C$97/(Assumptions!$G$16*0.001) /10^9*M50/100</f>
        <v>21.187090413909186</v>
      </c>
      <c r="P50" s="48">
        <f>Assumptions!$C$116*Assumptions!$C$113/(Assumptions!$G$16*0.001) /10^9</f>
        <v>2.6088428438793594</v>
      </c>
      <c r="Q50" s="42">
        <f t="shared" si="6"/>
        <v>108.68807542315307</v>
      </c>
      <c r="S50" s="29" t="str">
        <f t="shared" si="7"/>
        <v>(390,33,60,100,66,0.76)</v>
      </c>
    </row>
    <row r="51" spans="2:19">
      <c r="B51" s="38">
        <v>12</v>
      </c>
      <c r="C51" s="39">
        <v>390</v>
      </c>
      <c r="D51" s="39">
        <v>33</v>
      </c>
      <c r="E51" s="39">
        <v>70</v>
      </c>
      <c r="F51" s="39">
        <v>100</v>
      </c>
      <c r="G51" s="40">
        <f>B51*Assumptions!$C$19*365*24*Assumptions!$D$26*1000/(Assumptions!$G$14*0.001) /10^9</f>
        <v>11.502397866094725</v>
      </c>
      <c r="H51" s="40">
        <f>C51*Assumptions!$C$20*365*24*Assumptions!$D$30*1000/(Assumptions!$G$14*0.001) /10^9</f>
        <v>61.330980044057263</v>
      </c>
      <c r="I51" s="40">
        <f>E51*Assumptions!$C$46/(Assumptions!$G$14*0.001) /10^9</f>
        <v>3.0948661867503704</v>
      </c>
      <c r="J51" s="40">
        <f>D51*Assumptions!$C$56/(Assumptions!$G$14*0.001) /10^9</f>
        <v>1.6453707499289663</v>
      </c>
      <c r="K51" s="40">
        <f>F51*Assumptions!$C$65/(Assumptions!$G$14*0.001) /10^9</f>
        <v>4.1756131091076423</v>
      </c>
      <c r="L51" s="47">
        <f>4*Assumptions!$C$10/Assumptions!$G$14</f>
        <v>3.5850379503898764</v>
      </c>
      <c r="M51" s="45">
        <v>76.89</v>
      </c>
      <c r="N51" s="39">
        <v>66</v>
      </c>
      <c r="O51" s="44">
        <f>N51*Assumptions!$C$97/(Assumptions!$G$16*0.001) /10^9*M51/100</f>
        <v>21.339735157525247</v>
      </c>
      <c r="P51" s="48">
        <f>Assumptions!$C$116*Assumptions!$C$113/(Assumptions!$G$16*0.001) /10^9</f>
        <v>2.6088428438793594</v>
      </c>
      <c r="Q51" s="42">
        <f t="shared" si="6"/>
        <v>109.28284390773345</v>
      </c>
      <c r="S51" s="29" t="str">
        <f t="shared" si="7"/>
        <v>(390,33,70,100,66,0.77)</v>
      </c>
    </row>
    <row r="52" spans="2:19">
      <c r="B52" s="38">
        <v>12</v>
      </c>
      <c r="C52" s="39">
        <v>390</v>
      </c>
      <c r="D52" s="39">
        <v>33</v>
      </c>
      <c r="E52" s="39">
        <v>80</v>
      </c>
      <c r="F52" s="39">
        <v>100</v>
      </c>
      <c r="G52" s="40">
        <f>B52*Assumptions!$C$19*365*24*Assumptions!$D$26*1000/(Assumptions!$G$14*0.001) /10^9</f>
        <v>11.502397866094725</v>
      </c>
      <c r="H52" s="40">
        <f>C52*Assumptions!$C$20*365*24*Assumptions!$D$30*1000/(Assumptions!$G$14*0.001) /10^9</f>
        <v>61.330980044057263</v>
      </c>
      <c r="I52" s="40">
        <f>E52*Assumptions!$C$46/(Assumptions!$G$14*0.001) /10^9</f>
        <v>3.5369899277147088</v>
      </c>
      <c r="J52" s="40">
        <f>D52*Assumptions!$C$56/(Assumptions!$G$14*0.001) /10^9</f>
        <v>1.6453707499289663</v>
      </c>
      <c r="K52" s="40">
        <f>F52*Assumptions!$C$65/(Assumptions!$G$14*0.001) /10^9</f>
        <v>4.1756131091076423</v>
      </c>
      <c r="L52" s="47">
        <f>4*Assumptions!$C$10/Assumptions!$G$14</f>
        <v>3.5850379503898764</v>
      </c>
      <c r="M52" s="45">
        <v>77.13</v>
      </c>
      <c r="N52" s="39">
        <v>66</v>
      </c>
      <c r="O52" s="44">
        <f>N52*Assumptions!$C$97/(Assumptions!$G$16*0.001) /10^9*M52/100</f>
        <v>21.406343772921343</v>
      </c>
      <c r="P52" s="48">
        <f>Assumptions!$C$116*Assumptions!$C$113/(Assumptions!$G$16*0.001) /10^9</f>
        <v>2.6088428438793594</v>
      </c>
      <c r="Q52" s="42">
        <f t="shared" si="6"/>
        <v>109.79157626409391</v>
      </c>
      <c r="S52" s="29" t="str">
        <f t="shared" si="7"/>
        <v>(390,33,80,100,66,0.77)</v>
      </c>
    </row>
    <row r="53" spans="2:19">
      <c r="B53" s="38">
        <v>12</v>
      </c>
      <c r="C53" s="39">
        <v>390</v>
      </c>
      <c r="D53" s="39">
        <v>33</v>
      </c>
      <c r="E53" s="39">
        <v>90</v>
      </c>
      <c r="F53" s="39">
        <v>100</v>
      </c>
      <c r="G53" s="40">
        <f>B53*Assumptions!$C$19*365*24*Assumptions!$D$26*1000/(Assumptions!$G$14*0.001) /10^9</f>
        <v>11.502397866094725</v>
      </c>
      <c r="H53" s="40">
        <f>C53*Assumptions!$C$20*365*24*Assumptions!$D$30*1000/(Assumptions!$G$14*0.001) /10^9</f>
        <v>61.330980044057263</v>
      </c>
      <c r="I53" s="40">
        <f>E53*Assumptions!$C$46/(Assumptions!$G$14*0.001) /10^9</f>
        <v>3.979113668679048</v>
      </c>
      <c r="J53" s="40">
        <f>D53*Assumptions!$C$56/(Assumptions!$G$14*0.001) /10^9</f>
        <v>1.6453707499289663</v>
      </c>
      <c r="K53" s="40">
        <f>F53*Assumptions!$C$65/(Assumptions!$G$14*0.001) /10^9</f>
        <v>4.1756131091076423</v>
      </c>
      <c r="L53" s="47">
        <f>4*Assumptions!$C$10/Assumptions!$G$14</f>
        <v>3.5850379503898764</v>
      </c>
      <c r="M53" s="45">
        <v>77.39</v>
      </c>
      <c r="N53" s="39">
        <v>65</v>
      </c>
      <c r="O53" s="44">
        <f>N53*Assumptions!$C$97/(Assumptions!$G$16*0.001) /10^9*M53/100</f>
        <v>21.153071241020651</v>
      </c>
      <c r="P53" s="48">
        <f>Assumptions!$C$116*Assumptions!$C$113/(Assumptions!$G$16*0.001) /10^9</f>
        <v>2.6088428438793594</v>
      </c>
      <c r="Q53" s="42">
        <f t="shared" si="6"/>
        <v>109.98042747315755</v>
      </c>
      <c r="S53" s="29" t="str">
        <f t="shared" si="7"/>
        <v>(390,33,90,100,65,0.77)</v>
      </c>
    </row>
    <row r="54" spans="2:19">
      <c r="B54" s="38">
        <v>12</v>
      </c>
      <c r="C54" s="39">
        <v>390</v>
      </c>
      <c r="D54" s="39">
        <v>33</v>
      </c>
      <c r="E54" s="39">
        <v>100</v>
      </c>
      <c r="F54" s="39">
        <v>100</v>
      </c>
      <c r="G54" s="40">
        <f>B54*Assumptions!$C$19*365*24*Assumptions!$D$26*1000/(Assumptions!$G$14*0.001) /10^9</f>
        <v>11.502397866094725</v>
      </c>
      <c r="H54" s="40">
        <f>C54*Assumptions!$C$20*365*24*Assumptions!$D$30*1000/(Assumptions!$G$14*0.001) /10^9</f>
        <v>61.330980044057263</v>
      </c>
      <c r="I54" s="40">
        <f>E54*Assumptions!$C$46/(Assumptions!$G$14*0.001) /10^9</f>
        <v>4.4212374096433864</v>
      </c>
      <c r="J54" s="40">
        <f>D54*Assumptions!$C$56/(Assumptions!$G$14*0.001) /10^9</f>
        <v>1.6453707499289663</v>
      </c>
      <c r="K54" s="40">
        <f>F54*Assumptions!$C$65/(Assumptions!$G$14*0.001) /10^9</f>
        <v>4.1756131091076423</v>
      </c>
      <c r="L54" s="47">
        <f>4*Assumptions!$C$10/Assumptions!$G$14</f>
        <v>3.5850379503898764</v>
      </c>
      <c r="M54" s="45">
        <v>77.53</v>
      </c>
      <c r="N54" s="39">
        <v>65</v>
      </c>
      <c r="O54" s="44">
        <f>N54*Assumptions!$C$97/(Assumptions!$G$16*0.001) /10^9*M54/100</f>
        <v>21.191337554158562</v>
      </c>
      <c r="P54" s="48">
        <f>Assumptions!$C$116*Assumptions!$C$113/(Assumptions!$G$16*0.001) /10^9</f>
        <v>2.6088428438793594</v>
      </c>
      <c r="Q54" s="42">
        <f t="shared" si="6"/>
        <v>110.46081752725979</v>
      </c>
      <c r="S54" s="29" t="str">
        <f t="shared" si="7"/>
        <v>(390,33,100,100,65,0.78)</v>
      </c>
    </row>
    <row r="55" spans="2:19">
      <c r="B55" s="38">
        <v>12</v>
      </c>
      <c r="C55" s="39">
        <v>400</v>
      </c>
      <c r="D55" s="39">
        <v>32</v>
      </c>
      <c r="E55" s="39">
        <v>20</v>
      </c>
      <c r="F55" s="39">
        <v>100</v>
      </c>
      <c r="G55" s="40">
        <f>B55*Assumptions!$C$19*365*24*Assumptions!$D$26*1000/(Assumptions!$G$14*0.001) /10^9</f>
        <v>11.502397866094725</v>
      </c>
      <c r="H55" s="40">
        <f>C55*Assumptions!$C$20*365*24*Assumptions!$D$30*1000/(Assumptions!$G$14*0.001) /10^9</f>
        <v>62.903569275956158</v>
      </c>
      <c r="I55" s="40">
        <f>E55*Assumptions!$C$46/(Assumptions!$G$14*0.001) /10^9</f>
        <v>0.88424748192867719</v>
      </c>
      <c r="J55" s="40">
        <f>D55*Assumptions!$C$56/(Assumptions!$G$14*0.001) /10^9</f>
        <v>1.5955110302341491</v>
      </c>
      <c r="K55" s="40">
        <f>F55*Assumptions!$C$65/(Assumptions!$G$14*0.001) /10^9</f>
        <v>4.1756131091076423</v>
      </c>
      <c r="L55" s="47">
        <f>4*Assumptions!$C$10/Assumptions!$G$14</f>
        <v>3.5850379503898764</v>
      </c>
      <c r="M55" s="45">
        <v>67.069999999999993</v>
      </c>
      <c r="N55" s="39">
        <v>78</v>
      </c>
      <c r="O55" s="44">
        <f>N55*Assumptions!$C$97/(Assumptions!$G$16*0.001) /10^9*M55/100</f>
        <v>21.998756761368469</v>
      </c>
      <c r="P55" s="48">
        <f>Assumptions!$C$116*Assumptions!$C$113/(Assumptions!$G$16*0.001) /10^9</f>
        <v>2.6088428438793594</v>
      </c>
      <c r="Q55" s="42">
        <f t="shared" si="6"/>
        <v>109.25397631895906</v>
      </c>
      <c r="S55" s="29" t="str">
        <f t="shared" si="7"/>
        <v>(400,32,20,100,78,0.67)</v>
      </c>
    </row>
    <row r="56" spans="2:19">
      <c r="B56" s="38">
        <v>12</v>
      </c>
      <c r="C56" s="39">
        <v>400</v>
      </c>
      <c r="D56" s="39">
        <v>32</v>
      </c>
      <c r="E56" s="39">
        <v>30</v>
      </c>
      <c r="F56" s="39">
        <v>100</v>
      </c>
      <c r="G56" s="40">
        <f>B56*Assumptions!$C$19*365*24*Assumptions!$D$26*1000/(Assumptions!$G$14*0.001) /10^9</f>
        <v>11.502397866094725</v>
      </c>
      <c r="H56" s="40">
        <f>C56*Assumptions!$C$20*365*24*Assumptions!$D$30*1000/(Assumptions!$G$14*0.001) /10^9</f>
        <v>62.903569275956158</v>
      </c>
      <c r="I56" s="40">
        <f>E56*Assumptions!$C$46/(Assumptions!$G$14*0.001) /10^9</f>
        <v>1.326371222893016</v>
      </c>
      <c r="J56" s="40">
        <f>D56*Assumptions!$C$56/(Assumptions!$G$14*0.001) /10^9</f>
        <v>1.5955110302341491</v>
      </c>
      <c r="K56" s="40">
        <f>F56*Assumptions!$C$65/(Assumptions!$G$14*0.001) /10^9</f>
        <v>4.1756131091076423</v>
      </c>
      <c r="L56" s="47">
        <f>4*Assumptions!$C$10/Assumptions!$G$14</f>
        <v>3.5850379503898764</v>
      </c>
      <c r="M56" s="45">
        <v>73.14</v>
      </c>
      <c r="N56" s="39">
        <v>69</v>
      </c>
      <c r="O56" s="44">
        <f>N56*Assumptions!$C$97/(Assumptions!$G$16*0.001) /10^9*M56/100</f>
        <v>21.221656248413979</v>
      </c>
      <c r="P56" s="48">
        <f>Assumptions!$C$116*Assumptions!$C$113/(Assumptions!$G$16*0.001) /10^9</f>
        <v>2.6088428438793594</v>
      </c>
      <c r="Q56" s="42">
        <f t="shared" si="6"/>
        <v>108.91899954696891</v>
      </c>
      <c r="S56" s="29" t="str">
        <f t="shared" si="7"/>
        <v>(400,32,30,100,69,0.73)</v>
      </c>
    </row>
    <row r="57" spans="2:19">
      <c r="B57" s="38">
        <v>12</v>
      </c>
      <c r="C57" s="39">
        <v>400</v>
      </c>
      <c r="D57" s="39">
        <v>32</v>
      </c>
      <c r="E57" s="39">
        <v>40</v>
      </c>
      <c r="F57" s="39">
        <v>100</v>
      </c>
      <c r="G57" s="40">
        <f>B57*Assumptions!$C$19*365*24*Assumptions!$D$26*1000/(Assumptions!$G$14*0.001) /10^9</f>
        <v>11.502397866094725</v>
      </c>
      <c r="H57" s="40">
        <f>C57*Assumptions!$C$20*365*24*Assumptions!$D$30*1000/(Assumptions!$G$14*0.001) /10^9</f>
        <v>62.903569275956158</v>
      </c>
      <c r="I57" s="40">
        <f>E57*Assumptions!$C$46/(Assumptions!$G$14*0.001) /10^9</f>
        <v>1.7684949638573544</v>
      </c>
      <c r="J57" s="40">
        <f>D57*Assumptions!$C$56/(Assumptions!$G$14*0.001) /10^9</f>
        <v>1.5955110302341491</v>
      </c>
      <c r="K57" s="40">
        <f>F57*Assumptions!$C$65/(Assumptions!$G$14*0.001) /10^9</f>
        <v>4.1756131091076423</v>
      </c>
      <c r="L57" s="47">
        <f>4*Assumptions!$C$10/Assumptions!$G$14</f>
        <v>3.5850379503898764</v>
      </c>
      <c r="M57" s="45">
        <v>75.89</v>
      </c>
      <c r="N57" s="39">
        <v>66</v>
      </c>
      <c r="O57" s="44">
        <f>N57*Assumptions!$C$97/(Assumptions!$G$16*0.001) /10^9*M57/100</f>
        <v>21.062199260041499</v>
      </c>
      <c r="P57" s="48">
        <f>Assumptions!$C$116*Assumptions!$C$113/(Assumptions!$G$16*0.001) /10^9</f>
        <v>2.6088428438793594</v>
      </c>
      <c r="Q57" s="42">
        <f t="shared" si="6"/>
        <v>109.20166629956076</v>
      </c>
      <c r="S57" s="29" t="str">
        <f t="shared" si="7"/>
        <v>(400,32,40,100,66,0.76)</v>
      </c>
    </row>
    <row r="58" spans="2:19">
      <c r="B58" s="38">
        <v>12</v>
      </c>
      <c r="C58" s="39">
        <v>400</v>
      </c>
      <c r="D58" s="39">
        <v>32</v>
      </c>
      <c r="E58" s="39">
        <v>50</v>
      </c>
      <c r="F58" s="39">
        <v>100</v>
      </c>
      <c r="G58" s="40">
        <f>B58*Assumptions!$C$19*365*24*Assumptions!$D$26*1000/(Assumptions!$G$14*0.001) /10^9</f>
        <v>11.502397866094725</v>
      </c>
      <c r="H58" s="40">
        <f>C58*Assumptions!$C$20*365*24*Assumptions!$D$30*1000/(Assumptions!$G$14*0.001) /10^9</f>
        <v>62.903569275956158</v>
      </c>
      <c r="I58" s="40">
        <f>E58*Assumptions!$C$46/(Assumptions!$G$14*0.001) /10^9</f>
        <v>2.2106187048216932</v>
      </c>
      <c r="J58" s="40">
        <f>D58*Assumptions!$C$56/(Assumptions!$G$14*0.001) /10^9</f>
        <v>1.5955110302341491</v>
      </c>
      <c r="K58" s="40">
        <f>F58*Assumptions!$C$65/(Assumptions!$G$14*0.001) /10^9</f>
        <v>4.1756131091076423</v>
      </c>
      <c r="L58" s="47">
        <f>4*Assumptions!$C$10/Assumptions!$G$14</f>
        <v>3.5850379503898764</v>
      </c>
      <c r="M58" s="45">
        <v>77.33</v>
      </c>
      <c r="N58" s="39">
        <v>64</v>
      </c>
      <c r="O58" s="44">
        <f>N58*Assumptions!$C$97/(Assumptions!$G$16*0.001) /10^9*M58/100</f>
        <v>20.81149183264785</v>
      </c>
      <c r="P58" s="48">
        <f>Assumptions!$C$116*Assumptions!$C$113/(Assumptions!$G$16*0.001) /10^9</f>
        <v>2.6088428438793594</v>
      </c>
      <c r="Q58" s="42">
        <f t="shared" si="6"/>
        <v>109.39308261313145</v>
      </c>
      <c r="S58" s="29" t="str">
        <f t="shared" si="7"/>
        <v>(400,32,50,100,64,0.77)</v>
      </c>
    </row>
    <row r="59" spans="2:19">
      <c r="B59" s="38">
        <v>12</v>
      </c>
      <c r="C59" s="39">
        <v>400</v>
      </c>
      <c r="D59" s="39">
        <v>32</v>
      </c>
      <c r="E59" s="39">
        <v>60</v>
      </c>
      <c r="F59" s="39">
        <v>100</v>
      </c>
      <c r="G59" s="40">
        <f>B59*Assumptions!$C$19*365*24*Assumptions!$D$26*1000/(Assumptions!$G$14*0.001) /10^9</f>
        <v>11.502397866094725</v>
      </c>
      <c r="H59" s="40">
        <f>C59*Assumptions!$C$20*365*24*Assumptions!$D$30*1000/(Assumptions!$G$14*0.001) /10^9</f>
        <v>62.903569275956158</v>
      </c>
      <c r="I59" s="40">
        <f>E59*Assumptions!$C$46/(Assumptions!$G$14*0.001) /10^9</f>
        <v>2.652742445786032</v>
      </c>
      <c r="J59" s="40">
        <f>D59*Assumptions!$C$56/(Assumptions!$G$14*0.001) /10^9</f>
        <v>1.5955110302341491</v>
      </c>
      <c r="K59" s="40">
        <f>F59*Assumptions!$C$65/(Assumptions!$G$14*0.001) /10^9</f>
        <v>4.1756131091076423</v>
      </c>
      <c r="L59" s="47">
        <f>4*Assumptions!$C$10/Assumptions!$G$14</f>
        <v>3.5850379503898764</v>
      </c>
      <c r="M59" s="45">
        <v>78.12</v>
      </c>
      <c r="N59" s="39">
        <v>63</v>
      </c>
      <c r="O59" s="44">
        <f>N59*Assumptions!$C$97/(Assumptions!$G$16*0.001) /10^9*M59/100</f>
        <v>20.695599570001608</v>
      </c>
      <c r="P59" s="48">
        <f>Assumptions!$C$116*Assumptions!$C$113/(Assumptions!$G$16*0.001) /10^9</f>
        <v>2.6088428438793594</v>
      </c>
      <c r="Q59" s="42">
        <f t="shared" si="6"/>
        <v>109.71931409144955</v>
      </c>
      <c r="S59" s="29" t="str">
        <f t="shared" si="7"/>
        <v>(400,32,60,100,63,0.78)</v>
      </c>
    </row>
    <row r="60" spans="2:19">
      <c r="B60" s="38">
        <v>12</v>
      </c>
      <c r="C60" s="39">
        <v>400</v>
      </c>
      <c r="D60" s="39">
        <v>32</v>
      </c>
      <c r="E60" s="39">
        <v>70</v>
      </c>
      <c r="F60" s="39">
        <v>100</v>
      </c>
      <c r="G60" s="40">
        <f>B60*Assumptions!$C$19*365*24*Assumptions!$D$26*1000/(Assumptions!$G$14*0.001) /10^9</f>
        <v>11.502397866094725</v>
      </c>
      <c r="H60" s="40">
        <f>C60*Assumptions!$C$20*365*24*Assumptions!$D$30*1000/(Assumptions!$G$14*0.001) /10^9</f>
        <v>62.903569275956158</v>
      </c>
      <c r="I60" s="40">
        <f>E60*Assumptions!$C$46/(Assumptions!$G$14*0.001) /10^9</f>
        <v>3.0948661867503704</v>
      </c>
      <c r="J60" s="40">
        <f>D60*Assumptions!$C$56/(Assumptions!$G$14*0.001) /10^9</f>
        <v>1.5955110302341491</v>
      </c>
      <c r="K60" s="40">
        <f>F60*Assumptions!$C$65/(Assumptions!$G$14*0.001) /10^9</f>
        <v>4.1756131091076423</v>
      </c>
      <c r="L60" s="47">
        <f>4*Assumptions!$C$10/Assumptions!$G$14</f>
        <v>3.5850379503898764</v>
      </c>
      <c r="M60" s="45">
        <v>78.569999999999993</v>
      </c>
      <c r="N60" s="39">
        <v>63</v>
      </c>
      <c r="O60" s="44">
        <f>N60*Assumptions!$C$97/(Assumptions!$G$16*0.001) /10^9*M60/100</f>
        <v>20.814813853238942</v>
      </c>
      <c r="P60" s="48">
        <f>Assumptions!$C$116*Assumptions!$C$113/(Assumptions!$G$16*0.001) /10^9</f>
        <v>2.6088428438793594</v>
      </c>
      <c r="Q60" s="42">
        <f t="shared" si="6"/>
        <v>110.28065211565122</v>
      </c>
      <c r="S60" s="29" t="str">
        <f t="shared" si="7"/>
        <v>(400,32,70,100,63,0.79)</v>
      </c>
    </row>
    <row r="61" spans="2:19">
      <c r="B61" s="38">
        <v>12</v>
      </c>
      <c r="C61" s="39">
        <v>400</v>
      </c>
      <c r="D61" s="39">
        <v>32</v>
      </c>
      <c r="E61" s="39">
        <v>80</v>
      </c>
      <c r="F61" s="39">
        <v>100</v>
      </c>
      <c r="G61" s="40">
        <f>B61*Assumptions!$C$19*365*24*Assumptions!$D$26*1000/(Assumptions!$G$14*0.001) /10^9</f>
        <v>11.502397866094725</v>
      </c>
      <c r="H61" s="40">
        <f>C61*Assumptions!$C$20*365*24*Assumptions!$D$30*1000/(Assumptions!$G$14*0.001) /10^9</f>
        <v>62.903569275956158</v>
      </c>
      <c r="I61" s="40">
        <f>E61*Assumptions!$C$46/(Assumptions!$G$14*0.001) /10^9</f>
        <v>3.5369899277147088</v>
      </c>
      <c r="J61" s="40">
        <f>D61*Assumptions!$C$56/(Assumptions!$G$14*0.001) /10^9</f>
        <v>1.5955110302341491</v>
      </c>
      <c r="K61" s="40">
        <f>F61*Assumptions!$C$65/(Assumptions!$G$14*0.001) /10^9</f>
        <v>4.1756131091076423</v>
      </c>
      <c r="L61" s="47">
        <f>4*Assumptions!$C$10/Assumptions!$G$14</f>
        <v>3.5850379503898764</v>
      </c>
      <c r="M61" s="45">
        <v>78.819999999999993</v>
      </c>
      <c r="N61" s="39">
        <v>63</v>
      </c>
      <c r="O61" s="44">
        <f>N61*Assumptions!$C$97/(Assumptions!$G$16*0.001) /10^9*M61/100</f>
        <v>20.881044010593019</v>
      </c>
      <c r="P61" s="48">
        <f>Assumptions!$C$116*Assumptions!$C$113/(Assumptions!$G$16*0.001) /10^9</f>
        <v>2.6088428438793594</v>
      </c>
      <c r="Q61" s="42">
        <f t="shared" si="6"/>
        <v>110.78900601396964</v>
      </c>
      <c r="S61" s="29" t="str">
        <f t="shared" si="7"/>
        <v>(400,32,80,100,63,0.79)</v>
      </c>
    </row>
    <row r="62" spans="2:19">
      <c r="B62" s="38">
        <v>12</v>
      </c>
      <c r="C62" s="39">
        <v>400</v>
      </c>
      <c r="D62" s="39">
        <v>32</v>
      </c>
      <c r="E62" s="39">
        <v>90</v>
      </c>
      <c r="F62" s="39">
        <v>100</v>
      </c>
      <c r="G62" s="40">
        <f>B62*Assumptions!$C$19*365*24*Assumptions!$D$26*1000/(Assumptions!$G$14*0.001) /10^9</f>
        <v>11.502397866094725</v>
      </c>
      <c r="H62" s="40">
        <f>C62*Assumptions!$C$20*365*24*Assumptions!$D$30*1000/(Assumptions!$G$14*0.001) /10^9</f>
        <v>62.903569275956158</v>
      </c>
      <c r="I62" s="40">
        <f>E62*Assumptions!$C$46/(Assumptions!$G$14*0.001) /10^9</f>
        <v>3.979113668679048</v>
      </c>
      <c r="J62" s="40">
        <f>D62*Assumptions!$C$56/(Assumptions!$G$14*0.001) /10^9</f>
        <v>1.5955110302341491</v>
      </c>
      <c r="K62" s="40">
        <f>F62*Assumptions!$C$65/(Assumptions!$G$14*0.001) /10^9</f>
        <v>4.1756131091076423</v>
      </c>
      <c r="L62" s="47">
        <f>4*Assumptions!$C$10/Assumptions!$G$14</f>
        <v>3.5850379503898764</v>
      </c>
      <c r="M62" s="45">
        <v>79.099999999999994</v>
      </c>
      <c r="N62" s="39">
        <v>63</v>
      </c>
      <c r="O62" s="44">
        <f>N62*Assumptions!$C$97/(Assumptions!$G$16*0.001) /10^9*M62/100</f>
        <v>20.955221786829583</v>
      </c>
      <c r="P62" s="48">
        <f>Assumptions!$C$116*Assumptions!$C$113/(Assumptions!$G$16*0.001) /10^9</f>
        <v>2.6088428438793594</v>
      </c>
      <c r="Q62" s="42">
        <f t="shared" si="6"/>
        <v>111.30530753117054</v>
      </c>
      <c r="S62" s="29" t="str">
        <f t="shared" si="7"/>
        <v>(400,32,90,100,63,0.79)</v>
      </c>
    </row>
    <row r="63" spans="2:19">
      <c r="B63" s="38">
        <v>12</v>
      </c>
      <c r="C63" s="39">
        <v>400</v>
      </c>
      <c r="D63" s="39">
        <v>32</v>
      </c>
      <c r="E63" s="39">
        <v>100</v>
      </c>
      <c r="F63" s="39">
        <v>100</v>
      </c>
      <c r="G63" s="40">
        <f>B63*Assumptions!$C$19*365*24*Assumptions!$D$26*1000/(Assumptions!$G$14*0.001) /10^9</f>
        <v>11.502397866094725</v>
      </c>
      <c r="H63" s="40">
        <f>C63*Assumptions!$C$20*365*24*Assumptions!$D$30*1000/(Assumptions!$G$14*0.001) /10^9</f>
        <v>62.903569275956158</v>
      </c>
      <c r="I63" s="40">
        <f>E63*Assumptions!$C$46/(Assumptions!$G$14*0.001) /10^9</f>
        <v>4.4212374096433864</v>
      </c>
      <c r="J63" s="40">
        <f>D63*Assumptions!$C$56/(Assumptions!$G$14*0.001) /10^9</f>
        <v>1.5955110302341491</v>
      </c>
      <c r="K63" s="40">
        <f>F63*Assumptions!$C$65/(Assumptions!$G$14*0.001) /10^9</f>
        <v>4.1756131091076423</v>
      </c>
      <c r="L63" s="47">
        <f>4*Assumptions!$C$10/Assumptions!$G$14</f>
        <v>3.5850379503898764</v>
      </c>
      <c r="M63" s="45">
        <v>79.180000000000007</v>
      </c>
      <c r="N63" s="39">
        <v>62</v>
      </c>
      <c r="O63" s="44">
        <f>N63*Assumptions!$C$97/(Assumptions!$G$16*0.001) /10^9*M63/100</f>
        <v>20.643456461989512</v>
      </c>
      <c r="P63" s="48">
        <f>Assumptions!$C$116*Assumptions!$C$113/(Assumptions!$G$16*0.001) /10^9</f>
        <v>2.6088428438793594</v>
      </c>
      <c r="Q63" s="42">
        <f t="shared" si="6"/>
        <v>111.43566594729481</v>
      </c>
      <c r="S63" s="29" t="str">
        <f t="shared" si="7"/>
        <v>(400,32,100,100,62,0.79)</v>
      </c>
    </row>
    <row r="64" spans="2:19">
      <c r="B64" s="38">
        <v>12</v>
      </c>
      <c r="C64" s="39">
        <v>410</v>
      </c>
      <c r="D64" s="39">
        <v>31</v>
      </c>
      <c r="E64" s="39">
        <v>20</v>
      </c>
      <c r="F64" s="39">
        <v>100</v>
      </c>
      <c r="G64" s="40">
        <f>B64*Assumptions!$C$19*365*24*Assumptions!$D$26*1000/(Assumptions!$G$14*0.001) /10^9</f>
        <v>11.502397866094725</v>
      </c>
      <c r="H64" s="40">
        <f>C64*Assumptions!$C$20*365*24*Assumptions!$D$30*1000/(Assumptions!$G$14*0.001) /10^9</f>
        <v>64.476158507855075</v>
      </c>
      <c r="I64" s="40">
        <f>E64*Assumptions!$C$46/(Assumptions!$G$14*0.001) /10^9</f>
        <v>0.88424748192867719</v>
      </c>
      <c r="J64" s="40">
        <f>D64*Assumptions!$C$56/(Assumptions!$G$14*0.001) /10^9</f>
        <v>1.5456513105393319</v>
      </c>
      <c r="K64" s="40">
        <f>F64*Assumptions!$C$65/(Assumptions!$G$14*0.001) /10^9</f>
        <v>4.1756131091076423</v>
      </c>
      <c r="L64" s="47">
        <f>4*Assumptions!$C$10/Assumptions!$G$14</f>
        <v>3.5850379503898764</v>
      </c>
      <c r="M64" s="45">
        <v>69.75</v>
      </c>
      <c r="N64" s="39">
        <v>73</v>
      </c>
      <c r="O64" s="44">
        <f>N64*Assumptions!$C$97/(Assumptions!$G$16*0.001) /10^9*M64/100</f>
        <v>21.411263727467649</v>
      </c>
      <c r="P64" s="48">
        <f>Assumptions!$C$116*Assumptions!$C$113/(Assumptions!$G$16*0.001) /10^9</f>
        <v>2.6088428438793594</v>
      </c>
      <c r="Q64" s="42">
        <f t="shared" si="6"/>
        <v>110.18921279726234</v>
      </c>
      <c r="S64" s="29" t="str">
        <f t="shared" si="7"/>
        <v>(410,31,20,100,73,0.7)</v>
      </c>
    </row>
    <row r="65" spans="2:19">
      <c r="B65" s="38">
        <v>12</v>
      </c>
      <c r="C65" s="39">
        <v>410</v>
      </c>
      <c r="D65" s="39">
        <v>31</v>
      </c>
      <c r="E65" s="39">
        <v>30</v>
      </c>
      <c r="F65" s="39">
        <v>100</v>
      </c>
      <c r="G65" s="40">
        <f>B65*Assumptions!$C$19*365*24*Assumptions!$D$26*1000/(Assumptions!$G$14*0.001) /10^9</f>
        <v>11.502397866094725</v>
      </c>
      <c r="H65" s="40">
        <f>C65*Assumptions!$C$20*365*24*Assumptions!$D$30*1000/(Assumptions!$G$14*0.001) /10^9</f>
        <v>64.476158507855075</v>
      </c>
      <c r="I65" s="40">
        <f>E65*Assumptions!$C$46/(Assumptions!$G$14*0.001) /10^9</f>
        <v>1.326371222893016</v>
      </c>
      <c r="J65" s="40">
        <f>D65*Assumptions!$C$56/(Assumptions!$G$14*0.001) /10^9</f>
        <v>1.5456513105393319</v>
      </c>
      <c r="K65" s="40">
        <f>F65*Assumptions!$C$65/(Assumptions!$G$14*0.001) /10^9</f>
        <v>4.1756131091076423</v>
      </c>
      <c r="L65" s="47">
        <f>4*Assumptions!$C$10/Assumptions!$G$14</f>
        <v>3.5850379503898764</v>
      </c>
      <c r="M65" s="45">
        <v>75.34</v>
      </c>
      <c r="N65" s="39">
        <v>66</v>
      </c>
      <c r="O65" s="44">
        <f>N65*Assumptions!$C$97/(Assumptions!$G$16*0.001) /10^9*M65/100</f>
        <v>20.909554516425437</v>
      </c>
      <c r="P65" s="48">
        <f>Assumptions!$C$116*Assumptions!$C$113/(Assumptions!$G$16*0.001) /10^9</f>
        <v>2.6088428438793594</v>
      </c>
      <c r="Q65" s="42">
        <f t="shared" si="6"/>
        <v>110.12962732718447</v>
      </c>
      <c r="S65" s="29" t="str">
        <f t="shared" si="7"/>
        <v>(410,31,30,100,66,0.75)</v>
      </c>
    </row>
    <row r="66" spans="2:19">
      <c r="B66" s="38">
        <v>12</v>
      </c>
      <c r="C66" s="39">
        <v>410</v>
      </c>
      <c r="D66" s="39">
        <v>31</v>
      </c>
      <c r="E66" s="39">
        <v>40</v>
      </c>
      <c r="F66" s="39">
        <v>100</v>
      </c>
      <c r="G66" s="40">
        <f>B66*Assumptions!$C$19*365*24*Assumptions!$D$26*1000/(Assumptions!$G$14*0.001) /10^9</f>
        <v>11.502397866094725</v>
      </c>
      <c r="H66" s="40">
        <f>C66*Assumptions!$C$20*365*24*Assumptions!$D$30*1000/(Assumptions!$G$14*0.001) /10^9</f>
        <v>64.476158507855075</v>
      </c>
      <c r="I66" s="40">
        <f>E66*Assumptions!$C$46/(Assumptions!$G$14*0.001) /10^9</f>
        <v>1.7684949638573544</v>
      </c>
      <c r="J66" s="40">
        <f>D66*Assumptions!$C$56/(Assumptions!$G$14*0.001) /10^9</f>
        <v>1.5456513105393319</v>
      </c>
      <c r="K66" s="40">
        <f>F66*Assumptions!$C$65/(Assumptions!$G$14*0.001) /10^9</f>
        <v>4.1756131091076423</v>
      </c>
      <c r="L66" s="47">
        <f>4*Assumptions!$C$10/Assumptions!$G$14</f>
        <v>3.5850379503898764</v>
      </c>
      <c r="M66" s="45">
        <v>77.89</v>
      </c>
      <c r="N66" s="39">
        <v>63</v>
      </c>
      <c r="O66" s="44">
        <f>N66*Assumptions!$C$97/(Assumptions!$G$16*0.001) /10^9*M66/100</f>
        <v>20.634667825235862</v>
      </c>
      <c r="P66" s="48">
        <f>Assumptions!$C$116*Assumptions!$C$113/(Assumptions!$G$16*0.001) /10^9</f>
        <v>2.6088428438793594</v>
      </c>
      <c r="Q66" s="42">
        <f t="shared" si="6"/>
        <v>110.29686437695922</v>
      </c>
      <c r="S66" s="29" t="str">
        <f t="shared" si="7"/>
        <v>(410,31,40,100,63,0.78)</v>
      </c>
    </row>
    <row r="67" spans="2:19">
      <c r="B67" s="38">
        <v>12</v>
      </c>
      <c r="C67" s="39">
        <v>410</v>
      </c>
      <c r="D67" s="39">
        <v>31</v>
      </c>
      <c r="E67" s="39">
        <v>50</v>
      </c>
      <c r="F67" s="39">
        <v>100</v>
      </c>
      <c r="G67" s="40">
        <f>B67*Assumptions!$C$19*365*24*Assumptions!$D$26*1000/(Assumptions!$G$14*0.001) /10^9</f>
        <v>11.502397866094725</v>
      </c>
      <c r="H67" s="40">
        <f>C67*Assumptions!$C$20*365*24*Assumptions!$D$30*1000/(Assumptions!$G$14*0.001) /10^9</f>
        <v>64.476158507855075</v>
      </c>
      <c r="I67" s="40">
        <f>E67*Assumptions!$C$46/(Assumptions!$G$14*0.001) /10^9</f>
        <v>2.2106187048216932</v>
      </c>
      <c r="J67" s="40">
        <f>D67*Assumptions!$C$56/(Assumptions!$G$14*0.001) /10^9</f>
        <v>1.5456513105393319</v>
      </c>
      <c r="K67" s="40">
        <f>F67*Assumptions!$C$65/(Assumptions!$G$14*0.001) /10^9</f>
        <v>4.1756131091076423</v>
      </c>
      <c r="L67" s="47">
        <f>4*Assumptions!$C$10/Assumptions!$G$14</f>
        <v>3.5850379503898764</v>
      </c>
      <c r="M67" s="45">
        <v>79.19</v>
      </c>
      <c r="N67" s="39">
        <v>62</v>
      </c>
      <c r="O67" s="44">
        <f>N67*Assumptions!$C$97/(Assumptions!$G$16*0.001) /10^9*M67/100</f>
        <v>20.646063617390112</v>
      </c>
      <c r="P67" s="48">
        <f>Assumptions!$C$116*Assumptions!$C$113/(Assumptions!$G$16*0.001) /10^9</f>
        <v>2.6088428438793594</v>
      </c>
      <c r="Q67" s="42">
        <f t="shared" si="6"/>
        <v>110.75038391007782</v>
      </c>
      <c r="S67" s="29" t="str">
        <f t="shared" si="7"/>
        <v>(410,31,50,100,62,0.79)</v>
      </c>
    </row>
    <row r="68" spans="2:19">
      <c r="B68" s="38">
        <v>12</v>
      </c>
      <c r="C68" s="39">
        <v>410</v>
      </c>
      <c r="D68" s="39">
        <v>31</v>
      </c>
      <c r="E68" s="39">
        <v>60</v>
      </c>
      <c r="F68" s="39">
        <v>100</v>
      </c>
      <c r="G68" s="40">
        <f>B68*Assumptions!$C$19*365*24*Assumptions!$D$26*1000/(Assumptions!$G$14*0.001) /10^9</f>
        <v>11.502397866094725</v>
      </c>
      <c r="H68" s="40">
        <f>C68*Assumptions!$C$20*365*24*Assumptions!$D$30*1000/(Assumptions!$G$14*0.001) /10^9</f>
        <v>64.476158507855075</v>
      </c>
      <c r="I68" s="40">
        <f>E68*Assumptions!$C$46/(Assumptions!$G$14*0.001) /10^9</f>
        <v>2.652742445786032</v>
      </c>
      <c r="J68" s="40">
        <f>D68*Assumptions!$C$56/(Assumptions!$G$14*0.001) /10^9</f>
        <v>1.5456513105393319</v>
      </c>
      <c r="K68" s="40">
        <f>F68*Assumptions!$C$65/(Assumptions!$G$14*0.001) /10^9</f>
        <v>4.1756131091076423</v>
      </c>
      <c r="L68" s="47">
        <f>4*Assumptions!$C$10/Assumptions!$G$14</f>
        <v>3.5850379503898764</v>
      </c>
      <c r="M68" s="45">
        <v>79.88</v>
      </c>
      <c r="N68" s="39">
        <v>61</v>
      </c>
      <c r="O68" s="44">
        <f>N68*Assumptions!$C$97/(Assumptions!$G$16*0.001) /10^9*M68/100</f>
        <v>20.4900548022894</v>
      </c>
      <c r="P68" s="48">
        <f>Assumptions!$C$116*Assumptions!$C$113/(Assumptions!$G$16*0.001) /10^9</f>
        <v>2.6088428438793594</v>
      </c>
      <c r="Q68" s="42">
        <f t="shared" si="6"/>
        <v>111.03649883594144</v>
      </c>
      <c r="S68" s="29" t="str">
        <f t="shared" si="7"/>
        <v>(410,31,60,100,61,0.8)</v>
      </c>
    </row>
    <row r="69" spans="2:19">
      <c r="B69" s="38">
        <v>12</v>
      </c>
      <c r="C69" s="39">
        <v>410</v>
      </c>
      <c r="D69" s="39">
        <v>31</v>
      </c>
      <c r="E69" s="39">
        <v>70</v>
      </c>
      <c r="F69" s="39">
        <v>100</v>
      </c>
      <c r="G69" s="40">
        <f>B69*Assumptions!$C$19*365*24*Assumptions!$D$26*1000/(Assumptions!$G$14*0.001) /10^9</f>
        <v>11.502397866094725</v>
      </c>
      <c r="H69" s="40">
        <f>C69*Assumptions!$C$20*365*24*Assumptions!$D$30*1000/(Assumptions!$G$14*0.001) /10^9</f>
        <v>64.476158507855075</v>
      </c>
      <c r="I69" s="40">
        <f>E69*Assumptions!$C$46/(Assumptions!$G$14*0.001) /10^9</f>
        <v>3.0948661867503704</v>
      </c>
      <c r="J69" s="40">
        <f>D69*Assumptions!$C$56/(Assumptions!$G$14*0.001) /10^9</f>
        <v>1.5456513105393319</v>
      </c>
      <c r="K69" s="40">
        <f>F69*Assumptions!$C$65/(Assumptions!$G$14*0.001) /10^9</f>
        <v>4.1756131091076423</v>
      </c>
      <c r="L69" s="47">
        <f>4*Assumptions!$C$10/Assumptions!$G$14</f>
        <v>3.5850379503898764</v>
      </c>
      <c r="M69" s="45">
        <v>80.25</v>
      </c>
      <c r="N69" s="39">
        <v>61</v>
      </c>
      <c r="O69" s="44">
        <f>N69*Assumptions!$C$97/(Assumptions!$G$16*0.001) /10^9*M69/100</f>
        <v>20.584963669050129</v>
      </c>
      <c r="P69" s="48">
        <f>Assumptions!$C$116*Assumptions!$C$113/(Assumptions!$G$16*0.001) /10^9</f>
        <v>2.6088428438793594</v>
      </c>
      <c r="Q69" s="42">
        <f t="shared" si="6"/>
        <v>111.5735314436665</v>
      </c>
      <c r="S69" s="29" t="str">
        <f t="shared" si="7"/>
        <v>(410,31,70,100,61,0.8)</v>
      </c>
    </row>
    <row r="70" spans="2:19">
      <c r="B70" s="38">
        <v>12</v>
      </c>
      <c r="C70" s="39">
        <v>410</v>
      </c>
      <c r="D70" s="39">
        <v>31</v>
      </c>
      <c r="E70" s="39">
        <v>80</v>
      </c>
      <c r="F70" s="39">
        <v>100</v>
      </c>
      <c r="G70" s="40">
        <f>B70*Assumptions!$C$19*365*24*Assumptions!$D$26*1000/(Assumptions!$G$14*0.001) /10^9</f>
        <v>11.502397866094725</v>
      </c>
      <c r="H70" s="40">
        <f>C70*Assumptions!$C$20*365*24*Assumptions!$D$30*1000/(Assumptions!$G$14*0.001) /10^9</f>
        <v>64.476158507855075</v>
      </c>
      <c r="I70" s="40">
        <f>E70*Assumptions!$C$46/(Assumptions!$G$14*0.001) /10^9</f>
        <v>3.5369899277147088</v>
      </c>
      <c r="J70" s="40">
        <f>D70*Assumptions!$C$56/(Assumptions!$G$14*0.001) /10^9</f>
        <v>1.5456513105393319</v>
      </c>
      <c r="K70" s="40">
        <f>F70*Assumptions!$C$65/(Assumptions!$G$14*0.001) /10^9</f>
        <v>4.1756131091076423</v>
      </c>
      <c r="L70" s="47">
        <f>4*Assumptions!$C$10/Assumptions!$G$14</f>
        <v>3.5850379503898764</v>
      </c>
      <c r="M70" s="45">
        <v>80.58</v>
      </c>
      <c r="N70" s="39">
        <v>60</v>
      </c>
      <c r="O70" s="44">
        <f>N70*Assumptions!$C$97/(Assumptions!$G$16*0.001) /10^9*M70/100</f>
        <v>20.330766017491154</v>
      </c>
      <c r="P70" s="48">
        <f>Assumptions!$C$116*Assumptions!$C$113/(Assumptions!$G$16*0.001) /10^9</f>
        <v>2.6088428438793594</v>
      </c>
      <c r="Q70" s="42">
        <f t="shared" si="6"/>
        <v>111.76145753307188</v>
      </c>
      <c r="S70" s="29" t="str">
        <f t="shared" si="7"/>
        <v>(410,31,80,100,60,0.81)</v>
      </c>
    </row>
    <row r="71" spans="2:19">
      <c r="B71" s="38">
        <v>12</v>
      </c>
      <c r="C71" s="39">
        <v>410</v>
      </c>
      <c r="D71" s="39">
        <v>31</v>
      </c>
      <c r="E71" s="39">
        <v>90</v>
      </c>
      <c r="F71" s="39">
        <v>100</v>
      </c>
      <c r="G71" s="40">
        <f>B71*Assumptions!$C$19*365*24*Assumptions!$D$26*1000/(Assumptions!$G$14*0.001) /10^9</f>
        <v>11.502397866094725</v>
      </c>
      <c r="H71" s="40">
        <f>C71*Assumptions!$C$20*365*24*Assumptions!$D$30*1000/(Assumptions!$G$14*0.001) /10^9</f>
        <v>64.476158507855075</v>
      </c>
      <c r="I71" s="40">
        <f>E71*Assumptions!$C$46/(Assumptions!$G$14*0.001) /10^9</f>
        <v>3.979113668679048</v>
      </c>
      <c r="J71" s="40">
        <f>D71*Assumptions!$C$56/(Assumptions!$G$14*0.001) /10^9</f>
        <v>1.5456513105393319</v>
      </c>
      <c r="K71" s="40">
        <f>F71*Assumptions!$C$65/(Assumptions!$G$14*0.001) /10^9</f>
        <v>4.1756131091076423</v>
      </c>
      <c r="L71" s="47">
        <f>4*Assumptions!$C$10/Assumptions!$G$14</f>
        <v>3.5850379503898764</v>
      </c>
      <c r="M71" s="45">
        <v>80.709999999999994</v>
      </c>
      <c r="N71" s="39">
        <v>60</v>
      </c>
      <c r="O71" s="44">
        <f>N71*Assumptions!$C$97/(Assumptions!$G$16*0.001) /10^9*M71/100</f>
        <v>20.363565714466503</v>
      </c>
      <c r="P71" s="48">
        <f>Assumptions!$C$116*Assumptions!$C$113/(Assumptions!$G$16*0.001) /10^9</f>
        <v>2.6088428438793594</v>
      </c>
      <c r="Q71" s="42">
        <f t="shared" si="6"/>
        <v>112.23638097101156</v>
      </c>
      <c r="S71" s="29" t="str">
        <f t="shared" si="7"/>
        <v>(410,31,90,100,60,0.81)</v>
      </c>
    </row>
    <row r="72" spans="2:19">
      <c r="B72" s="38">
        <v>12</v>
      </c>
      <c r="C72" s="39">
        <v>410</v>
      </c>
      <c r="D72" s="39">
        <v>31</v>
      </c>
      <c r="E72" s="39">
        <v>100</v>
      </c>
      <c r="F72" s="39">
        <v>100</v>
      </c>
      <c r="G72" s="40">
        <f>B72*Assumptions!$C$19*365*24*Assumptions!$D$26*1000/(Assumptions!$G$14*0.001) /10^9</f>
        <v>11.502397866094725</v>
      </c>
      <c r="H72" s="40">
        <f>C72*Assumptions!$C$20*365*24*Assumptions!$D$30*1000/(Assumptions!$G$14*0.001) /10^9</f>
        <v>64.476158507855075</v>
      </c>
      <c r="I72" s="40">
        <f>E72*Assumptions!$C$46/(Assumptions!$G$14*0.001) /10^9</f>
        <v>4.4212374096433864</v>
      </c>
      <c r="J72" s="40">
        <f>D72*Assumptions!$C$56/(Assumptions!$G$14*0.001) /10^9</f>
        <v>1.5456513105393319</v>
      </c>
      <c r="K72" s="40">
        <f>F72*Assumptions!$C$65/(Assumptions!$G$14*0.001) /10^9</f>
        <v>4.1756131091076423</v>
      </c>
      <c r="L72" s="47">
        <f>4*Assumptions!$C$10/Assumptions!$G$14</f>
        <v>3.5850379503898764</v>
      </c>
      <c r="M72" s="45">
        <v>80.819999999999993</v>
      </c>
      <c r="N72" s="39">
        <v>60</v>
      </c>
      <c r="O72" s="44">
        <f>N72*Assumptions!$C$97/(Assumptions!$G$16*0.001) /10^9*M72/100</f>
        <v>20.391319304214878</v>
      </c>
      <c r="P72" s="48">
        <f>Assumptions!$C$116*Assumptions!$C$113/(Assumptions!$G$16*0.001) /10^9</f>
        <v>2.6088428438793594</v>
      </c>
      <c r="Q72" s="42">
        <f t="shared" si="6"/>
        <v>112.70625830172426</v>
      </c>
      <c r="S72" s="29" t="str">
        <f t="shared" si="7"/>
        <v>(410,31,100,100,60,0.81)</v>
      </c>
    </row>
    <row r="73" spans="2:19">
      <c r="B73" s="38">
        <v>12</v>
      </c>
      <c r="C73" s="39">
        <v>420</v>
      </c>
      <c r="D73" s="39">
        <v>31</v>
      </c>
      <c r="E73" s="39">
        <v>20</v>
      </c>
      <c r="F73" s="39">
        <v>100</v>
      </c>
      <c r="G73" s="40">
        <f>B73*Assumptions!$C$19*365*24*Assumptions!$D$26*1000/(Assumptions!$G$14*0.001) /10^9</f>
        <v>11.502397866094725</v>
      </c>
      <c r="H73" s="40">
        <f>C73*Assumptions!$C$20*365*24*Assumptions!$D$30*1000/(Assumptions!$G$14*0.001) /10^9</f>
        <v>66.048747739753978</v>
      </c>
      <c r="I73" s="40">
        <f>E73*Assumptions!$C$46/(Assumptions!$G$14*0.001) /10^9</f>
        <v>0.88424748192867719</v>
      </c>
      <c r="J73" s="40">
        <f>D73*Assumptions!$C$56/(Assumptions!$G$14*0.001) /10^9</f>
        <v>1.5456513105393319</v>
      </c>
      <c r="K73" s="40">
        <f>F73*Assumptions!$C$65/(Assumptions!$G$14*0.001) /10^9</f>
        <v>4.1756131091076423</v>
      </c>
      <c r="L73" s="47">
        <f>4*Assumptions!$C$10/Assumptions!$G$14</f>
        <v>3.5850379503898764</v>
      </c>
      <c r="M73" s="45">
        <v>72.09</v>
      </c>
      <c r="N73" s="39">
        <v>69</v>
      </c>
      <c r="O73" s="44">
        <f>N73*Assumptions!$C$97/(Assumptions!$G$16*0.001) /10^9*M73/100</f>
        <v>20.916997524585231</v>
      </c>
      <c r="P73" s="48">
        <f>Assumptions!$C$116*Assumptions!$C$113/(Assumptions!$G$16*0.001) /10^9</f>
        <v>2.6088428438793594</v>
      </c>
      <c r="Q73" s="42">
        <f t="shared" si="6"/>
        <v>111.26753582627882</v>
      </c>
      <c r="S73" s="29" t="str">
        <f t="shared" si="7"/>
        <v>(420,31,20,100,69,0.72)</v>
      </c>
    </row>
    <row r="74" spans="2:19">
      <c r="B74" s="38">
        <v>12</v>
      </c>
      <c r="C74" s="39">
        <v>420</v>
      </c>
      <c r="D74" s="39">
        <v>31</v>
      </c>
      <c r="E74" s="39">
        <v>30</v>
      </c>
      <c r="F74" s="39">
        <v>100</v>
      </c>
      <c r="G74" s="40">
        <f>B74*Assumptions!$C$19*365*24*Assumptions!$D$26*1000/(Assumptions!$G$14*0.001) /10^9</f>
        <v>11.502397866094725</v>
      </c>
      <c r="H74" s="40">
        <f>C74*Assumptions!$C$20*365*24*Assumptions!$D$30*1000/(Assumptions!$G$14*0.001) /10^9</f>
        <v>66.048747739753978</v>
      </c>
      <c r="I74" s="40">
        <f>E74*Assumptions!$C$46/(Assumptions!$G$14*0.001) /10^9</f>
        <v>1.326371222893016</v>
      </c>
      <c r="J74" s="40">
        <f>D74*Assumptions!$C$56/(Assumptions!$G$14*0.001) /10^9</f>
        <v>1.5456513105393319</v>
      </c>
      <c r="K74" s="40">
        <f>F74*Assumptions!$C$65/(Assumptions!$G$14*0.001) /10^9</f>
        <v>4.1756131091076423</v>
      </c>
      <c r="L74" s="47">
        <f>4*Assumptions!$C$10/Assumptions!$G$14</f>
        <v>3.5850379503898764</v>
      </c>
      <c r="M74" s="45">
        <v>77.239999999999995</v>
      </c>
      <c r="N74" s="39">
        <v>63</v>
      </c>
      <c r="O74" s="44">
        <f>N74*Assumptions!$C$97/(Assumptions!$G$16*0.001) /10^9*M74/100</f>
        <v>20.462469416115258</v>
      </c>
      <c r="P74" s="48">
        <f>Assumptions!$C$116*Assumptions!$C$113/(Assumptions!$G$16*0.001) /10^9</f>
        <v>2.6088428438793594</v>
      </c>
      <c r="Q74" s="42">
        <f t="shared" si="6"/>
        <v>111.25513145877318</v>
      </c>
      <c r="S74" s="29" t="str">
        <f t="shared" si="7"/>
        <v>(420,31,30,100,63,0.77)</v>
      </c>
    </row>
    <row r="75" spans="2:19">
      <c r="B75" s="38">
        <v>12</v>
      </c>
      <c r="C75" s="39">
        <v>420</v>
      </c>
      <c r="D75" s="39">
        <v>31</v>
      </c>
      <c r="E75" s="39">
        <v>40</v>
      </c>
      <c r="F75" s="39">
        <v>100</v>
      </c>
      <c r="G75" s="40">
        <f>B75*Assumptions!$C$19*365*24*Assumptions!$D$26*1000/(Assumptions!$G$14*0.001) /10^9</f>
        <v>11.502397866094725</v>
      </c>
      <c r="H75" s="40">
        <f>C75*Assumptions!$C$20*365*24*Assumptions!$D$30*1000/(Assumptions!$G$14*0.001) /10^9</f>
        <v>66.048747739753978</v>
      </c>
      <c r="I75" s="40">
        <f>E75*Assumptions!$C$46/(Assumptions!$G$14*0.001) /10^9</f>
        <v>1.7684949638573544</v>
      </c>
      <c r="J75" s="40">
        <f>D75*Assumptions!$C$56/(Assumptions!$G$14*0.001) /10^9</f>
        <v>1.5456513105393319</v>
      </c>
      <c r="K75" s="40">
        <f>F75*Assumptions!$C$65/(Assumptions!$G$14*0.001) /10^9</f>
        <v>4.1756131091076423</v>
      </c>
      <c r="L75" s="47">
        <f>4*Assumptions!$C$10/Assumptions!$G$14</f>
        <v>3.5850379503898764</v>
      </c>
      <c r="M75" s="45">
        <v>79.599999999999994</v>
      </c>
      <c r="N75" s="39">
        <v>61</v>
      </c>
      <c r="O75" s="44">
        <f>N75*Assumptions!$C$97/(Assumptions!$G$16*0.001) /10^9*M75/100</f>
        <v>20.418231876092094</v>
      </c>
      <c r="P75" s="48">
        <f>Assumptions!$C$116*Assumptions!$C$113/(Assumptions!$G$16*0.001) /10^9</f>
        <v>2.6088428438793594</v>
      </c>
      <c r="Q75" s="42">
        <f t="shared" si="6"/>
        <v>111.65301765971435</v>
      </c>
      <c r="S75" s="29" t="str">
        <f t="shared" si="7"/>
        <v>(420,31,40,100,61,0.8)</v>
      </c>
    </row>
    <row r="76" spans="2:19">
      <c r="B76" s="38">
        <v>12</v>
      </c>
      <c r="C76" s="39">
        <v>420</v>
      </c>
      <c r="D76" s="39">
        <v>31</v>
      </c>
      <c r="E76" s="39">
        <v>50</v>
      </c>
      <c r="F76" s="39">
        <v>100</v>
      </c>
      <c r="G76" s="40">
        <f>B76*Assumptions!$C$19*365*24*Assumptions!$D$26*1000/(Assumptions!$G$14*0.001) /10^9</f>
        <v>11.502397866094725</v>
      </c>
      <c r="H76" s="40">
        <f>C76*Assumptions!$C$20*365*24*Assumptions!$D$30*1000/(Assumptions!$G$14*0.001) /10^9</f>
        <v>66.048747739753978</v>
      </c>
      <c r="I76" s="40">
        <f>E76*Assumptions!$C$46/(Assumptions!$G$14*0.001) /10^9</f>
        <v>2.2106187048216932</v>
      </c>
      <c r="J76" s="40">
        <f>D76*Assumptions!$C$56/(Assumptions!$G$14*0.001) /10^9</f>
        <v>1.5456513105393319</v>
      </c>
      <c r="K76" s="40">
        <f>F76*Assumptions!$C$65/(Assumptions!$G$14*0.001) /10^9</f>
        <v>4.1756131091076423</v>
      </c>
      <c r="L76" s="47">
        <f>4*Assumptions!$C$10/Assumptions!$G$14</f>
        <v>3.5850379503898764</v>
      </c>
      <c r="M76" s="45">
        <v>80.739999999999995</v>
      </c>
      <c r="N76" s="39">
        <v>59</v>
      </c>
      <c r="O76" s="44">
        <f>N76*Assumptions!$C$97/(Assumptions!$G$16*0.001) /10^9*M76/100</f>
        <v>20.031615960718522</v>
      </c>
      <c r="P76" s="48">
        <f>Assumptions!$C$116*Assumptions!$C$113/(Assumptions!$G$16*0.001) /10^9</f>
        <v>2.6088428438793594</v>
      </c>
      <c r="Q76" s="42">
        <f t="shared" si="6"/>
        <v>111.70852548530513</v>
      </c>
      <c r="S76" s="29" t="str">
        <f t="shared" si="7"/>
        <v>(420,31,50,100,59,0.81)</v>
      </c>
    </row>
    <row r="77" spans="2:19">
      <c r="B77" s="38">
        <v>12</v>
      </c>
      <c r="C77" s="39">
        <v>420</v>
      </c>
      <c r="D77" s="39">
        <v>31</v>
      </c>
      <c r="E77" s="39">
        <v>60</v>
      </c>
      <c r="F77" s="39">
        <v>100</v>
      </c>
      <c r="G77" s="40">
        <f>B77*Assumptions!$C$19*365*24*Assumptions!$D$26*1000/(Assumptions!$G$14*0.001) /10^9</f>
        <v>11.502397866094725</v>
      </c>
      <c r="H77" s="40">
        <f>C77*Assumptions!$C$20*365*24*Assumptions!$D$30*1000/(Assumptions!$G$14*0.001) /10^9</f>
        <v>66.048747739753978</v>
      </c>
      <c r="I77" s="40">
        <f>E77*Assumptions!$C$46/(Assumptions!$G$14*0.001) /10^9</f>
        <v>2.652742445786032</v>
      </c>
      <c r="J77" s="40">
        <f>D77*Assumptions!$C$56/(Assumptions!$G$14*0.001) /10^9</f>
        <v>1.5456513105393319</v>
      </c>
      <c r="K77" s="40">
        <f>F77*Assumptions!$C$65/(Assumptions!$G$14*0.001) /10^9</f>
        <v>4.1756131091076423</v>
      </c>
      <c r="L77" s="47">
        <f>4*Assumptions!$C$10/Assumptions!$G$14</f>
        <v>3.5850379503898764</v>
      </c>
      <c r="M77" s="45">
        <v>81.400000000000006</v>
      </c>
      <c r="N77" s="39">
        <v>59</v>
      </c>
      <c r="O77" s="44">
        <f>N77*Assumptions!$C$97/(Assumptions!$G$16*0.001) /10^9*M77/100</f>
        <v>20.195362140233932</v>
      </c>
      <c r="P77" s="48">
        <f>Assumptions!$C$116*Assumptions!$C$113/(Assumptions!$G$16*0.001) /10^9</f>
        <v>2.6088428438793594</v>
      </c>
      <c r="Q77" s="42">
        <f t="shared" si="6"/>
        <v>112.31439540578486</v>
      </c>
      <c r="S77" s="29" t="str">
        <f t="shared" si="7"/>
        <v>(420,31,60,100,59,0.81)</v>
      </c>
    </row>
    <row r="78" spans="2:19">
      <c r="B78" s="38">
        <v>12</v>
      </c>
      <c r="C78" s="39">
        <v>420</v>
      </c>
      <c r="D78" s="39">
        <v>31</v>
      </c>
      <c r="E78" s="39">
        <v>70</v>
      </c>
      <c r="F78" s="39">
        <v>100</v>
      </c>
      <c r="G78" s="40">
        <f>B78*Assumptions!$C$19*365*24*Assumptions!$D$26*1000/(Assumptions!$G$14*0.001) /10^9</f>
        <v>11.502397866094725</v>
      </c>
      <c r="H78" s="40">
        <f>C78*Assumptions!$C$20*365*24*Assumptions!$D$30*1000/(Assumptions!$G$14*0.001) /10^9</f>
        <v>66.048747739753978</v>
      </c>
      <c r="I78" s="40">
        <f>E78*Assumptions!$C$46/(Assumptions!$G$14*0.001) /10^9</f>
        <v>3.0948661867503704</v>
      </c>
      <c r="J78" s="40">
        <f>D78*Assumptions!$C$56/(Assumptions!$G$14*0.001) /10^9</f>
        <v>1.5456513105393319</v>
      </c>
      <c r="K78" s="40">
        <f>F78*Assumptions!$C$65/(Assumptions!$G$14*0.001) /10^9</f>
        <v>4.1756131091076423</v>
      </c>
      <c r="L78" s="47">
        <f>4*Assumptions!$C$10/Assumptions!$G$14</f>
        <v>3.5850379503898764</v>
      </c>
      <c r="M78" s="45">
        <v>81.81</v>
      </c>
      <c r="N78" s="39">
        <v>59</v>
      </c>
      <c r="O78" s="44">
        <f>N78*Assumptions!$C$97/(Assumptions!$G$16*0.001) /10^9*M78/100</f>
        <v>20.297083251751083</v>
      </c>
      <c r="P78" s="48">
        <f>Assumptions!$C$116*Assumptions!$C$113/(Assumptions!$G$16*0.001) /10^9</f>
        <v>2.6088428438793594</v>
      </c>
      <c r="Q78" s="42">
        <f t="shared" si="6"/>
        <v>112.85824025826636</v>
      </c>
      <c r="S78" s="29" t="str">
        <f t="shared" si="7"/>
        <v>(420,31,70,100,59,0.82)</v>
      </c>
    </row>
    <row r="79" spans="2:19">
      <c r="B79" s="38">
        <v>12</v>
      </c>
      <c r="C79" s="39">
        <v>420</v>
      </c>
      <c r="D79" s="39">
        <v>31</v>
      </c>
      <c r="E79" s="39">
        <v>80</v>
      </c>
      <c r="F79" s="39">
        <v>100</v>
      </c>
      <c r="G79" s="40">
        <f>B79*Assumptions!$C$19*365*24*Assumptions!$D$26*1000/(Assumptions!$G$14*0.001) /10^9</f>
        <v>11.502397866094725</v>
      </c>
      <c r="H79" s="40">
        <f>C79*Assumptions!$C$20*365*24*Assumptions!$D$30*1000/(Assumptions!$G$14*0.001) /10^9</f>
        <v>66.048747739753978</v>
      </c>
      <c r="I79" s="40">
        <f>E79*Assumptions!$C$46/(Assumptions!$G$14*0.001) /10^9</f>
        <v>3.5369899277147088</v>
      </c>
      <c r="J79" s="40">
        <f>D79*Assumptions!$C$56/(Assumptions!$G$14*0.001) /10^9</f>
        <v>1.5456513105393319</v>
      </c>
      <c r="K79" s="40">
        <f>F79*Assumptions!$C$65/(Assumptions!$G$14*0.001) /10^9</f>
        <v>4.1756131091076423</v>
      </c>
      <c r="L79" s="47">
        <f>4*Assumptions!$C$10/Assumptions!$G$14</f>
        <v>3.5850379503898764</v>
      </c>
      <c r="M79" s="45">
        <v>82.03</v>
      </c>
      <c r="N79" s="39">
        <v>58</v>
      </c>
      <c r="O79" s="44">
        <f>N79*Assumptions!$C$97/(Assumptions!$G$16*0.001) /10^9*M79/100</f>
        <v>20.006721831732104</v>
      </c>
      <c r="P79" s="48">
        <f>Assumptions!$C$116*Assumptions!$C$113/(Assumptions!$G$16*0.001) /10^9</f>
        <v>2.6088428438793594</v>
      </c>
      <c r="Q79" s="42">
        <f t="shared" si="6"/>
        <v>113.01000257921173</v>
      </c>
      <c r="S79" s="29" t="str">
        <f t="shared" si="7"/>
        <v>(420,31,80,100,58,0.82)</v>
      </c>
    </row>
    <row r="80" spans="2:19">
      <c r="B80" s="38">
        <v>12</v>
      </c>
      <c r="C80" s="39">
        <v>420</v>
      </c>
      <c r="D80" s="39">
        <v>31</v>
      </c>
      <c r="E80" s="39">
        <v>90</v>
      </c>
      <c r="F80" s="39">
        <v>100</v>
      </c>
      <c r="G80" s="40">
        <f>B80*Assumptions!$C$19*365*24*Assumptions!$D$26*1000/(Assumptions!$G$14*0.001) /10^9</f>
        <v>11.502397866094725</v>
      </c>
      <c r="H80" s="40">
        <f>C80*Assumptions!$C$20*365*24*Assumptions!$D$30*1000/(Assumptions!$G$14*0.001) /10^9</f>
        <v>66.048747739753978</v>
      </c>
      <c r="I80" s="40">
        <f>E80*Assumptions!$C$46/(Assumptions!$G$14*0.001) /10^9</f>
        <v>3.979113668679048</v>
      </c>
      <c r="J80" s="40">
        <f>D80*Assumptions!$C$56/(Assumptions!$G$14*0.001) /10^9</f>
        <v>1.5456513105393319</v>
      </c>
      <c r="K80" s="40">
        <f>F80*Assumptions!$C$65/(Assumptions!$G$14*0.001) /10^9</f>
        <v>4.1756131091076423</v>
      </c>
      <c r="L80" s="47">
        <f>4*Assumptions!$C$10/Assumptions!$G$14</f>
        <v>3.5850379503898764</v>
      </c>
      <c r="M80" s="45">
        <v>82.16</v>
      </c>
      <c r="N80" s="39">
        <v>58</v>
      </c>
      <c r="O80" s="44">
        <f>N80*Assumptions!$C$97/(Assumptions!$G$16*0.001) /10^9*M80/100</f>
        <v>20.038428205474943</v>
      </c>
      <c r="P80" s="48">
        <f>Assumptions!$C$116*Assumptions!$C$113/(Assumptions!$G$16*0.001) /10^9</f>
        <v>2.6088428438793594</v>
      </c>
      <c r="Q80" s="42">
        <f t="shared" si="6"/>
        <v>113.4838326939189</v>
      </c>
      <c r="S80" s="29" t="str">
        <f t="shared" si="7"/>
        <v>(420,31,90,100,58,0.82)</v>
      </c>
    </row>
    <row r="81" spans="2:19">
      <c r="B81" s="38">
        <v>12</v>
      </c>
      <c r="C81" s="39">
        <v>420</v>
      </c>
      <c r="D81" s="39">
        <v>31</v>
      </c>
      <c r="E81" s="39">
        <v>100</v>
      </c>
      <c r="F81" s="39">
        <v>100</v>
      </c>
      <c r="G81" s="40">
        <f>B81*Assumptions!$C$19*365*24*Assumptions!$D$26*1000/(Assumptions!$G$14*0.001) /10^9</f>
        <v>11.502397866094725</v>
      </c>
      <c r="H81" s="40">
        <f>C81*Assumptions!$C$20*365*24*Assumptions!$D$30*1000/(Assumptions!$G$14*0.001) /10^9</f>
        <v>66.048747739753978</v>
      </c>
      <c r="I81" s="40">
        <f>E81*Assumptions!$C$46/(Assumptions!$G$14*0.001) /10^9</f>
        <v>4.4212374096433864</v>
      </c>
      <c r="J81" s="40">
        <f>D81*Assumptions!$C$56/(Assumptions!$G$14*0.001) /10^9</f>
        <v>1.5456513105393319</v>
      </c>
      <c r="K81" s="40">
        <f>F81*Assumptions!$C$65/(Assumptions!$G$14*0.001) /10^9</f>
        <v>4.1756131091076423</v>
      </c>
      <c r="L81" s="47">
        <f>4*Assumptions!$C$10/Assumptions!$G$14</f>
        <v>3.5850379503898764</v>
      </c>
      <c r="M81" s="45">
        <v>82.29</v>
      </c>
      <c r="N81" s="39">
        <v>58</v>
      </c>
      <c r="O81" s="44">
        <f>N81*Assumptions!$C$97/(Assumptions!$G$16*0.001) /10^9*M81/100</f>
        <v>20.070134579217786</v>
      </c>
      <c r="P81" s="48">
        <f>Assumptions!$C$116*Assumptions!$C$113/(Assumptions!$G$16*0.001) /10^9</f>
        <v>2.6088428438793594</v>
      </c>
      <c r="Q81" s="42">
        <f t="shared" si="6"/>
        <v>113.95766280862608</v>
      </c>
      <c r="S81" s="29" t="str">
        <f t="shared" si="7"/>
        <v>(420,31,100,100,58,0.82)</v>
      </c>
    </row>
    <row r="82" spans="2:19">
      <c r="B82" s="38"/>
      <c r="C82" s="39"/>
      <c r="D82" s="39"/>
      <c r="E82" s="39"/>
      <c r="F82" s="39"/>
      <c r="G82" s="40"/>
      <c r="H82" s="40"/>
      <c r="I82" s="40"/>
      <c r="J82" s="40"/>
      <c r="K82" s="40"/>
      <c r="L82" s="47"/>
      <c r="M82" s="45"/>
      <c r="N82" s="39"/>
      <c r="O82" s="44"/>
      <c r="P82" s="48"/>
      <c r="Q82" s="48"/>
      <c r="S82" s="29"/>
    </row>
    <row r="83" spans="2:19">
      <c r="B83" s="38"/>
      <c r="C83" s="39"/>
      <c r="D83" s="39"/>
      <c r="E83" s="39"/>
      <c r="F83" s="39"/>
      <c r="G83" s="40"/>
      <c r="H83" s="40"/>
      <c r="I83" s="40"/>
      <c r="J83" s="40"/>
      <c r="K83" s="40"/>
      <c r="L83" s="47"/>
      <c r="M83" s="45"/>
      <c r="N83" s="39"/>
      <c r="O83" s="44"/>
      <c r="P83" s="48"/>
      <c r="Q83" s="48"/>
      <c r="S83" s="29"/>
    </row>
  </sheetData>
  <autoFilter ref="B4:N4"/>
  <mergeCells count="2">
    <mergeCell ref="G2:L2"/>
    <mergeCell ref="M2:R2"/>
  </mergeCells>
  <phoneticPr fontId="15"/>
  <conditionalFormatting sqref="Q5:Q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:Q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5">
    <cfRule type="colorScale" priority="10">
      <colorScale>
        <cfvo type="min"/>
        <cfvo type="percentile" val="50"/>
        <cfvo type="max"/>
        <color rgb="FFF8696B"/>
        <color theme="0"/>
        <color theme="4"/>
      </colorScale>
    </cfRule>
    <cfRule type="colorScale" priority="11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12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:C21">
    <cfRule type="colorScale" priority="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8">
    <cfRule type="colorScale" priority="2">
      <colorScale>
        <cfvo type="min"/>
        <cfvo type="percentile" val="50"/>
        <cfvo type="max"/>
        <color rgb="FFF8696B"/>
        <color theme="0"/>
        <color theme="4"/>
      </colorScale>
    </cfRule>
    <cfRule type="colorScale" priority="3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4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:C83">
    <cfRule type="colorScale" priority="396">
      <colorScale>
        <cfvo type="min"/>
        <cfvo type="percentile" val="50"/>
        <cfvo type="max"/>
        <color rgb="FFF8696B"/>
        <color theme="0"/>
        <color theme="4"/>
      </colorScale>
    </cfRule>
    <cfRule type="colorScale" priority="397">
      <colorScale>
        <cfvo type="min"/>
        <cfvo type="percentile" val="50"/>
        <cfvo type="max"/>
        <color rgb="FFFF3A22"/>
        <color theme="0"/>
        <color rgb="FF0070C0"/>
      </colorScale>
    </cfRule>
    <cfRule type="colorScale" priority="398">
      <colorScale>
        <cfvo type="min"/>
        <cfvo type="percentile" val="50"/>
        <cfvo type="max"/>
        <color rgb="FFFF7128"/>
        <color theme="0"/>
        <color rgb="FF0070C0"/>
      </colorScale>
    </cfRule>
    <cfRule type="colorScale" priority="3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5:C83">
    <cfRule type="colorScale" priority="4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:C81">
    <cfRule type="colorScale" priority="1">
      <colorScale>
        <cfvo type="min"/>
        <cfvo type="percentile" val="50"/>
        <cfvo type="max"/>
        <color rgb="FFF8696B"/>
        <color theme="0"/>
        <color theme="4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Assumptions</vt:lpstr>
      <vt:lpstr>No DAC</vt:lpstr>
      <vt:lpstr>Zero 43</vt:lpstr>
      <vt:lpstr>Zero 101</vt:lpstr>
      <vt:lpstr>Zero 162</vt:lpstr>
      <vt:lpstr>Neg_43</vt:lpstr>
      <vt:lpstr>Neg_101</vt:lpstr>
      <vt:lpstr>Neg_162</vt:lpstr>
      <vt:lpstr>Neg_162 (100yr)</vt:lpstr>
      <vt:lpstr>Overall</vt:lpstr>
      <vt:lpstr>DAC Capacity 43_101_162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 Suzuki</dc:creator>
  <cp:lastModifiedBy>Rei Suzuki</cp:lastModifiedBy>
  <cp:revision/>
  <dcterms:created xsi:type="dcterms:W3CDTF">2024-02-24T13:18:34Z</dcterms:created>
  <dcterms:modified xsi:type="dcterms:W3CDTF">2025-03-22T23:03:26Z</dcterms:modified>
</cp:coreProperties>
</file>