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i\Downloads\"/>
    </mc:Choice>
  </mc:AlternateContent>
  <xr:revisionPtr revIDLastSave="0" documentId="13_ncr:1_{D65FF633-128A-45B7-B081-8137E7DED2FF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15% - DCF" sheetId="1" r:id="rId1"/>
    <sheet name="DCF  - 10%" sheetId="5" r:id="rId2"/>
    <sheet name="DCF  English)" sheetId="6" r:id="rId3"/>
    <sheet name="DCF  English) (2)" sheetId="7" r:id="rId4"/>
  </sheets>
  <definedNames>
    <definedName name="_xlnm.Print_Area" localSheetId="2">'DCF  English)'!$A$1:$H$37</definedName>
    <definedName name="_xlnm.Print_Area" localSheetId="3">'DCF  English) (2)'!$A$1:$H$34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7" l="1"/>
  <c r="C32" i="7"/>
  <c r="C31" i="7" l="1"/>
  <c r="B27" i="7"/>
  <c r="E20" i="7"/>
  <c r="B20" i="7" s="1"/>
  <c r="G24" i="7" s="1"/>
  <c r="B24" i="7" s="1"/>
  <c r="C10" i="7"/>
  <c r="D10" i="7" s="1"/>
  <c r="E10" i="7" s="1"/>
  <c r="F10" i="7" s="1"/>
  <c r="G10" i="7" s="1"/>
  <c r="K9" i="7"/>
  <c r="K8" i="7"/>
  <c r="K7" i="7"/>
  <c r="C5" i="7"/>
  <c r="D5" i="7" s="1"/>
  <c r="E5" i="7" s="1"/>
  <c r="F5" i="7" s="1"/>
  <c r="G5" i="7" s="1"/>
  <c r="B3" i="7"/>
  <c r="B7" i="7" s="1"/>
  <c r="B12" i="7" s="1"/>
  <c r="C2" i="7"/>
  <c r="D2" i="7" s="1"/>
  <c r="L9" i="6"/>
  <c r="L7" i="6"/>
  <c r="E32" i="6"/>
  <c r="G27" i="6"/>
  <c r="E20" i="6"/>
  <c r="B20" i="6" s="1"/>
  <c r="G24" i="6" s="1"/>
  <c r="B24" i="6" s="1"/>
  <c r="C10" i="6"/>
  <c r="D10" i="6" s="1"/>
  <c r="E10" i="6" s="1"/>
  <c r="F10" i="6" s="1"/>
  <c r="G10" i="6" s="1"/>
  <c r="L8" i="6"/>
  <c r="C5" i="6"/>
  <c r="D5" i="6" s="1"/>
  <c r="E5" i="6" s="1"/>
  <c r="F5" i="6" s="1"/>
  <c r="G5" i="6" s="1"/>
  <c r="B3" i="6"/>
  <c r="B7" i="6" s="1"/>
  <c r="B12" i="6" s="1"/>
  <c r="C2" i="6"/>
  <c r="C9" i="7" l="1"/>
  <c r="C3" i="7"/>
  <c r="D8" i="7"/>
  <c r="E2" i="7"/>
  <c r="D4" i="7"/>
  <c r="D9" i="7"/>
  <c r="D3" i="7"/>
  <c r="B13" i="7"/>
  <c r="B14" i="7" s="1"/>
  <c r="C4" i="7"/>
  <c r="C8" i="7"/>
  <c r="C4" i="6"/>
  <c r="B13" i="6"/>
  <c r="B14" i="6" s="1"/>
  <c r="C8" i="6"/>
  <c r="D2" i="6"/>
  <c r="C3" i="6"/>
  <c r="C9" i="6"/>
  <c r="B31" i="5"/>
  <c r="E20" i="5"/>
  <c r="B20" i="5" s="1"/>
  <c r="G24" i="5" s="1"/>
  <c r="B24" i="5" s="1"/>
  <c r="C10" i="5"/>
  <c r="D10" i="5" s="1"/>
  <c r="E10" i="5" s="1"/>
  <c r="F10" i="5" s="1"/>
  <c r="G10" i="5" s="1"/>
  <c r="I9" i="5"/>
  <c r="I8" i="5"/>
  <c r="I7" i="5"/>
  <c r="C5" i="5"/>
  <c r="D5" i="5" s="1"/>
  <c r="E5" i="5" s="1"/>
  <c r="F5" i="5" s="1"/>
  <c r="G5" i="5" s="1"/>
  <c r="B3" i="5"/>
  <c r="B7" i="5" s="1"/>
  <c r="B12" i="5" s="1"/>
  <c r="C2" i="5"/>
  <c r="B31" i="1"/>
  <c r="C10" i="1"/>
  <c r="C5" i="1"/>
  <c r="E20" i="1"/>
  <c r="C7" i="7" l="1"/>
  <c r="C12" i="7" s="1"/>
  <c r="C13" i="7" s="1"/>
  <c r="C14" i="7" s="1"/>
  <c r="C15" i="7" s="1"/>
  <c r="C4" i="5"/>
  <c r="D7" i="7"/>
  <c r="D12" i="7" s="1"/>
  <c r="E4" i="7"/>
  <c r="E9" i="7"/>
  <c r="E3" i="7"/>
  <c r="E8" i="7"/>
  <c r="F2" i="7"/>
  <c r="C7" i="6"/>
  <c r="C12" i="6" s="1"/>
  <c r="D9" i="6"/>
  <c r="D3" i="6"/>
  <c r="E2" i="6"/>
  <c r="D8" i="6"/>
  <c r="D4" i="6"/>
  <c r="B13" i="5"/>
  <c r="B14" i="5"/>
  <c r="C8" i="5"/>
  <c r="D2" i="5"/>
  <c r="C3" i="5"/>
  <c r="C7" i="5" s="1"/>
  <c r="C9" i="5"/>
  <c r="B20" i="1"/>
  <c r="G24" i="1" s="1"/>
  <c r="B24" i="1" s="1"/>
  <c r="C2" i="1"/>
  <c r="E7" i="7" l="1"/>
  <c r="E12" i="7" s="1"/>
  <c r="E13" i="7" s="1"/>
  <c r="E14" i="7" s="1"/>
  <c r="E15" i="7" s="1"/>
  <c r="D13" i="7"/>
  <c r="D14" i="7" s="1"/>
  <c r="D15" i="7" s="1"/>
  <c r="F9" i="7"/>
  <c r="F3" i="7"/>
  <c r="F4" i="7"/>
  <c r="G2" i="7"/>
  <c r="F8" i="7"/>
  <c r="D7" i="6"/>
  <c r="D12" i="6" s="1"/>
  <c r="F2" i="6"/>
  <c r="E4" i="6"/>
  <c r="E8" i="6"/>
  <c r="E9" i="6"/>
  <c r="E3" i="6"/>
  <c r="C13" i="6"/>
  <c r="C14" i="6" s="1"/>
  <c r="C15" i="6" s="1"/>
  <c r="D9" i="5"/>
  <c r="D3" i="5"/>
  <c r="E2" i="5"/>
  <c r="D8" i="5"/>
  <c r="D4" i="5"/>
  <c r="C12" i="5"/>
  <c r="C4" i="1"/>
  <c r="C3" i="1"/>
  <c r="I7" i="1"/>
  <c r="D5" i="1"/>
  <c r="E5" i="1" s="1"/>
  <c r="F5" i="1" s="1"/>
  <c r="G5" i="1" s="1"/>
  <c r="D10" i="1"/>
  <c r="E10" i="1" s="1"/>
  <c r="F10" i="1" s="1"/>
  <c r="G10" i="1" s="1"/>
  <c r="F7" i="7" l="1"/>
  <c r="F12" i="7" s="1"/>
  <c r="D7" i="5"/>
  <c r="D12" i="5" s="1"/>
  <c r="G8" i="7"/>
  <c r="G3" i="7"/>
  <c r="G4" i="7"/>
  <c r="G9" i="7"/>
  <c r="E7" i="6"/>
  <c r="E12" i="6" s="1"/>
  <c r="F8" i="6"/>
  <c r="F4" i="6"/>
  <c r="F9" i="6"/>
  <c r="F3" i="6"/>
  <c r="G2" i="6"/>
  <c r="D13" i="6"/>
  <c r="D14" i="6" s="1"/>
  <c r="D15" i="6" s="1"/>
  <c r="F2" i="5"/>
  <c r="E8" i="5"/>
  <c r="E3" i="5"/>
  <c r="E4" i="5"/>
  <c r="E9" i="5"/>
  <c r="D13" i="5"/>
  <c r="D14" i="5" s="1"/>
  <c r="D15" i="5" s="1"/>
  <c r="C13" i="5"/>
  <c r="C14" i="5" s="1"/>
  <c r="C15" i="5" s="1"/>
  <c r="C7" i="1"/>
  <c r="D2" i="1"/>
  <c r="D4" i="1" s="1"/>
  <c r="G7" i="7" l="1"/>
  <c r="G12" i="7" s="1"/>
  <c r="F13" i="7"/>
  <c r="F14" i="7" s="1"/>
  <c r="F15" i="7" s="1"/>
  <c r="E13" i="6"/>
  <c r="E14" i="6" s="1"/>
  <c r="E15" i="6" s="1"/>
  <c r="G4" i="6"/>
  <c r="G9" i="6"/>
  <c r="G3" i="6"/>
  <c r="G8" i="6"/>
  <c r="F7" i="6"/>
  <c r="F12" i="6" s="1"/>
  <c r="E7" i="5"/>
  <c r="E12" i="5" s="1"/>
  <c r="F8" i="5"/>
  <c r="G2" i="5"/>
  <c r="F4" i="5"/>
  <c r="F9" i="5"/>
  <c r="F3" i="5"/>
  <c r="E2" i="1"/>
  <c r="G13" i="7" l="1"/>
  <c r="G14" i="7" s="1"/>
  <c r="F13" i="6"/>
  <c r="F14" i="6" s="1"/>
  <c r="F15" i="6" s="1"/>
  <c r="G7" i="6"/>
  <c r="G12" i="6" s="1"/>
  <c r="G4" i="5"/>
  <c r="G8" i="5"/>
  <c r="G9" i="5"/>
  <c r="G3" i="5"/>
  <c r="F7" i="5"/>
  <c r="F12" i="5" s="1"/>
  <c r="E13" i="5"/>
  <c r="E14" i="5" s="1"/>
  <c r="E15" i="5" s="1"/>
  <c r="F2" i="1"/>
  <c r="E4" i="1"/>
  <c r="G7" i="5" l="1"/>
  <c r="G15" i="7"/>
  <c r="E24" i="7"/>
  <c r="D24" i="7" s="1"/>
  <c r="H14" i="7" s="1"/>
  <c r="H15" i="7" s="1"/>
  <c r="H16" i="7" s="1"/>
  <c r="G13" i="6"/>
  <c r="G14" i="6" s="1"/>
  <c r="E24" i="6" s="1"/>
  <c r="G12" i="5"/>
  <c r="G13" i="5" s="1"/>
  <c r="G14" i="5" s="1"/>
  <c r="F13" i="5"/>
  <c r="F14" i="5" s="1"/>
  <c r="F15" i="5" s="1"/>
  <c r="G2" i="1"/>
  <c r="F4" i="1"/>
  <c r="C27" i="7" l="1"/>
  <c r="D24" i="6"/>
  <c r="H14" i="6" s="1"/>
  <c r="H15" i="6" s="1"/>
  <c r="G15" i="6"/>
  <c r="E24" i="5"/>
  <c r="D24" i="5" s="1"/>
  <c r="H14" i="5" s="1"/>
  <c r="H15" i="5" s="1"/>
  <c r="G15" i="5"/>
  <c r="G4" i="1"/>
  <c r="I9" i="1"/>
  <c r="C8" i="1" s="1"/>
  <c r="I8" i="1"/>
  <c r="B16" i="6" l="1"/>
  <c r="B16" i="5"/>
  <c r="B33" i="5" s="1"/>
  <c r="B37" i="5" s="1"/>
  <c r="G9" i="1"/>
  <c r="C9" i="1"/>
  <c r="E27" i="6"/>
  <c r="E36" i="6"/>
  <c r="B30" i="6" s="1"/>
  <c r="D8" i="1"/>
  <c r="E8" i="1"/>
  <c r="F8" i="1"/>
  <c r="G8" i="1"/>
  <c r="D9" i="1"/>
  <c r="E9" i="1"/>
  <c r="F9" i="1"/>
  <c r="D3" i="1"/>
  <c r="D7" i="1" s="1"/>
  <c r="F3" i="1"/>
  <c r="F7" i="1" s="1"/>
  <c r="E3" i="1"/>
  <c r="E7" i="1" s="1"/>
  <c r="G3" i="1"/>
  <c r="G7" i="1" s="1"/>
  <c r="B3" i="1"/>
  <c r="B7" i="1" s="1"/>
  <c r="B12" i="1" s="1"/>
  <c r="B13" i="1" s="1"/>
  <c r="D12" i="1" l="1"/>
  <c r="D13" i="1" s="1"/>
  <c r="D14" i="1" s="1"/>
  <c r="D15" i="1" s="1"/>
  <c r="G12" i="1"/>
  <c r="C12" i="1"/>
  <c r="C13" i="1" s="1"/>
  <c r="C14" i="1" s="1"/>
  <c r="C15" i="1" s="1"/>
  <c r="E12" i="1"/>
  <c r="E13" i="1" s="1"/>
  <c r="E14" i="1" s="1"/>
  <c r="E15" i="1" s="1"/>
  <c r="F12" i="1"/>
  <c r="F13" i="1" s="1"/>
  <c r="F14" i="1" s="1"/>
  <c r="F15" i="1" s="1"/>
  <c r="G13" i="1"/>
  <c r="G14" i="1" s="1"/>
  <c r="E24" i="1" s="1"/>
  <c r="D24" i="1" s="1"/>
  <c r="B14" i="1"/>
  <c r="G15" i="1" l="1"/>
  <c r="H14" i="1"/>
  <c r="H15" i="1" s="1"/>
  <c r="B16" i="1" l="1"/>
  <c r="B33" i="1"/>
  <c r="B37" i="1" s="1"/>
</calcChain>
</file>

<file path=xl/sharedStrings.xml><?xml version="1.0" encoding="utf-8"?>
<sst xmlns="http://schemas.openxmlformats.org/spreadsheetml/2006/main" count="171" uniqueCount="81">
  <si>
    <t>הכנסות</t>
  </si>
  <si>
    <t>רווח גולמי</t>
  </si>
  <si>
    <t>רווח תפעולי</t>
  </si>
  <si>
    <t>פחת</t>
  </si>
  <si>
    <t>הון חוזר</t>
  </si>
  <si>
    <t>השקעות</t>
  </si>
  <si>
    <t>מס</t>
  </si>
  <si>
    <t>היוון</t>
  </si>
  <si>
    <t>WACC</t>
  </si>
  <si>
    <t>Rd</t>
  </si>
  <si>
    <t>Re</t>
  </si>
  <si>
    <t>t</t>
  </si>
  <si>
    <t>wacc=</t>
  </si>
  <si>
    <t>g</t>
  </si>
  <si>
    <t>wacc</t>
  </si>
  <si>
    <t>התחייבויות פיננסיות</t>
  </si>
  <si>
    <t>סה"כ</t>
  </si>
  <si>
    <t>ספקים ונותני שירות</t>
  </si>
  <si>
    <t>זכאים ויתרות זכות</t>
  </si>
  <si>
    <t>מזומן ושווי מזומנים</t>
  </si>
  <si>
    <t>E.V.</t>
  </si>
  <si>
    <t>(התחייבויות פיננסיות נטו)</t>
  </si>
  <si>
    <t>הנחות:</t>
  </si>
  <si>
    <t>גידול במכירות</t>
  </si>
  <si>
    <t>שיעור רווח גולמי</t>
  </si>
  <si>
    <t>שיעור הוצ מכירה</t>
  </si>
  <si>
    <t>הון חוזר כשיעור מההכנסה</t>
  </si>
  <si>
    <t>פחת מההכנסה</t>
  </si>
  <si>
    <t>השקעות ישארו ללש</t>
  </si>
  <si>
    <t>תקבול אחרון</t>
  </si>
  <si>
    <t>צמיחה</t>
  </si>
  <si>
    <t>מכפיל</t>
  </si>
  <si>
    <t>T.V.</t>
  </si>
  <si>
    <t>סה"כ מהוון</t>
  </si>
  <si>
    <t>שווי חברה לפי DCF</t>
  </si>
  <si>
    <t>E/V</t>
  </si>
  <si>
    <t>נכסים פיננסים</t>
  </si>
  <si>
    <t>Total Income</t>
  </si>
  <si>
    <t>ebitda</t>
  </si>
  <si>
    <t>investments</t>
  </si>
  <si>
    <t>sells expans and ads</t>
  </si>
  <si>
    <t>salary expens</t>
  </si>
  <si>
    <t>Gordon Multiply</t>
  </si>
  <si>
    <t>רווחנקי במזומן</t>
  </si>
  <si>
    <t>הוצאות מכירה ופרסום</t>
  </si>
  <si>
    <t>הוצאות הנהלה וכלליות</t>
  </si>
  <si>
    <t>רווח תפעולי במזומן/EBITDA</t>
  </si>
  <si>
    <t>רווח נקי במזומן</t>
  </si>
  <si>
    <t>gross Profit</t>
  </si>
  <si>
    <t>selling and marketing expenses</t>
  </si>
  <si>
    <t>General and administrative expenses</t>
  </si>
  <si>
    <t>operating profit</t>
  </si>
  <si>
    <t>depreciation</t>
  </si>
  <si>
    <t>Working capital</t>
  </si>
  <si>
    <t>tax</t>
  </si>
  <si>
    <t>last dcf</t>
  </si>
  <si>
    <t>last dcf Capitalization</t>
  </si>
  <si>
    <t>multiplayer</t>
  </si>
  <si>
    <t>Gordon Multiplier</t>
  </si>
  <si>
    <t>suppliers</t>
  </si>
  <si>
    <t>eligibles</t>
  </si>
  <si>
    <t>cash</t>
  </si>
  <si>
    <t>net financial</t>
  </si>
  <si>
    <t>financial debit</t>
  </si>
  <si>
    <t>DCF -  Company Value</t>
  </si>
  <si>
    <t>income rise</t>
  </si>
  <si>
    <t>working capital</t>
  </si>
  <si>
    <t>fracture</t>
  </si>
  <si>
    <t>assumptions:</t>
  </si>
  <si>
    <t>discounted</t>
  </si>
  <si>
    <t>DCF Sum</t>
  </si>
  <si>
    <t>financial adjustment</t>
  </si>
  <si>
    <t>cash flow</t>
  </si>
  <si>
    <t>Financial Adjustment</t>
  </si>
  <si>
    <t>Assets</t>
  </si>
  <si>
    <t>Liabilities</t>
  </si>
  <si>
    <t>Model output</t>
  </si>
  <si>
    <t>Company evaluation</t>
  </si>
  <si>
    <t>Gloal assumptions:</t>
  </si>
  <si>
    <t>DCF OUTPUT -  Company Value</t>
  </si>
  <si>
    <t>last cash flow 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</si>
</sst>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0.0%"/>
    <numFmt numFmtId="165" formatCode="_ &quot;₪&quot;\ * #,##0_ ;_ &quot;₪&quot;\ * \-#,##0_ ;_ &quot;₪&quot;\ * &quot;-&quot;??_ ;_ @_ "/>
    <numFmt numFmtId="166" formatCode="#,##0\ [$₽-419]"/>
    <numFmt numFmtId="167" formatCode="_-[$$-409]* #,##0_ ;_-[$$-409]* \-#,##0\ ;_-[$$-409]* &quot;-&quot;??_ ;_-@_ 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1" xfId="0" applyBorder="1"/>
    <xf numFmtId="166" fontId="0" fillId="0" borderId="0" xfId="1" applyNumberFormat="1" applyFont="1"/>
    <xf numFmtId="165" fontId="5" fillId="4" borderId="1" xfId="0" applyNumberFormat="1" applyFont="1" applyFill="1" applyBorder="1"/>
    <xf numFmtId="1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/>
    <xf numFmtId="165" fontId="4" fillId="0" borderId="1" xfId="0" applyNumberFormat="1" applyFont="1" applyBorder="1"/>
    <xf numFmtId="0" fontId="4" fillId="0" borderId="1" xfId="0" applyFont="1" applyBorder="1"/>
    <xf numFmtId="167" fontId="0" fillId="0" borderId="1" xfId="0" applyNumberFormat="1" applyBorder="1"/>
    <xf numFmtId="167" fontId="0" fillId="0" borderId="1" xfId="1" applyNumberFormat="1" applyFont="1" applyBorder="1"/>
    <xf numFmtId="167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/>
    <xf numFmtId="0" fontId="4" fillId="5" borderId="1" xfId="0" applyFont="1" applyFill="1" applyBorder="1"/>
    <xf numFmtId="167" fontId="0" fillId="0" borderId="0" xfId="0" applyNumberFormat="1" applyBorder="1"/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Font="1" applyBorder="1"/>
    <xf numFmtId="0" fontId="6" fillId="0" borderId="4" xfId="0" applyFont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/>
    </xf>
    <xf numFmtId="167" fontId="10" fillId="6" borderId="0" xfId="0" applyNumberFormat="1" applyFont="1" applyFill="1"/>
    <xf numFmtId="165" fontId="4" fillId="5" borderId="5" xfId="0" applyNumberFormat="1" applyFont="1" applyFill="1" applyBorder="1"/>
    <xf numFmtId="167" fontId="0" fillId="0" borderId="5" xfId="0" applyNumberFormat="1" applyBorder="1"/>
    <xf numFmtId="165" fontId="9" fillId="7" borderId="0" xfId="0" applyNumberFormat="1" applyFont="1" applyFill="1" applyBorder="1"/>
    <xf numFmtId="167" fontId="10" fillId="7" borderId="0" xfId="0" applyNumberFormat="1" applyFont="1" applyFill="1" applyBorder="1"/>
    <xf numFmtId="167" fontId="10" fillId="7" borderId="0" xfId="1" applyNumberFormat="1" applyFont="1" applyFill="1" applyBorder="1"/>
    <xf numFmtId="165" fontId="9" fillId="7" borderId="6" xfId="0" applyNumberFormat="1" applyFont="1" applyFill="1" applyBorder="1"/>
    <xf numFmtId="0" fontId="0" fillId="7" borderId="7" xfId="0" applyFill="1" applyBorder="1"/>
    <xf numFmtId="44" fontId="0" fillId="7" borderId="7" xfId="1" applyFont="1" applyFill="1" applyBorder="1"/>
    <xf numFmtId="167" fontId="0" fillId="7" borderId="8" xfId="0" applyNumberFormat="1" applyFill="1" applyBorder="1"/>
    <xf numFmtId="167" fontId="11" fillId="0" borderId="2" xfId="0" applyNumberFormat="1" applyFont="1" applyBorder="1" applyAlignment="1">
      <alignment horizontal="center" vertical="center"/>
    </xf>
    <xf numFmtId="167" fontId="11" fillId="0" borderId="3" xfId="0" applyNumberFormat="1" applyFont="1" applyBorder="1" applyAlignment="1">
      <alignment horizontal="center" vertical="center"/>
    </xf>
    <xf numFmtId="0" fontId="8" fillId="0" borderId="0" xfId="0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rightToLeft="1" topLeftCell="A16"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13" bestFit="1" customWidth="1"/>
    <col min="3" max="7" width="12" bestFit="1" customWidth="1"/>
    <col min="8" max="8" width="13.140625" bestFit="1" customWidth="1"/>
  </cols>
  <sheetData>
    <row r="1" spans="1:10" x14ac:dyDescent="0.25">
      <c r="A1" s="11"/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 t="s">
        <v>32</v>
      </c>
    </row>
    <row r="2" spans="1:10" x14ac:dyDescent="0.25">
      <c r="A2" s="13" t="s">
        <v>0</v>
      </c>
      <c r="B2" s="16">
        <v>10000</v>
      </c>
      <c r="C2" s="17">
        <f>B2*(1+$I$5)</f>
        <v>11500</v>
      </c>
      <c r="D2" s="17">
        <f t="shared" ref="D2:G2" si="0">C2*(1+$I$5)</f>
        <v>13224.999999999998</v>
      </c>
      <c r="E2" s="17">
        <f t="shared" si="0"/>
        <v>15208.749999999996</v>
      </c>
      <c r="F2" s="17">
        <f t="shared" si="0"/>
        <v>17490.062499999993</v>
      </c>
      <c r="G2" s="17">
        <f t="shared" si="0"/>
        <v>20113.571874999991</v>
      </c>
      <c r="H2" s="18"/>
    </row>
    <row r="3" spans="1:10" x14ac:dyDescent="0.25">
      <c r="A3" s="13" t="s">
        <v>1</v>
      </c>
      <c r="B3" s="16">
        <f>B2*I6</f>
        <v>2800.0000000000005</v>
      </c>
      <c r="C3" s="16">
        <f>$I$6*C2</f>
        <v>3220.0000000000005</v>
      </c>
      <c r="D3" s="16">
        <f t="shared" ref="D3:G3" si="1">$I$6*D2</f>
        <v>3703</v>
      </c>
      <c r="E3" s="16">
        <f t="shared" si="1"/>
        <v>4258.45</v>
      </c>
      <c r="F3" s="16">
        <f t="shared" si="1"/>
        <v>4897.2174999999988</v>
      </c>
      <c r="G3" s="16">
        <f t="shared" si="1"/>
        <v>5631.8001249999979</v>
      </c>
      <c r="H3" s="18"/>
    </row>
    <row r="4" spans="1:10" x14ac:dyDescent="0.25">
      <c r="A4" s="13" t="s">
        <v>44</v>
      </c>
      <c r="B4" s="16">
        <v>20</v>
      </c>
      <c r="C4" s="16">
        <f>$I$7*C2</f>
        <v>23</v>
      </c>
      <c r="D4" s="16">
        <f t="shared" ref="D4:G4" si="2">$I$7*D2</f>
        <v>26.449999999999996</v>
      </c>
      <c r="E4" s="16">
        <f t="shared" si="2"/>
        <v>30.417499999999993</v>
      </c>
      <c r="F4" s="16">
        <f t="shared" si="2"/>
        <v>34.980124999999987</v>
      </c>
      <c r="G4" s="16">
        <f t="shared" si="2"/>
        <v>40.227143749999982</v>
      </c>
      <c r="H4" s="18"/>
      <c r="I4" t="s">
        <v>22</v>
      </c>
    </row>
    <row r="5" spans="1:10" x14ac:dyDescent="0.25">
      <c r="A5" s="13" t="s">
        <v>45</v>
      </c>
      <c r="B5" s="16">
        <v>230</v>
      </c>
      <c r="C5" s="17">
        <f>B5</f>
        <v>230</v>
      </c>
      <c r="D5" s="17">
        <f>C5</f>
        <v>230</v>
      </c>
      <c r="E5" s="17">
        <f>D5</f>
        <v>230</v>
      </c>
      <c r="F5" s="17">
        <f>E5</f>
        <v>230</v>
      </c>
      <c r="G5" s="17">
        <f>F5</f>
        <v>230</v>
      </c>
      <c r="H5" s="18"/>
      <c r="I5" s="3">
        <v>0.15</v>
      </c>
      <c r="J5" t="s">
        <v>23</v>
      </c>
    </row>
    <row r="6" spans="1:10" x14ac:dyDescent="0.25">
      <c r="A6" s="14"/>
      <c r="B6" s="16"/>
      <c r="C6" s="16"/>
      <c r="D6" s="16"/>
      <c r="E6" s="16"/>
      <c r="F6" s="16"/>
      <c r="G6" s="16"/>
      <c r="H6" s="18"/>
      <c r="I6" s="3">
        <v>0.28000000000000003</v>
      </c>
      <c r="J6" t="s">
        <v>24</v>
      </c>
    </row>
    <row r="7" spans="1:10" x14ac:dyDescent="0.25">
      <c r="A7" s="13" t="s">
        <v>2</v>
      </c>
      <c r="B7" s="16">
        <f>(B3-B4-B5)</f>
        <v>2550.0000000000005</v>
      </c>
      <c r="C7" s="16">
        <f>C3-C4-C5</f>
        <v>2967.0000000000005</v>
      </c>
      <c r="D7" s="16">
        <f t="shared" ref="D7:G7" si="3">D3-D4-D5</f>
        <v>3446.55</v>
      </c>
      <c r="E7" s="16">
        <f t="shared" si="3"/>
        <v>3998.0325000000003</v>
      </c>
      <c r="F7" s="16">
        <f t="shared" si="3"/>
        <v>4632.2373749999988</v>
      </c>
      <c r="G7" s="16">
        <f t="shared" si="3"/>
        <v>5361.5729812499976</v>
      </c>
      <c r="H7" s="18"/>
      <c r="I7" s="4">
        <f>B4/B2</f>
        <v>2E-3</v>
      </c>
      <c r="J7" t="s">
        <v>25</v>
      </c>
    </row>
    <row r="8" spans="1:10" x14ac:dyDescent="0.25">
      <c r="A8" s="13" t="s">
        <v>3</v>
      </c>
      <c r="B8" s="16">
        <v>300</v>
      </c>
      <c r="C8" s="16">
        <f>C2*$I$9</f>
        <v>345</v>
      </c>
      <c r="D8" s="16">
        <f t="shared" ref="D8:G8" si="4">D2*$I$9</f>
        <v>396.74999999999994</v>
      </c>
      <c r="E8" s="16">
        <f t="shared" si="4"/>
        <v>456.26249999999987</v>
      </c>
      <c r="F8" s="16">
        <f t="shared" si="4"/>
        <v>524.70187499999975</v>
      </c>
      <c r="G8" s="16">
        <f t="shared" si="4"/>
        <v>603.40715624999973</v>
      </c>
      <c r="H8" s="18"/>
      <c r="I8" s="5">
        <f>B9/B2</f>
        <v>0.1</v>
      </c>
      <c r="J8" t="s">
        <v>26</v>
      </c>
    </row>
    <row r="9" spans="1:10" x14ac:dyDescent="0.25">
      <c r="A9" s="13" t="s">
        <v>4</v>
      </c>
      <c r="B9" s="16">
        <v>1000</v>
      </c>
      <c r="C9" s="16">
        <f>C2*$I$8</f>
        <v>1150</v>
      </c>
      <c r="D9" s="16">
        <f t="shared" ref="D9:G9" si="5">D2*$I$8</f>
        <v>1322.5</v>
      </c>
      <c r="E9" s="16">
        <f t="shared" si="5"/>
        <v>1520.8749999999998</v>
      </c>
      <c r="F9" s="16">
        <f t="shared" si="5"/>
        <v>1749.0062499999995</v>
      </c>
      <c r="G9" s="16">
        <f t="shared" si="5"/>
        <v>2011.3571874999991</v>
      </c>
      <c r="H9" s="18"/>
      <c r="I9" s="4">
        <f>B8/B2</f>
        <v>0.03</v>
      </c>
      <c r="J9" t="s">
        <v>27</v>
      </c>
    </row>
    <row r="10" spans="1:10" x14ac:dyDescent="0.25">
      <c r="A10" s="13" t="s">
        <v>5</v>
      </c>
      <c r="B10" s="16">
        <v>80</v>
      </c>
      <c r="C10" s="17">
        <f>B10</f>
        <v>80</v>
      </c>
      <c r="D10" s="17">
        <f>C10</f>
        <v>80</v>
      </c>
      <c r="E10" s="17">
        <f>D10</f>
        <v>80</v>
      </c>
      <c r="F10" s="17">
        <f>E10</f>
        <v>80</v>
      </c>
      <c r="G10" s="17">
        <f>F10</f>
        <v>80</v>
      </c>
      <c r="H10" s="18"/>
      <c r="J10" t="s">
        <v>28</v>
      </c>
    </row>
    <row r="11" spans="1:10" x14ac:dyDescent="0.25">
      <c r="A11" s="15"/>
      <c r="B11" s="16"/>
      <c r="C11" s="16"/>
      <c r="D11" s="16"/>
      <c r="E11" s="16"/>
      <c r="F11" s="16"/>
      <c r="G11" s="16"/>
      <c r="H11" s="18"/>
    </row>
    <row r="12" spans="1:10" x14ac:dyDescent="0.25">
      <c r="A12" s="13" t="s">
        <v>46</v>
      </c>
      <c r="B12" s="16">
        <f>B7+B8-B9-B10</f>
        <v>1770.0000000000005</v>
      </c>
      <c r="C12" s="16">
        <f t="shared" ref="C12:G12" si="6">C7+C8-C9-C10</f>
        <v>2082.0000000000005</v>
      </c>
      <c r="D12" s="16">
        <f t="shared" si="6"/>
        <v>2440.8000000000002</v>
      </c>
      <c r="E12" s="16">
        <f t="shared" si="6"/>
        <v>2853.42</v>
      </c>
      <c r="F12" s="16">
        <f t="shared" si="6"/>
        <v>3327.9329999999991</v>
      </c>
      <c r="G12" s="16">
        <f t="shared" si="6"/>
        <v>3873.6229499999981</v>
      </c>
      <c r="H12" s="18"/>
    </row>
    <row r="13" spans="1:10" x14ac:dyDescent="0.25">
      <c r="A13" s="13" t="s">
        <v>6</v>
      </c>
      <c r="B13" s="16">
        <f>0.24*B12</f>
        <v>424.80000000000007</v>
      </c>
      <c r="C13" s="16">
        <f t="shared" ref="C13:G13" si="7">0.25*C12</f>
        <v>520.50000000000011</v>
      </c>
      <c r="D13" s="16">
        <f t="shared" si="7"/>
        <v>610.20000000000005</v>
      </c>
      <c r="E13" s="16">
        <f t="shared" si="7"/>
        <v>713.35500000000002</v>
      </c>
      <c r="F13" s="16">
        <f t="shared" si="7"/>
        <v>831.98324999999977</v>
      </c>
      <c r="G13" s="16">
        <f t="shared" si="7"/>
        <v>968.40573749999953</v>
      </c>
      <c r="H13" s="18"/>
    </row>
    <row r="14" spans="1:10" x14ac:dyDescent="0.25">
      <c r="A14" s="13" t="s">
        <v>47</v>
      </c>
      <c r="B14" s="16">
        <f>B12-B13</f>
        <v>1345.2000000000003</v>
      </c>
      <c r="C14" s="16">
        <f t="shared" ref="C14:G14" si="8">C12-C13</f>
        <v>1561.5000000000005</v>
      </c>
      <c r="D14" s="16">
        <f t="shared" si="8"/>
        <v>1830.6000000000001</v>
      </c>
      <c r="E14" s="16">
        <f t="shared" si="8"/>
        <v>2140.0650000000001</v>
      </c>
      <c r="F14" s="16">
        <f t="shared" si="8"/>
        <v>2495.9497499999993</v>
      </c>
      <c r="G14" s="16">
        <f t="shared" si="8"/>
        <v>2905.2172124999988</v>
      </c>
      <c r="H14" s="18">
        <f>D24*B24</f>
        <v>38520.229470752005</v>
      </c>
    </row>
    <row r="15" spans="1:10" x14ac:dyDescent="0.25">
      <c r="A15" s="9" t="s">
        <v>7</v>
      </c>
      <c r="B15" s="16"/>
      <c r="C15" s="17">
        <f>C14/((1+G24)^0.5)</f>
        <v>1490.9144895196739</v>
      </c>
      <c r="D15" s="17">
        <f>D14/((1+G24)^1.5)</f>
        <v>1593.4032504038498</v>
      </c>
      <c r="E15" s="17">
        <f>E14/((1+G24)^2.5)</f>
        <v>1698.1681800017841</v>
      </c>
      <c r="F15" s="17">
        <f>F14/((1+G24)^3.5)</f>
        <v>1805.5564290440445</v>
      </c>
      <c r="G15" s="17">
        <f>G14/((1+G24)^4.5)</f>
        <v>1915.9109993388017</v>
      </c>
      <c r="H15" s="17">
        <f>H14/((1+G24)^4.5)</f>
        <v>25403.033901400053</v>
      </c>
    </row>
    <row r="16" spans="1:10" x14ac:dyDescent="0.25">
      <c r="A16" t="s">
        <v>33</v>
      </c>
      <c r="B16" s="16">
        <f>SUM(C15:H15)</f>
        <v>33906.987249708211</v>
      </c>
      <c r="C16" t="s">
        <v>20</v>
      </c>
      <c r="G16" s="1"/>
    </row>
    <row r="17" spans="1:7" x14ac:dyDescent="0.25">
      <c r="A17" s="20" t="s">
        <v>8</v>
      </c>
      <c r="B17" s="20"/>
      <c r="C17" s="20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  <row r="19" spans="1:7" x14ac:dyDescent="0.25">
      <c r="D19" t="s">
        <v>35</v>
      </c>
      <c r="E19" t="s">
        <v>9</v>
      </c>
      <c r="F19" t="s">
        <v>10</v>
      </c>
      <c r="G19" t="s">
        <v>11</v>
      </c>
    </row>
    <row r="20" spans="1:7" x14ac:dyDescent="0.25">
      <c r="B20" s="4">
        <f>D20*F20+(1-D20)*E20*(1-G20)</f>
        <v>9.6928969465252465E-2</v>
      </c>
      <c r="C20" t="s">
        <v>12</v>
      </c>
      <c r="D20" s="8">
        <v>0.15</v>
      </c>
      <c r="E20" s="7">
        <f>1.01^12-1</f>
        <v>0.12682503013196977</v>
      </c>
      <c r="F20" s="7">
        <v>0.1</v>
      </c>
      <c r="G20" s="7">
        <v>0.24</v>
      </c>
    </row>
    <row r="21" spans="1:7" x14ac:dyDescent="0.25">
      <c r="A21" s="20" t="s">
        <v>42</v>
      </c>
      <c r="B21" s="20"/>
      <c r="C21" s="20"/>
      <c r="D21" s="20"/>
      <c r="E21" s="20"/>
      <c r="F21" s="20"/>
      <c r="G21" s="20"/>
    </row>
    <row r="22" spans="1:7" x14ac:dyDescent="0.25">
      <c r="A22" s="20"/>
      <c r="B22" s="20"/>
      <c r="C22" s="20"/>
      <c r="D22" s="20"/>
      <c r="E22" s="20"/>
      <c r="F22" s="20"/>
      <c r="G22" s="20"/>
    </row>
    <row r="23" spans="1:7" x14ac:dyDescent="0.25">
      <c r="B23" t="s">
        <v>31</v>
      </c>
      <c r="D23" t="s">
        <v>30</v>
      </c>
      <c r="E23" t="s">
        <v>29</v>
      </c>
      <c r="F23" t="s">
        <v>13</v>
      </c>
      <c r="G23" t="s">
        <v>14</v>
      </c>
    </row>
    <row r="24" spans="1:7" x14ac:dyDescent="0.25">
      <c r="B24" s="6">
        <f>1/(G24-F24)</f>
        <v>12.999004236650842</v>
      </c>
      <c r="D24" s="1">
        <f>E24*(1+F24)</f>
        <v>2963.3215567499988</v>
      </c>
      <c r="E24" s="2">
        <f>G14</f>
        <v>2905.2172124999988</v>
      </c>
      <c r="F24" s="8">
        <v>0.02</v>
      </c>
      <c r="G24" s="7">
        <f>B20</f>
        <v>9.6928969465252465E-2</v>
      </c>
    </row>
    <row r="25" spans="1:7" x14ac:dyDescent="0.25">
      <c r="A25" s="20" t="s">
        <v>15</v>
      </c>
      <c r="B25" s="20"/>
      <c r="C25" s="20"/>
      <c r="D25" s="20"/>
      <c r="E25" s="20"/>
      <c r="F25" s="20"/>
      <c r="G25" s="20"/>
    </row>
    <row r="26" spans="1:7" x14ac:dyDescent="0.25">
      <c r="A26" s="20"/>
      <c r="B26" s="20"/>
      <c r="C26" s="20"/>
      <c r="D26" s="20"/>
      <c r="E26" s="20"/>
      <c r="F26" s="20"/>
      <c r="G26" s="20"/>
    </row>
    <row r="27" spans="1:7" x14ac:dyDescent="0.25">
      <c r="A27" t="s">
        <v>16</v>
      </c>
      <c r="B27" s="10"/>
    </row>
    <row r="28" spans="1:7" x14ac:dyDescent="0.25">
      <c r="A28" t="s">
        <v>17</v>
      </c>
      <c r="B28" s="16">
        <v>-80</v>
      </c>
    </row>
    <row r="29" spans="1:7" x14ac:dyDescent="0.25">
      <c r="A29" t="s">
        <v>18</v>
      </c>
      <c r="B29" s="16">
        <v>100</v>
      </c>
    </row>
    <row r="30" spans="1:7" x14ac:dyDescent="0.25">
      <c r="A30" t="s">
        <v>19</v>
      </c>
      <c r="B30" s="16">
        <v>150</v>
      </c>
    </row>
    <row r="31" spans="1:7" x14ac:dyDescent="0.25">
      <c r="A31" t="s">
        <v>36</v>
      </c>
      <c r="B31" s="16">
        <f>SUM(B28:B30)</f>
        <v>170</v>
      </c>
    </row>
    <row r="33" spans="1:3" x14ac:dyDescent="0.25">
      <c r="A33" t="s">
        <v>20</v>
      </c>
      <c r="B33" s="16">
        <f>B16+B31</f>
        <v>34076.987249708211</v>
      </c>
    </row>
    <row r="34" spans="1:3" x14ac:dyDescent="0.25">
      <c r="A34" t="s">
        <v>21</v>
      </c>
      <c r="B34" s="16">
        <v>-1500</v>
      </c>
    </row>
    <row r="36" spans="1:3" ht="20.25" customHeight="1" x14ac:dyDescent="0.35">
      <c r="B36" s="21" t="s">
        <v>34</v>
      </c>
      <c r="C36" s="21"/>
    </row>
    <row r="37" spans="1:3" ht="20.25" customHeight="1" x14ac:dyDescent="0.25">
      <c r="B37" s="22">
        <f>B33+B34</f>
        <v>32576.987249708211</v>
      </c>
      <c r="C37" s="23"/>
    </row>
  </sheetData>
  <mergeCells count="5">
    <mergeCell ref="A17:G18"/>
    <mergeCell ref="A21:G22"/>
    <mergeCell ref="A25:G26"/>
    <mergeCell ref="B36:C36"/>
    <mergeCell ref="B37:C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rightToLeft="1" topLeftCell="A22" workbookViewId="0"/>
  </sheetViews>
  <sheetFormatPr defaultRowHeight="15" x14ac:dyDescent="0.25"/>
  <cols>
    <col min="1" max="1" width="18" customWidth="1"/>
    <col min="2" max="2" width="13" bestFit="1" customWidth="1"/>
    <col min="3" max="7" width="12" bestFit="1" customWidth="1"/>
    <col min="8" max="8" width="13.140625" bestFit="1" customWidth="1"/>
  </cols>
  <sheetData>
    <row r="1" spans="1:10" x14ac:dyDescent="0.25">
      <c r="A1" s="11"/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 t="s">
        <v>32</v>
      </c>
    </row>
    <row r="2" spans="1:10" x14ac:dyDescent="0.25">
      <c r="A2" s="13" t="s">
        <v>37</v>
      </c>
      <c r="B2" s="16">
        <v>10000</v>
      </c>
      <c r="C2" s="17">
        <f>B2*(1+$I$5)</f>
        <v>11000</v>
      </c>
      <c r="D2" s="17">
        <f t="shared" ref="D2:G2" si="0">C2*(1+$I$5)</f>
        <v>12100.000000000002</v>
      </c>
      <c r="E2" s="17">
        <f t="shared" si="0"/>
        <v>13310.000000000004</v>
      </c>
      <c r="F2" s="17">
        <f t="shared" si="0"/>
        <v>14641.000000000005</v>
      </c>
      <c r="G2" s="17">
        <f t="shared" si="0"/>
        <v>16105.100000000008</v>
      </c>
      <c r="H2" s="18"/>
    </row>
    <row r="3" spans="1:10" x14ac:dyDescent="0.25">
      <c r="A3" s="13" t="s">
        <v>1</v>
      </c>
      <c r="B3" s="16">
        <f>B2*I6</f>
        <v>2800.0000000000005</v>
      </c>
      <c r="C3" s="16">
        <f>$I$6*C2</f>
        <v>3080.0000000000005</v>
      </c>
      <c r="D3" s="16">
        <f t="shared" ref="D3:G3" si="1">$I$6*D2</f>
        <v>3388.0000000000009</v>
      </c>
      <c r="E3" s="16">
        <f t="shared" si="1"/>
        <v>3726.8000000000015</v>
      </c>
      <c r="F3" s="16">
        <f t="shared" si="1"/>
        <v>4099.4800000000023</v>
      </c>
      <c r="G3" s="16">
        <f t="shared" si="1"/>
        <v>4509.4280000000026</v>
      </c>
      <c r="H3" s="18"/>
    </row>
    <row r="4" spans="1:10" x14ac:dyDescent="0.25">
      <c r="A4" s="13" t="s">
        <v>40</v>
      </c>
      <c r="B4" s="16">
        <v>20</v>
      </c>
      <c r="C4" s="16">
        <f>$I$7*C2</f>
        <v>22</v>
      </c>
      <c r="D4" s="16">
        <f t="shared" ref="D4:G4" si="2">$I$7*D2</f>
        <v>24.200000000000003</v>
      </c>
      <c r="E4" s="16">
        <f t="shared" si="2"/>
        <v>26.620000000000008</v>
      </c>
      <c r="F4" s="16">
        <f t="shared" si="2"/>
        <v>29.282000000000011</v>
      </c>
      <c r="G4" s="16">
        <f t="shared" si="2"/>
        <v>32.210200000000015</v>
      </c>
      <c r="H4" s="18"/>
      <c r="I4" t="s">
        <v>22</v>
      </c>
    </row>
    <row r="5" spans="1:10" x14ac:dyDescent="0.25">
      <c r="A5" s="13" t="s">
        <v>41</v>
      </c>
      <c r="B5" s="16">
        <v>230</v>
      </c>
      <c r="C5" s="17">
        <f>B5</f>
        <v>230</v>
      </c>
      <c r="D5" s="17">
        <f>C5</f>
        <v>230</v>
      </c>
      <c r="E5" s="17">
        <f>D5</f>
        <v>230</v>
      </c>
      <c r="F5" s="17">
        <f>E5</f>
        <v>230</v>
      </c>
      <c r="G5" s="17">
        <f>F5</f>
        <v>230</v>
      </c>
      <c r="H5" s="18"/>
      <c r="I5" s="3">
        <v>0.1</v>
      </c>
      <c r="J5" t="s">
        <v>23</v>
      </c>
    </row>
    <row r="6" spans="1:10" x14ac:dyDescent="0.25">
      <c r="A6" s="14"/>
      <c r="B6" s="16"/>
      <c r="C6" s="16"/>
      <c r="D6" s="16"/>
      <c r="E6" s="16"/>
      <c r="F6" s="16"/>
      <c r="G6" s="16"/>
      <c r="H6" s="18"/>
      <c r="I6" s="3">
        <v>0.28000000000000003</v>
      </c>
      <c r="J6" t="s">
        <v>24</v>
      </c>
    </row>
    <row r="7" spans="1:10" x14ac:dyDescent="0.25">
      <c r="A7" s="13" t="s">
        <v>2</v>
      </c>
      <c r="B7" s="16">
        <f>(B3-B4-B5)</f>
        <v>2550.0000000000005</v>
      </c>
      <c r="C7" s="16">
        <f>C3-C4-C5</f>
        <v>2828.0000000000005</v>
      </c>
      <c r="D7" s="16">
        <f t="shared" ref="D7:G7" si="3">D3-D4-D5</f>
        <v>3133.8000000000011</v>
      </c>
      <c r="E7" s="16">
        <f t="shared" si="3"/>
        <v>3470.1800000000017</v>
      </c>
      <c r="F7" s="16">
        <f t="shared" si="3"/>
        <v>3840.1980000000021</v>
      </c>
      <c r="G7" s="16">
        <f t="shared" si="3"/>
        <v>4247.2178000000022</v>
      </c>
      <c r="H7" s="18"/>
      <c r="I7" s="4">
        <f>B4/B2</f>
        <v>2E-3</v>
      </c>
      <c r="J7" t="s">
        <v>25</v>
      </c>
    </row>
    <row r="8" spans="1:10" x14ac:dyDescent="0.25">
      <c r="A8" s="13" t="s">
        <v>3</v>
      </c>
      <c r="B8" s="16">
        <v>300</v>
      </c>
      <c r="C8" s="16">
        <f>C2*$I$9</f>
        <v>330</v>
      </c>
      <c r="D8" s="16">
        <f t="shared" ref="D8:G8" si="4">D2*$I$9</f>
        <v>363.00000000000006</v>
      </c>
      <c r="E8" s="16">
        <f t="shared" si="4"/>
        <v>399.30000000000007</v>
      </c>
      <c r="F8" s="16">
        <f t="shared" si="4"/>
        <v>439.23000000000013</v>
      </c>
      <c r="G8" s="16">
        <f t="shared" si="4"/>
        <v>483.15300000000019</v>
      </c>
      <c r="H8" s="18"/>
      <c r="I8" s="5">
        <f>B9/B2</f>
        <v>0.1</v>
      </c>
      <c r="J8" t="s">
        <v>26</v>
      </c>
    </row>
    <row r="9" spans="1:10" x14ac:dyDescent="0.25">
      <c r="A9" s="13" t="s">
        <v>4</v>
      </c>
      <c r="B9" s="16">
        <v>1000</v>
      </c>
      <c r="C9" s="16">
        <f>C2*$I$8</f>
        <v>1100</v>
      </c>
      <c r="D9" s="16">
        <f t="shared" ref="D9:G9" si="5">D2*$I$8</f>
        <v>1210.0000000000002</v>
      </c>
      <c r="E9" s="16">
        <f t="shared" si="5"/>
        <v>1331.0000000000005</v>
      </c>
      <c r="F9" s="16">
        <f t="shared" si="5"/>
        <v>1464.1000000000006</v>
      </c>
      <c r="G9" s="16">
        <f t="shared" si="5"/>
        <v>1610.5100000000009</v>
      </c>
      <c r="H9" s="18"/>
      <c r="I9" s="4">
        <f>B8/B2</f>
        <v>0.03</v>
      </c>
      <c r="J9" t="s">
        <v>27</v>
      </c>
    </row>
    <row r="10" spans="1:10" x14ac:dyDescent="0.25">
      <c r="A10" s="13" t="s">
        <v>39</v>
      </c>
      <c r="B10" s="16">
        <v>80</v>
      </c>
      <c r="C10" s="17">
        <f>B10</f>
        <v>80</v>
      </c>
      <c r="D10" s="17">
        <f>C10</f>
        <v>80</v>
      </c>
      <c r="E10" s="17">
        <f>D10</f>
        <v>80</v>
      </c>
      <c r="F10" s="17">
        <f>E10</f>
        <v>80</v>
      </c>
      <c r="G10" s="17">
        <f>F10</f>
        <v>80</v>
      </c>
      <c r="H10" s="18"/>
      <c r="J10" t="s">
        <v>28</v>
      </c>
    </row>
    <row r="11" spans="1:10" x14ac:dyDescent="0.25">
      <c r="A11" s="15"/>
      <c r="B11" s="16"/>
      <c r="C11" s="16"/>
      <c r="D11" s="16"/>
      <c r="E11" s="16"/>
      <c r="F11" s="16"/>
      <c r="G11" s="16"/>
      <c r="H11" s="18"/>
    </row>
    <row r="12" spans="1:10" x14ac:dyDescent="0.25">
      <c r="A12" s="13" t="s">
        <v>38</v>
      </c>
      <c r="B12" s="16">
        <f>B7+B8-B9-B10</f>
        <v>1770.0000000000005</v>
      </c>
      <c r="C12" s="16">
        <f t="shared" ref="C12:G12" si="6">C7+C8-C9-C10</f>
        <v>1978.0000000000005</v>
      </c>
      <c r="D12" s="16">
        <f t="shared" si="6"/>
        <v>2206.8000000000011</v>
      </c>
      <c r="E12" s="16">
        <f t="shared" si="6"/>
        <v>2458.4800000000014</v>
      </c>
      <c r="F12" s="16">
        <f t="shared" si="6"/>
        <v>2735.3280000000022</v>
      </c>
      <c r="G12" s="16">
        <f t="shared" si="6"/>
        <v>3039.8608000000013</v>
      </c>
      <c r="H12" s="18"/>
    </row>
    <row r="13" spans="1:10" x14ac:dyDescent="0.25">
      <c r="A13" s="13" t="s">
        <v>6</v>
      </c>
      <c r="B13" s="16">
        <f>0.24*B12</f>
        <v>424.80000000000007</v>
      </c>
      <c r="C13" s="16">
        <f t="shared" ref="C13:G13" si="7">0.25*C12</f>
        <v>494.50000000000011</v>
      </c>
      <c r="D13" s="16">
        <f t="shared" si="7"/>
        <v>551.70000000000027</v>
      </c>
      <c r="E13" s="16">
        <f t="shared" si="7"/>
        <v>614.62000000000035</v>
      </c>
      <c r="F13" s="16">
        <f t="shared" si="7"/>
        <v>683.83200000000056</v>
      </c>
      <c r="G13" s="16">
        <f t="shared" si="7"/>
        <v>759.96520000000032</v>
      </c>
      <c r="H13" s="18"/>
    </row>
    <row r="14" spans="1:10" x14ac:dyDescent="0.25">
      <c r="A14" s="13" t="s">
        <v>43</v>
      </c>
      <c r="B14" s="16">
        <f>B12-B13</f>
        <v>1345.2000000000003</v>
      </c>
      <c r="C14" s="16">
        <f t="shared" ref="C14:G14" si="8">C12-C13</f>
        <v>1483.5000000000005</v>
      </c>
      <c r="D14" s="16">
        <f t="shared" si="8"/>
        <v>1655.1000000000008</v>
      </c>
      <c r="E14" s="16">
        <f t="shared" si="8"/>
        <v>1843.860000000001</v>
      </c>
      <c r="F14" s="16">
        <f t="shared" si="8"/>
        <v>2051.4960000000019</v>
      </c>
      <c r="G14" s="16">
        <f t="shared" si="8"/>
        <v>2279.8956000000007</v>
      </c>
      <c r="H14" s="18">
        <f>D24*B24</f>
        <v>30229.100014792057</v>
      </c>
    </row>
    <row r="15" spans="1:10" x14ac:dyDescent="0.25">
      <c r="A15" s="9" t="s">
        <v>7</v>
      </c>
      <c r="B15" s="16"/>
      <c r="C15" s="17">
        <f>C14/((1+G24)^0.5)</f>
        <v>1416.4403747694116</v>
      </c>
      <c r="D15" s="17">
        <f>D14/((1+G24)^1.5)</f>
        <v>1440.6433517663131</v>
      </c>
      <c r="E15" s="17">
        <f>E14/((1+G24)^2.5)</f>
        <v>1463.1258304668743</v>
      </c>
      <c r="F15" s="17">
        <f>F14/((1+G24)^3.5)</f>
        <v>1484.0410116261939</v>
      </c>
      <c r="G15" s="17">
        <f>G14/((1+G24)^4.5)</f>
        <v>1503.5285618541818</v>
      </c>
      <c r="H15" s="17">
        <f>H14/((1+G24)^4.5)</f>
        <v>19935.261628377419</v>
      </c>
    </row>
    <row r="16" spans="1:10" x14ac:dyDescent="0.25">
      <c r="A16" t="s">
        <v>33</v>
      </c>
      <c r="B16" s="16">
        <f>SUM(C15:H15)</f>
        <v>27243.040758860392</v>
      </c>
      <c r="C16" t="s">
        <v>20</v>
      </c>
      <c r="G16" s="1"/>
    </row>
    <row r="17" spans="1:7" x14ac:dyDescent="0.25">
      <c r="A17" s="20" t="s">
        <v>8</v>
      </c>
      <c r="B17" s="20"/>
      <c r="C17" s="20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  <row r="19" spans="1:7" x14ac:dyDescent="0.25">
      <c r="D19" t="s">
        <v>35</v>
      </c>
      <c r="E19" t="s">
        <v>9</v>
      </c>
      <c r="F19" t="s">
        <v>10</v>
      </c>
      <c r="G19" t="s">
        <v>11</v>
      </c>
    </row>
    <row r="20" spans="1:7" x14ac:dyDescent="0.25">
      <c r="B20" s="4">
        <f>D20*F20+(1-D20)*E20*(1-G20)</f>
        <v>9.6928969465252465E-2</v>
      </c>
      <c r="C20" t="s">
        <v>12</v>
      </c>
      <c r="D20" s="8">
        <v>0.15</v>
      </c>
      <c r="E20" s="7">
        <f>1.01^12-1</f>
        <v>0.12682503013196977</v>
      </c>
      <c r="F20" s="7">
        <v>0.1</v>
      </c>
      <c r="G20" s="7">
        <v>0.24</v>
      </c>
    </row>
    <row r="21" spans="1:7" x14ac:dyDescent="0.25">
      <c r="A21" s="20" t="s">
        <v>42</v>
      </c>
      <c r="B21" s="20"/>
      <c r="C21" s="20"/>
      <c r="D21" s="20"/>
      <c r="E21" s="20"/>
      <c r="F21" s="20"/>
      <c r="G21" s="20"/>
    </row>
    <row r="22" spans="1:7" x14ac:dyDescent="0.25">
      <c r="A22" s="20"/>
      <c r="B22" s="20"/>
      <c r="C22" s="20"/>
      <c r="D22" s="20"/>
      <c r="E22" s="20"/>
      <c r="F22" s="20"/>
      <c r="G22" s="20"/>
    </row>
    <row r="23" spans="1:7" x14ac:dyDescent="0.25">
      <c r="B23" t="s">
        <v>31</v>
      </c>
      <c r="D23" t="s">
        <v>30</v>
      </c>
      <c r="E23" t="s">
        <v>29</v>
      </c>
      <c r="F23" t="s">
        <v>13</v>
      </c>
      <c r="G23" t="s">
        <v>14</v>
      </c>
    </row>
    <row r="24" spans="1:7" x14ac:dyDescent="0.25">
      <c r="B24" s="6">
        <f>1/(G24-F24)</f>
        <v>12.999004236650842</v>
      </c>
      <c r="D24" s="1">
        <f>E24*(1+F24)</f>
        <v>2325.4935120000009</v>
      </c>
      <c r="E24" s="2">
        <f>G14</f>
        <v>2279.8956000000007</v>
      </c>
      <c r="F24" s="8">
        <v>0.02</v>
      </c>
      <c r="G24" s="7">
        <f>B20</f>
        <v>9.6928969465252465E-2</v>
      </c>
    </row>
    <row r="25" spans="1:7" x14ac:dyDescent="0.25">
      <c r="A25" s="20" t="s">
        <v>15</v>
      </c>
      <c r="B25" s="20"/>
      <c r="C25" s="20"/>
      <c r="D25" s="20"/>
      <c r="E25" s="20"/>
      <c r="F25" s="20"/>
      <c r="G25" s="20"/>
    </row>
    <row r="26" spans="1:7" x14ac:dyDescent="0.25">
      <c r="A26" s="20"/>
      <c r="B26" s="20"/>
      <c r="C26" s="20"/>
      <c r="D26" s="20"/>
      <c r="E26" s="20"/>
      <c r="F26" s="20"/>
      <c r="G26" s="20"/>
    </row>
    <row r="27" spans="1:7" x14ac:dyDescent="0.25">
      <c r="A27" t="s">
        <v>16</v>
      </c>
      <c r="B27" s="10"/>
    </row>
    <row r="28" spans="1:7" x14ac:dyDescent="0.25">
      <c r="A28" t="s">
        <v>17</v>
      </c>
      <c r="B28" s="16">
        <v>-80</v>
      </c>
    </row>
    <row r="29" spans="1:7" x14ac:dyDescent="0.25">
      <c r="A29" t="s">
        <v>18</v>
      </c>
      <c r="B29" s="16">
        <v>100</v>
      </c>
    </row>
    <row r="30" spans="1:7" x14ac:dyDescent="0.25">
      <c r="A30" t="s">
        <v>19</v>
      </c>
      <c r="B30" s="16">
        <v>150</v>
      </c>
    </row>
    <row r="31" spans="1:7" x14ac:dyDescent="0.25">
      <c r="A31" t="s">
        <v>36</v>
      </c>
      <c r="B31" s="16">
        <f>SUM(B28:B30)</f>
        <v>170</v>
      </c>
    </row>
    <row r="33" spans="1:3" x14ac:dyDescent="0.25">
      <c r="A33" t="s">
        <v>20</v>
      </c>
      <c r="B33" s="16">
        <f>B16+B31</f>
        <v>27413.040758860392</v>
      </c>
    </row>
    <row r="34" spans="1:3" x14ac:dyDescent="0.25">
      <c r="A34" t="s">
        <v>21</v>
      </c>
      <c r="B34" s="16">
        <v>-1500</v>
      </c>
    </row>
    <row r="36" spans="1:3" ht="20.25" customHeight="1" x14ac:dyDescent="0.35">
      <c r="B36" s="21" t="s">
        <v>34</v>
      </c>
      <c r="C36" s="21"/>
    </row>
    <row r="37" spans="1:3" ht="20.25" customHeight="1" x14ac:dyDescent="0.25">
      <c r="B37" s="22">
        <f>B33+B34</f>
        <v>25913.040758860392</v>
      </c>
      <c r="C37" s="23"/>
    </row>
  </sheetData>
  <mergeCells count="5">
    <mergeCell ref="A17:G18"/>
    <mergeCell ref="A21:G22"/>
    <mergeCell ref="A25:G26"/>
    <mergeCell ref="B36:C36"/>
    <mergeCell ref="B37:C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7"/>
  <sheetViews>
    <sheetView rightToLeft="1" workbookViewId="0">
      <selection sqref="A1:H37"/>
    </sheetView>
  </sheetViews>
  <sheetFormatPr defaultRowHeight="15" x14ac:dyDescent="0.25"/>
  <cols>
    <col min="1" max="1" width="35.5703125" bestFit="1" customWidth="1"/>
    <col min="2" max="2" width="13" bestFit="1" customWidth="1"/>
    <col min="3" max="7" width="12" bestFit="1" customWidth="1"/>
    <col min="8" max="8" width="13.140625" bestFit="1" customWidth="1"/>
    <col min="13" max="13" width="19.7109375" bestFit="1" customWidth="1"/>
  </cols>
  <sheetData>
    <row r="1" spans="1:13" x14ac:dyDescent="0.25">
      <c r="A1" s="11"/>
      <c r="B1" s="12">
        <v>2016</v>
      </c>
      <c r="C1" s="12">
        <v>2017</v>
      </c>
      <c r="D1" s="12">
        <v>2018</v>
      </c>
      <c r="E1" s="12">
        <v>2019</v>
      </c>
      <c r="F1" s="12">
        <v>2020</v>
      </c>
      <c r="G1" s="12">
        <v>2021</v>
      </c>
      <c r="H1" s="12" t="s">
        <v>32</v>
      </c>
    </row>
    <row r="2" spans="1:13" x14ac:dyDescent="0.25">
      <c r="A2" s="13" t="s">
        <v>37</v>
      </c>
      <c r="B2" s="16">
        <v>10000</v>
      </c>
      <c r="C2" s="17">
        <f>B2*(1+$L$5)</f>
        <v>11000</v>
      </c>
      <c r="D2" s="17">
        <f>C2*(1+$L$5)</f>
        <v>12100.000000000002</v>
      </c>
      <c r="E2" s="17">
        <f>D2*(1+$L$5)</f>
        <v>13310.000000000004</v>
      </c>
      <c r="F2" s="17">
        <f>E2*(1+$L$5)</f>
        <v>14641.000000000005</v>
      </c>
      <c r="G2" s="17">
        <f>F2*(1+$L$5)</f>
        <v>16105.100000000008</v>
      </c>
      <c r="H2" s="18"/>
    </row>
    <row r="3" spans="1:13" x14ac:dyDescent="0.25">
      <c r="A3" s="13" t="s">
        <v>48</v>
      </c>
      <c r="B3" s="16">
        <f>B2*L6</f>
        <v>2800.0000000000005</v>
      </c>
      <c r="C3" s="16">
        <f>$L$6*C2</f>
        <v>3080.0000000000005</v>
      </c>
      <c r="D3" s="16">
        <f>$L$6*D2</f>
        <v>3388.0000000000009</v>
      </c>
      <c r="E3" s="16">
        <f>$L$6*E2</f>
        <v>3726.8000000000015</v>
      </c>
      <c r="F3" s="16">
        <f>$L$6*F2</f>
        <v>4099.4800000000023</v>
      </c>
      <c r="G3" s="16">
        <f>$L$6*G2</f>
        <v>4509.4280000000026</v>
      </c>
      <c r="H3" s="18"/>
      <c r="M3" t="s">
        <v>68</v>
      </c>
    </row>
    <row r="4" spans="1:13" x14ac:dyDescent="0.25">
      <c r="A4" s="13" t="s">
        <v>49</v>
      </c>
      <c r="B4" s="16">
        <v>20</v>
      </c>
      <c r="C4" s="16">
        <f>$L$7*C2</f>
        <v>22</v>
      </c>
      <c r="D4" s="16">
        <f>$L$7*D2</f>
        <v>24.200000000000003</v>
      </c>
      <c r="E4" s="16">
        <f>$L$7*E2</f>
        <v>26.620000000000008</v>
      </c>
      <c r="F4" s="16">
        <f>$L$7*F2</f>
        <v>29.282000000000011</v>
      </c>
      <c r="G4" s="16">
        <f>$L$7*G2</f>
        <v>32.210200000000015</v>
      </c>
      <c r="H4" s="18"/>
      <c r="L4" t="s">
        <v>67</v>
      </c>
    </row>
    <row r="5" spans="1:13" x14ac:dyDescent="0.25">
      <c r="A5" s="13" t="s">
        <v>50</v>
      </c>
      <c r="B5" s="16">
        <v>230</v>
      </c>
      <c r="C5" s="17">
        <f>B5</f>
        <v>230</v>
      </c>
      <c r="D5" s="17">
        <f>C5</f>
        <v>230</v>
      </c>
      <c r="E5" s="17">
        <f>D5</f>
        <v>230</v>
      </c>
      <c r="F5" s="17">
        <f>E5</f>
        <v>230</v>
      </c>
      <c r="G5" s="17">
        <f>F5</f>
        <v>230</v>
      </c>
      <c r="H5" s="18"/>
      <c r="L5" s="3">
        <v>0.1</v>
      </c>
      <c r="M5" t="s">
        <v>65</v>
      </c>
    </row>
    <row r="6" spans="1:13" x14ac:dyDescent="0.25">
      <c r="A6" s="14"/>
      <c r="B6" s="16"/>
      <c r="C6" s="16"/>
      <c r="D6" s="16"/>
      <c r="E6" s="16"/>
      <c r="F6" s="16"/>
      <c r="G6" s="16"/>
      <c r="H6" s="18"/>
      <c r="L6" s="3">
        <v>0.28000000000000003</v>
      </c>
      <c r="M6" t="s">
        <v>48</v>
      </c>
    </row>
    <row r="7" spans="1:13" x14ac:dyDescent="0.25">
      <c r="A7" s="13" t="s">
        <v>51</v>
      </c>
      <c r="B7" s="16">
        <f>(B3-B4-B5)</f>
        <v>2550.0000000000005</v>
      </c>
      <c r="C7" s="16">
        <f>C3-C4-C5</f>
        <v>2828.0000000000005</v>
      </c>
      <c r="D7" s="16">
        <f t="shared" ref="D7:G7" si="0">D3-D4-D5</f>
        <v>3133.8000000000011</v>
      </c>
      <c r="E7" s="16">
        <f t="shared" si="0"/>
        <v>3470.1800000000017</v>
      </c>
      <c r="F7" s="16">
        <f t="shared" si="0"/>
        <v>3840.1980000000021</v>
      </c>
      <c r="G7" s="16">
        <f t="shared" si="0"/>
        <v>4247.2178000000022</v>
      </c>
      <c r="H7" s="18"/>
      <c r="L7" s="4">
        <f>B4/B2</f>
        <v>2E-3</v>
      </c>
      <c r="M7" t="s">
        <v>49</v>
      </c>
    </row>
    <row r="8" spans="1:13" x14ac:dyDescent="0.25">
      <c r="A8" s="13" t="s">
        <v>52</v>
      </c>
      <c r="B8" s="16">
        <v>300</v>
      </c>
      <c r="C8" s="16">
        <f>C2*$L$9</f>
        <v>330</v>
      </c>
      <c r="D8" s="16">
        <f>D2*$L$9</f>
        <v>363.00000000000006</v>
      </c>
      <c r="E8" s="16">
        <f>E2*$L$9</f>
        <v>399.30000000000007</v>
      </c>
      <c r="F8" s="16">
        <f>F2*$L$9</f>
        <v>439.23000000000013</v>
      </c>
      <c r="G8" s="16">
        <f>G2*$L$9</f>
        <v>483.15300000000019</v>
      </c>
      <c r="H8" s="18"/>
      <c r="L8" s="5">
        <f>B9/B2</f>
        <v>0.1</v>
      </c>
      <c r="M8" t="s">
        <v>66</v>
      </c>
    </row>
    <row r="9" spans="1:13" x14ac:dyDescent="0.25">
      <c r="A9" s="13" t="s">
        <v>53</v>
      </c>
      <c r="B9" s="16">
        <v>1000</v>
      </c>
      <c r="C9" s="16">
        <f>C2*$L$8</f>
        <v>1100</v>
      </c>
      <c r="D9" s="16">
        <f>D2*$L$8</f>
        <v>1210.0000000000002</v>
      </c>
      <c r="E9" s="16">
        <f>E2*$L$8</f>
        <v>1331.0000000000005</v>
      </c>
      <c r="F9" s="16">
        <f>F2*$L$8</f>
        <v>1464.1000000000006</v>
      </c>
      <c r="G9" s="16">
        <f>G2*$L$8</f>
        <v>1610.5100000000009</v>
      </c>
      <c r="H9" s="18"/>
      <c r="L9" s="4">
        <f>B8/B2</f>
        <v>0.03</v>
      </c>
      <c r="M9" t="s">
        <v>52</v>
      </c>
    </row>
    <row r="10" spans="1:13" x14ac:dyDescent="0.25">
      <c r="A10" s="13" t="s">
        <v>39</v>
      </c>
      <c r="B10" s="16">
        <v>80</v>
      </c>
      <c r="C10" s="17">
        <f>B10</f>
        <v>80</v>
      </c>
      <c r="D10" s="17">
        <f>C10</f>
        <v>80</v>
      </c>
      <c r="E10" s="17">
        <f>D10</f>
        <v>80</v>
      </c>
      <c r="F10" s="17">
        <f>E10</f>
        <v>80</v>
      </c>
      <c r="G10" s="17">
        <f>F10</f>
        <v>80</v>
      </c>
      <c r="H10" s="18"/>
    </row>
    <row r="11" spans="1:13" x14ac:dyDescent="0.25">
      <c r="A11" s="15"/>
      <c r="B11" s="16"/>
      <c r="C11" s="16"/>
      <c r="D11" s="16"/>
      <c r="E11" s="16"/>
      <c r="F11" s="16"/>
      <c r="G11" s="16"/>
      <c r="H11" s="18"/>
    </row>
    <row r="12" spans="1:13" x14ac:dyDescent="0.25">
      <c r="A12" s="13" t="s">
        <v>38</v>
      </c>
      <c r="B12" s="16">
        <f>B7+B8-B9-B10</f>
        <v>1770.0000000000005</v>
      </c>
      <c r="C12" s="16">
        <f t="shared" ref="C12:G12" si="1">C7+C8-C9-C10</f>
        <v>1978.0000000000005</v>
      </c>
      <c r="D12" s="16">
        <f t="shared" si="1"/>
        <v>2206.8000000000011</v>
      </c>
      <c r="E12" s="16">
        <f t="shared" si="1"/>
        <v>2458.4800000000014</v>
      </c>
      <c r="F12" s="16">
        <f t="shared" si="1"/>
        <v>2735.3280000000022</v>
      </c>
      <c r="G12" s="16">
        <f t="shared" si="1"/>
        <v>3039.8608000000013</v>
      </c>
      <c r="H12" s="18"/>
    </row>
    <row r="13" spans="1:13" x14ac:dyDescent="0.25">
      <c r="A13" s="13" t="s">
        <v>54</v>
      </c>
      <c r="B13" s="16">
        <f>0.24*B12</f>
        <v>424.80000000000007</v>
      </c>
      <c r="C13" s="16">
        <f t="shared" ref="C13:G13" si="2">0.25*C12</f>
        <v>494.50000000000011</v>
      </c>
      <c r="D13" s="16">
        <f t="shared" si="2"/>
        <v>551.70000000000027</v>
      </c>
      <c r="E13" s="16">
        <f t="shared" si="2"/>
        <v>614.62000000000035</v>
      </c>
      <c r="F13" s="16">
        <f t="shared" si="2"/>
        <v>683.83200000000056</v>
      </c>
      <c r="G13" s="16">
        <f t="shared" si="2"/>
        <v>759.96520000000032</v>
      </c>
      <c r="H13" s="18"/>
    </row>
    <row r="14" spans="1:13" x14ac:dyDescent="0.25">
      <c r="A14" s="13" t="s">
        <v>72</v>
      </c>
      <c r="B14" s="16">
        <f>B12-B13</f>
        <v>1345.2000000000003</v>
      </c>
      <c r="C14" s="16">
        <f t="shared" ref="C14:G14" si="3">C12-C13</f>
        <v>1483.5000000000005</v>
      </c>
      <c r="D14" s="16">
        <f t="shared" si="3"/>
        <v>1655.1000000000008</v>
      </c>
      <c r="E14" s="16">
        <f t="shared" si="3"/>
        <v>1843.860000000001</v>
      </c>
      <c r="F14" s="16">
        <f t="shared" si="3"/>
        <v>2051.4960000000019</v>
      </c>
      <c r="G14" s="16">
        <f t="shared" si="3"/>
        <v>2279.8956000000007</v>
      </c>
      <c r="H14" s="18">
        <f>D24*B24</f>
        <v>30229.100014792057</v>
      </c>
    </row>
    <row r="15" spans="1:13" x14ac:dyDescent="0.25">
      <c r="A15" s="13" t="s">
        <v>69</v>
      </c>
      <c r="B15" s="16"/>
      <c r="C15" s="17">
        <f>C14/((1+G24)^0.5)</f>
        <v>1416.4403747694116</v>
      </c>
      <c r="D15" s="17">
        <f>D14/((1+G24)^1.5)</f>
        <v>1440.6433517663131</v>
      </c>
      <c r="E15" s="17">
        <f>E14/((1+G24)^2.5)</f>
        <v>1463.1258304668743</v>
      </c>
      <c r="F15" s="17">
        <f>F14/((1+G24)^3.5)</f>
        <v>1484.0410116261939</v>
      </c>
      <c r="G15" s="17">
        <f>G14/((1+G24)^4.5)</f>
        <v>1503.5285618541818</v>
      </c>
      <c r="H15" s="17">
        <f>H14/((1+G24)^4.5)</f>
        <v>19935.261628377419</v>
      </c>
    </row>
    <row r="16" spans="1:13" x14ac:dyDescent="0.25">
      <c r="A16" s="13" t="s">
        <v>70</v>
      </c>
      <c r="B16" s="16">
        <f>SUM(C15:H15)</f>
        <v>27243.040758860392</v>
      </c>
      <c r="G16" s="1"/>
    </row>
    <row r="17" spans="1:7" x14ac:dyDescent="0.25">
      <c r="A17" s="20" t="s">
        <v>8</v>
      </c>
      <c r="B17" s="20"/>
      <c r="C17" s="20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  <row r="19" spans="1:7" x14ac:dyDescent="0.25">
      <c r="D19" t="s">
        <v>35</v>
      </c>
      <c r="E19" t="s">
        <v>9</v>
      </c>
      <c r="F19" t="s">
        <v>10</v>
      </c>
      <c r="G19" t="s">
        <v>11</v>
      </c>
    </row>
    <row r="20" spans="1:7" x14ac:dyDescent="0.25">
      <c r="B20" s="4">
        <f>D20*F20+(1-D20)*E20*(1-G20)</f>
        <v>9.6928969465252465E-2</v>
      </c>
      <c r="C20" t="s">
        <v>12</v>
      </c>
      <c r="D20" s="8">
        <v>0.15</v>
      </c>
      <c r="E20" s="7">
        <f>1.01^12-1</f>
        <v>0.12682503013196977</v>
      </c>
      <c r="F20" s="7">
        <v>0.1</v>
      </c>
      <c r="G20" s="7">
        <v>0.24</v>
      </c>
    </row>
    <row r="21" spans="1:7" x14ac:dyDescent="0.25">
      <c r="A21" s="20" t="s">
        <v>58</v>
      </c>
      <c r="B21" s="20"/>
      <c r="C21" s="20"/>
      <c r="D21" s="20"/>
      <c r="E21" s="20"/>
      <c r="F21" s="20"/>
      <c r="G21" s="20"/>
    </row>
    <row r="22" spans="1:7" x14ac:dyDescent="0.25">
      <c r="A22" s="20"/>
      <c r="B22" s="20"/>
      <c r="C22" s="20"/>
      <c r="D22" s="20"/>
      <c r="E22" s="20"/>
      <c r="F22" s="20"/>
      <c r="G22" s="20"/>
    </row>
    <row r="23" spans="1:7" x14ac:dyDescent="0.25">
      <c r="B23" t="s">
        <v>57</v>
      </c>
      <c r="D23" t="s">
        <v>56</v>
      </c>
      <c r="E23" t="s">
        <v>55</v>
      </c>
      <c r="F23" t="s">
        <v>13</v>
      </c>
      <c r="G23" t="s">
        <v>14</v>
      </c>
    </row>
    <row r="24" spans="1:7" x14ac:dyDescent="0.25">
      <c r="B24" s="6">
        <f>1/(G24-F24)</f>
        <v>12.999004236650842</v>
      </c>
      <c r="D24" s="1">
        <f>E24*(1+F24)</f>
        <v>2325.4935120000009</v>
      </c>
      <c r="E24" s="2">
        <f>G14</f>
        <v>2279.8956000000007</v>
      </c>
      <c r="F24" s="8">
        <v>0.02</v>
      </c>
      <c r="G24" s="7">
        <f>B20</f>
        <v>9.6928969465252465E-2</v>
      </c>
    </row>
    <row r="25" spans="1:7" x14ac:dyDescent="0.25">
      <c r="A25" s="20" t="s">
        <v>71</v>
      </c>
      <c r="B25" s="20"/>
      <c r="C25" s="20"/>
      <c r="D25" s="20"/>
      <c r="E25" s="20"/>
      <c r="F25" s="20"/>
      <c r="G25" s="20"/>
    </row>
    <row r="26" spans="1:7" x14ac:dyDescent="0.25">
      <c r="A26" s="20"/>
      <c r="B26" s="20"/>
      <c r="C26" s="20"/>
      <c r="D26" s="20"/>
      <c r="E26" s="20"/>
      <c r="F26" s="20"/>
      <c r="G26" s="20"/>
    </row>
    <row r="27" spans="1:7" x14ac:dyDescent="0.25">
      <c r="E27" s="16">
        <f>B16</f>
        <v>27243.040758860392</v>
      </c>
      <c r="G27" s="19" t="str">
        <f>A16</f>
        <v>DCF Sum</v>
      </c>
    </row>
    <row r="29" spans="1:7" x14ac:dyDescent="0.25">
      <c r="E29" s="16">
        <v>-80</v>
      </c>
      <c r="G29" t="s">
        <v>59</v>
      </c>
    </row>
    <row r="30" spans="1:7" ht="15.75" x14ac:dyDescent="0.25">
      <c r="B30" s="24">
        <f>E36+E33</f>
        <v>25913.040758860392</v>
      </c>
      <c r="C30" s="25"/>
      <c r="E30" s="16">
        <v>100</v>
      </c>
      <c r="G30" t="s">
        <v>60</v>
      </c>
    </row>
    <row r="31" spans="1:7" ht="15.75" x14ac:dyDescent="0.25">
      <c r="B31" s="26" t="s">
        <v>64</v>
      </c>
      <c r="C31" s="26"/>
      <c r="E31" s="16">
        <v>150</v>
      </c>
      <c r="G31" t="s">
        <v>61</v>
      </c>
    </row>
    <row r="32" spans="1:7" x14ac:dyDescent="0.25">
      <c r="E32" s="16">
        <f>SUM(E29:E31)</f>
        <v>170</v>
      </c>
      <c r="G32" t="s">
        <v>62</v>
      </c>
    </row>
    <row r="33" spans="5:7" x14ac:dyDescent="0.25">
      <c r="E33" s="16">
        <v>-1500</v>
      </c>
      <c r="G33" t="s">
        <v>63</v>
      </c>
    </row>
    <row r="36" spans="5:7" ht="20.25" customHeight="1" x14ac:dyDescent="0.25">
      <c r="E36" s="16">
        <f>B16+E32</f>
        <v>27413.040758860392</v>
      </c>
      <c r="G36" t="s">
        <v>20</v>
      </c>
    </row>
    <row r="37" spans="5:7" ht="20.25" customHeight="1" x14ac:dyDescent="0.25"/>
  </sheetData>
  <mergeCells count="5">
    <mergeCell ref="A17:G18"/>
    <mergeCell ref="A21:G22"/>
    <mergeCell ref="A25:G26"/>
    <mergeCell ref="B30:C30"/>
    <mergeCell ref="B31:C31"/>
  </mergeCells>
  <pageMargins left="0.7" right="0.7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4"/>
  <sheetViews>
    <sheetView tabSelected="1" zoomScale="82" workbookViewId="0">
      <selection activeCell="J4" sqref="J4"/>
    </sheetView>
  </sheetViews>
  <sheetFormatPr defaultRowHeight="15" x14ac:dyDescent="0.25"/>
  <cols>
    <col min="1" max="1" width="35.7109375" bestFit="1" customWidth="1"/>
    <col min="2" max="2" width="13" bestFit="1" customWidth="1"/>
    <col min="3" max="3" width="12" bestFit="1" customWidth="1"/>
    <col min="4" max="4" width="12.140625" customWidth="1"/>
    <col min="5" max="5" width="12.7109375" bestFit="1" customWidth="1"/>
    <col min="6" max="6" width="12" bestFit="1" customWidth="1"/>
    <col min="7" max="7" width="9.140625" bestFit="1" customWidth="1"/>
    <col min="8" max="8" width="13.140625" bestFit="1" customWidth="1"/>
    <col min="9" max="9" width="13.140625" customWidth="1"/>
    <col min="10" max="10" width="29.42578125" bestFit="1" customWidth="1"/>
    <col min="11" max="11" width="7.140625" bestFit="1" customWidth="1"/>
    <col min="13" max="13" width="29.42578125" bestFit="1" customWidth="1"/>
    <col min="14" max="14" width="19.7109375" bestFit="1" customWidth="1"/>
  </cols>
  <sheetData>
    <row r="1" spans="1:11" x14ac:dyDescent="0.25">
      <c r="A1" s="28"/>
      <c r="B1" s="27">
        <v>2016</v>
      </c>
      <c r="C1" s="27">
        <v>2017</v>
      </c>
      <c r="D1" s="27">
        <v>2018</v>
      </c>
      <c r="E1" s="27">
        <v>2019</v>
      </c>
      <c r="F1" s="27">
        <v>2020</v>
      </c>
      <c r="G1" s="27">
        <v>2021</v>
      </c>
      <c r="H1" s="38" t="s">
        <v>32</v>
      </c>
    </row>
    <row r="2" spans="1:11" x14ac:dyDescent="0.25">
      <c r="A2" s="28" t="s">
        <v>37</v>
      </c>
      <c r="B2" s="16">
        <v>10000</v>
      </c>
      <c r="C2" s="17">
        <f>B2*(1+$K$5)</f>
        <v>11500</v>
      </c>
      <c r="D2" s="17">
        <f>C2*(1+$K$5)</f>
        <v>13224.999999999998</v>
      </c>
      <c r="E2" s="17">
        <f>D2*(1+$K$5)</f>
        <v>15208.749999999996</v>
      </c>
      <c r="F2" s="17">
        <f>E2*(1+$K$5)</f>
        <v>17490.062499999993</v>
      </c>
      <c r="G2" s="17">
        <f>F2*(1+$K$5)</f>
        <v>20113.571874999991</v>
      </c>
      <c r="H2" s="39"/>
    </row>
    <row r="3" spans="1:11" x14ac:dyDescent="0.25">
      <c r="A3" s="28" t="s">
        <v>48</v>
      </c>
      <c r="B3" s="16">
        <f>B2*K6</f>
        <v>2800.0000000000005</v>
      </c>
      <c r="C3" s="16">
        <f>$K$6*C2</f>
        <v>3220.0000000000005</v>
      </c>
      <c r="D3" s="16">
        <f>$K$6*D2</f>
        <v>3703</v>
      </c>
      <c r="E3" s="16">
        <f>$K$6*E2</f>
        <v>4258.45</v>
      </c>
      <c r="F3" s="16">
        <f>$K$6*F2</f>
        <v>4897.2174999999988</v>
      </c>
      <c r="G3" s="16">
        <f>$K$6*G2</f>
        <v>5631.8001249999979</v>
      </c>
      <c r="H3" s="39"/>
      <c r="J3" s="51" t="s">
        <v>78</v>
      </c>
      <c r="K3" s="51"/>
    </row>
    <row r="4" spans="1:11" x14ac:dyDescent="0.25">
      <c r="A4" s="28" t="s">
        <v>49</v>
      </c>
      <c r="B4" s="16">
        <v>20</v>
      </c>
      <c r="C4" s="16">
        <f>$K$7*C2</f>
        <v>23</v>
      </c>
      <c r="D4" s="16">
        <f>$K$7*D2</f>
        <v>26.449999999999996</v>
      </c>
      <c r="E4" s="16">
        <f>$K$7*E2</f>
        <v>30.417499999999993</v>
      </c>
      <c r="F4" s="16">
        <f>$K$7*F2</f>
        <v>34.980124999999987</v>
      </c>
      <c r="G4" s="16">
        <f>$K$7*G2</f>
        <v>40.227143749999982</v>
      </c>
      <c r="H4" s="39"/>
    </row>
    <row r="5" spans="1:11" x14ac:dyDescent="0.25">
      <c r="A5" s="28" t="s">
        <v>50</v>
      </c>
      <c r="B5" s="16">
        <v>230</v>
      </c>
      <c r="C5" s="17">
        <f>B5</f>
        <v>230</v>
      </c>
      <c r="D5" s="17">
        <f>C5</f>
        <v>230</v>
      </c>
      <c r="E5" s="17">
        <f>D5</f>
        <v>230</v>
      </c>
      <c r="F5" s="17">
        <f>E5</f>
        <v>230</v>
      </c>
      <c r="G5" s="17">
        <f>F5</f>
        <v>230</v>
      </c>
      <c r="H5" s="39"/>
      <c r="J5" t="s">
        <v>65</v>
      </c>
      <c r="K5" s="3">
        <v>0.15</v>
      </c>
    </row>
    <row r="6" spans="1:11" x14ac:dyDescent="0.25">
      <c r="A6" s="28"/>
      <c r="B6" s="16"/>
      <c r="C6" s="16"/>
      <c r="D6" s="16"/>
      <c r="E6" s="16"/>
      <c r="F6" s="16"/>
      <c r="G6" s="16"/>
      <c r="H6" s="39"/>
      <c r="J6" t="s">
        <v>48</v>
      </c>
      <c r="K6" s="3">
        <v>0.28000000000000003</v>
      </c>
    </row>
    <row r="7" spans="1:11" x14ac:dyDescent="0.25">
      <c r="A7" s="28" t="s">
        <v>51</v>
      </c>
      <c r="B7" s="16">
        <f>(B3-B4-B5)</f>
        <v>2550.0000000000005</v>
      </c>
      <c r="C7" s="16">
        <f>C3-C4-C5</f>
        <v>2967.0000000000005</v>
      </c>
      <c r="D7" s="16">
        <f t="shared" ref="D7:G7" si="0">D3-D4-D5</f>
        <v>3446.55</v>
      </c>
      <c r="E7" s="16">
        <f t="shared" si="0"/>
        <v>3998.0325000000003</v>
      </c>
      <c r="F7" s="16">
        <f t="shared" si="0"/>
        <v>4632.2373749999988</v>
      </c>
      <c r="G7" s="16">
        <f t="shared" si="0"/>
        <v>5361.5729812499976</v>
      </c>
      <c r="H7" s="39"/>
      <c r="J7" t="s">
        <v>49</v>
      </c>
      <c r="K7" s="4">
        <f>B4/B2</f>
        <v>2E-3</v>
      </c>
    </row>
    <row r="8" spans="1:11" x14ac:dyDescent="0.25">
      <c r="A8" s="28" t="s">
        <v>52</v>
      </c>
      <c r="B8" s="16">
        <v>300</v>
      </c>
      <c r="C8" s="16">
        <f>C2*$K$9</f>
        <v>345</v>
      </c>
      <c r="D8" s="16">
        <f>D2*$K$9</f>
        <v>396.74999999999994</v>
      </c>
      <c r="E8" s="16">
        <f>E2*$K$9</f>
        <v>456.26249999999987</v>
      </c>
      <c r="F8" s="16">
        <f>F2*$K$9</f>
        <v>524.70187499999975</v>
      </c>
      <c r="G8" s="16">
        <f>G2*$K$9</f>
        <v>603.40715624999973</v>
      </c>
      <c r="H8" s="39"/>
      <c r="J8" t="s">
        <v>66</v>
      </c>
      <c r="K8" s="5">
        <f>B9/B2</f>
        <v>0.1</v>
      </c>
    </row>
    <row r="9" spans="1:11" x14ac:dyDescent="0.25">
      <c r="A9" s="28" t="s">
        <v>53</v>
      </c>
      <c r="B9" s="16">
        <v>1000</v>
      </c>
      <c r="C9" s="16">
        <f>C2*$K$8</f>
        <v>1150</v>
      </c>
      <c r="D9" s="16">
        <f>D2*$K$8</f>
        <v>1322.5</v>
      </c>
      <c r="E9" s="16">
        <f>E2*$K$8</f>
        <v>1520.8749999999998</v>
      </c>
      <c r="F9" s="16">
        <f>F2*$K$8</f>
        <v>1749.0062499999995</v>
      </c>
      <c r="G9" s="16">
        <f>G2*$K$8</f>
        <v>2011.3571874999991</v>
      </c>
      <c r="H9" s="39"/>
      <c r="J9" t="s">
        <v>52</v>
      </c>
      <c r="K9" s="4">
        <f>B8/B2</f>
        <v>0.03</v>
      </c>
    </row>
    <row r="10" spans="1:11" x14ac:dyDescent="0.25">
      <c r="A10" s="28" t="s">
        <v>39</v>
      </c>
      <c r="B10" s="16">
        <v>80</v>
      </c>
      <c r="C10" s="17">
        <f>B10</f>
        <v>80</v>
      </c>
      <c r="D10" s="17">
        <f>C10</f>
        <v>80</v>
      </c>
      <c r="E10" s="17">
        <f>D10</f>
        <v>80</v>
      </c>
      <c r="F10" s="17">
        <f>E10</f>
        <v>80</v>
      </c>
      <c r="G10" s="17">
        <f>F10</f>
        <v>80</v>
      </c>
      <c r="H10" s="39"/>
    </row>
    <row r="11" spans="1:11" ht="46.5" x14ac:dyDescent="0.25">
      <c r="A11" s="29"/>
      <c r="B11" s="16"/>
      <c r="C11" s="16"/>
      <c r="D11" s="16"/>
      <c r="E11" s="16"/>
      <c r="F11" s="16"/>
      <c r="G11" s="16"/>
      <c r="H11" s="39"/>
      <c r="J11" s="49">
        <f>C32+C33</f>
        <v>32576.987249708211</v>
      </c>
      <c r="K11" s="50"/>
    </row>
    <row r="12" spans="1:11" ht="15.75" x14ac:dyDescent="0.25">
      <c r="A12" s="28" t="s">
        <v>38</v>
      </c>
      <c r="B12" s="16">
        <f>B7+B8-B9-B10</f>
        <v>1770.0000000000005</v>
      </c>
      <c r="C12" s="16">
        <f t="shared" ref="C12:G12" si="1">C7+C8-C9-C10</f>
        <v>2082.0000000000005</v>
      </c>
      <c r="D12" s="16">
        <f t="shared" si="1"/>
        <v>2440.8000000000002</v>
      </c>
      <c r="E12" s="16">
        <f t="shared" si="1"/>
        <v>2853.42</v>
      </c>
      <c r="F12" s="16">
        <f t="shared" si="1"/>
        <v>3327.9329999999991</v>
      </c>
      <c r="G12" s="16">
        <f t="shared" si="1"/>
        <v>3873.6229499999981</v>
      </c>
      <c r="H12" s="39"/>
      <c r="J12" s="37" t="s">
        <v>79</v>
      </c>
      <c r="K12" s="37"/>
    </row>
    <row r="13" spans="1:11" x14ac:dyDescent="0.25">
      <c r="A13" s="28" t="s">
        <v>54</v>
      </c>
      <c r="B13" s="16">
        <f>0.24*B12</f>
        <v>424.80000000000007</v>
      </c>
      <c r="C13" s="16">
        <f t="shared" ref="C13:G13" si="2">0.25*C12</f>
        <v>520.50000000000011</v>
      </c>
      <c r="D13" s="16">
        <f t="shared" si="2"/>
        <v>610.20000000000005</v>
      </c>
      <c r="E13" s="16">
        <f t="shared" si="2"/>
        <v>713.35500000000002</v>
      </c>
      <c r="F13" s="16">
        <f t="shared" si="2"/>
        <v>831.98324999999977</v>
      </c>
      <c r="G13" s="16">
        <f t="shared" si="2"/>
        <v>968.40573749999953</v>
      </c>
      <c r="H13" s="39"/>
    </row>
    <row r="14" spans="1:11" x14ac:dyDescent="0.25">
      <c r="A14" s="40" t="s">
        <v>72</v>
      </c>
      <c r="B14" s="41">
        <f>B12-B13</f>
        <v>1345.2000000000003</v>
      </c>
      <c r="C14" s="41">
        <f t="shared" ref="C14:G14" si="3">C12-C13</f>
        <v>1561.5000000000005</v>
      </c>
      <c r="D14" s="41">
        <f t="shared" si="3"/>
        <v>1830.6000000000001</v>
      </c>
      <c r="E14" s="41">
        <f t="shared" si="3"/>
        <v>2140.0650000000001</v>
      </c>
      <c r="F14" s="41">
        <f t="shared" si="3"/>
        <v>2495.9497499999993</v>
      </c>
      <c r="G14" s="41">
        <f t="shared" si="3"/>
        <v>2905.2172124999988</v>
      </c>
      <c r="H14" s="39">
        <f>D24*B24</f>
        <v>38520.229470752005</v>
      </c>
    </row>
    <row r="15" spans="1:11" ht="15.75" thickBot="1" x14ac:dyDescent="0.3">
      <c r="A15" s="42" t="s">
        <v>69</v>
      </c>
      <c r="B15" s="43"/>
      <c r="C15" s="44">
        <f>C14/((1+G24)^0.5)</f>
        <v>1490.9144895196739</v>
      </c>
      <c r="D15" s="44">
        <f>D14/((1+G24)^1.5)</f>
        <v>1593.4032504038498</v>
      </c>
      <c r="E15" s="44">
        <f>E14/((1+G24)^2.5)</f>
        <v>1698.1681800017841</v>
      </c>
      <c r="F15" s="44">
        <f>F14/((1+G24)^3.5)</f>
        <v>1805.5564290440445</v>
      </c>
      <c r="G15" s="44">
        <f>G14/((1+G24)^4.5)</f>
        <v>1915.9109993388017</v>
      </c>
      <c r="H15" s="44">
        <f>H14/((1+G24)^4.5)</f>
        <v>25403.033901400053</v>
      </c>
    </row>
    <row r="16" spans="1:11" ht="15.75" thickBot="1" x14ac:dyDescent="0.3">
      <c r="A16" s="45" t="s">
        <v>70</v>
      </c>
      <c r="B16" s="46"/>
      <c r="C16" s="46"/>
      <c r="D16" s="46"/>
      <c r="E16" s="46"/>
      <c r="F16" s="46"/>
      <c r="G16" s="47"/>
      <c r="H16" s="48">
        <f>SUM(C15:H15)</f>
        <v>33906.987249708211</v>
      </c>
    </row>
    <row r="17" spans="1:8" ht="15" customHeight="1" x14ac:dyDescent="0.25">
      <c r="A17" s="20" t="s">
        <v>8</v>
      </c>
      <c r="B17" s="20"/>
      <c r="C17" s="20"/>
      <c r="D17" s="20"/>
      <c r="E17" s="20"/>
      <c r="F17" s="20"/>
      <c r="G17" s="20"/>
      <c r="H17" s="20"/>
    </row>
    <row r="18" spans="1:8" ht="15" customHeight="1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D19" t="s">
        <v>35</v>
      </c>
      <c r="E19" t="s">
        <v>9</v>
      </c>
      <c r="F19" t="s">
        <v>10</v>
      </c>
      <c r="G19" t="s">
        <v>11</v>
      </c>
    </row>
    <row r="20" spans="1:8" x14ac:dyDescent="0.25">
      <c r="B20" s="4">
        <f>D20*F20+(1-D20)*E20*(1-G20)</f>
        <v>9.6928969465252465E-2</v>
      </c>
      <c r="C20" t="s">
        <v>12</v>
      </c>
      <c r="D20" s="8">
        <v>0.15</v>
      </c>
      <c r="E20" s="7">
        <f>1.01^12-1</f>
        <v>0.12682503013196977</v>
      </c>
      <c r="F20" s="7">
        <v>0.1</v>
      </c>
      <c r="G20" s="7">
        <v>0.24</v>
      </c>
    </row>
    <row r="21" spans="1:8" ht="15" customHeight="1" x14ac:dyDescent="0.25">
      <c r="A21" s="20" t="s">
        <v>58</v>
      </c>
      <c r="B21" s="20"/>
      <c r="C21" s="20"/>
      <c r="D21" s="20"/>
      <c r="E21" s="20"/>
      <c r="F21" s="20"/>
      <c r="G21" s="20"/>
      <c r="H21" s="20"/>
    </row>
    <row r="22" spans="1:8" ht="15" customHeight="1" x14ac:dyDescent="0.25">
      <c r="A22" s="20"/>
      <c r="B22" s="20"/>
      <c r="C22" s="20"/>
      <c r="D22" s="20"/>
      <c r="E22" s="20"/>
      <c r="F22" s="20"/>
      <c r="G22" s="20"/>
      <c r="H22" s="20"/>
    </row>
    <row r="23" spans="1:8" x14ac:dyDescent="0.25">
      <c r="B23" t="s">
        <v>57</v>
      </c>
      <c r="D23" t="s">
        <v>80</v>
      </c>
      <c r="E23" t="s">
        <v>55</v>
      </c>
      <c r="F23" t="s">
        <v>13</v>
      </c>
      <c r="G23" t="s">
        <v>14</v>
      </c>
    </row>
    <row r="24" spans="1:8" x14ac:dyDescent="0.25">
      <c r="B24" s="6">
        <f>1/(G24-F24)</f>
        <v>12.999004236650842</v>
      </c>
      <c r="D24" s="1">
        <f>E24*(1+F24)</f>
        <v>2963.3215567499988</v>
      </c>
      <c r="E24" s="2">
        <f>G14</f>
        <v>2905.2172124999988</v>
      </c>
      <c r="F24" s="8">
        <v>0.02</v>
      </c>
      <c r="G24" s="7">
        <f>B20</f>
        <v>9.6928969465252465E-2</v>
      </c>
    </row>
    <row r="25" spans="1:8" ht="14.25" customHeight="1" x14ac:dyDescent="0.25">
      <c r="A25" s="20" t="s">
        <v>73</v>
      </c>
      <c r="B25" s="20"/>
      <c r="C25" s="20"/>
      <c r="D25" s="20"/>
      <c r="E25" s="20"/>
      <c r="F25" s="20"/>
      <c r="G25" s="20"/>
      <c r="H25" s="20"/>
    </row>
    <row r="26" spans="1:8" ht="14.25" customHeight="1" x14ac:dyDescent="0.25">
      <c r="A26" s="20"/>
      <c r="B26" s="20"/>
      <c r="C26" s="20"/>
      <c r="D26" s="20"/>
      <c r="E26" s="20"/>
      <c r="F26" s="20"/>
      <c r="G26" s="20"/>
      <c r="H26" s="20"/>
    </row>
    <row r="27" spans="1:8" x14ac:dyDescent="0.25">
      <c r="A27" s="32" t="s">
        <v>76</v>
      </c>
      <c r="B27" s="34" t="str">
        <f>A16</f>
        <v>DCF Sum</v>
      </c>
      <c r="C27" s="35">
        <f>H16</f>
        <v>33906.987249708211</v>
      </c>
    </row>
    <row r="28" spans="1:8" x14ac:dyDescent="0.25">
      <c r="A28" s="33" t="s">
        <v>74</v>
      </c>
      <c r="B28" s="31" t="s">
        <v>59</v>
      </c>
      <c r="C28" s="30">
        <v>-80</v>
      </c>
    </row>
    <row r="29" spans="1:8" x14ac:dyDescent="0.25">
      <c r="A29" s="33"/>
      <c r="B29" s="31" t="s">
        <v>60</v>
      </c>
      <c r="C29" s="30">
        <v>100</v>
      </c>
    </row>
    <row r="30" spans="1:8" x14ac:dyDescent="0.25">
      <c r="A30" s="33"/>
      <c r="B30" s="31" t="s">
        <v>61</v>
      </c>
      <c r="C30" s="30">
        <v>150</v>
      </c>
    </row>
    <row r="31" spans="1:8" x14ac:dyDescent="0.25">
      <c r="A31" s="33"/>
      <c r="B31" s="31" t="s">
        <v>62</v>
      </c>
      <c r="C31" s="30">
        <f>SUM(C28:C30)</f>
        <v>170</v>
      </c>
    </row>
    <row r="32" spans="1:8" x14ac:dyDescent="0.25">
      <c r="A32" s="32" t="s">
        <v>77</v>
      </c>
      <c r="B32" s="36" t="s">
        <v>20</v>
      </c>
      <c r="C32" s="35">
        <f>H16+C31</f>
        <v>34076.987249708211</v>
      </c>
    </row>
    <row r="33" spans="1:3" ht="20.25" customHeight="1" x14ac:dyDescent="0.25">
      <c r="A33" s="32" t="s">
        <v>75</v>
      </c>
      <c r="B33" s="31" t="s">
        <v>63</v>
      </c>
      <c r="C33" s="30">
        <v>-1500</v>
      </c>
    </row>
    <row r="34" spans="1:3" ht="20.25" customHeight="1" x14ac:dyDescent="0.25"/>
  </sheetData>
  <mergeCells count="6">
    <mergeCell ref="A28:A31"/>
    <mergeCell ref="A17:H18"/>
    <mergeCell ref="A21:H22"/>
    <mergeCell ref="A25:H26"/>
    <mergeCell ref="J11:K11"/>
    <mergeCell ref="J12:K12"/>
  </mergeCells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4</vt:i4>
      </vt:variant>
      <vt:variant>
        <vt:lpstr>טווחים בעלי שם</vt:lpstr>
      </vt:variant>
      <vt:variant>
        <vt:i4>2</vt:i4>
      </vt:variant>
    </vt:vector>
  </HeadingPairs>
  <TitlesOfParts>
    <vt:vector size="6" baseType="lpstr">
      <vt:lpstr>15% - DCF</vt:lpstr>
      <vt:lpstr>DCF  - 10%</vt:lpstr>
      <vt:lpstr>DCF  English)</vt:lpstr>
      <vt:lpstr>DCF  English) (2)</vt:lpstr>
      <vt:lpstr>'DCF  English)'!WPrint_Area_W</vt:lpstr>
      <vt:lpstr>'DCF  English) (2)'!WPrint_Area_W</vt:lpstr>
    </vt:vector>
  </TitlesOfParts>
  <Company>Yaron'S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samoi</cp:lastModifiedBy>
  <cp:lastPrinted>2017-08-07T16:09:10Z</cp:lastPrinted>
  <dcterms:created xsi:type="dcterms:W3CDTF">2013-06-13T10:20:18Z</dcterms:created>
  <dcterms:modified xsi:type="dcterms:W3CDTF">2019-05-26T18:32:42Z</dcterms:modified>
</cp:coreProperties>
</file>