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aralcheva_tudelft_nl/Documents/Documents/Teaching/MOT111A Financial Management/Workshop 2/"/>
    </mc:Choice>
  </mc:AlternateContent>
  <xr:revisionPtr revIDLastSave="3" documentId="13_ncr:1_{157A3004-DED8-4F5B-A4B1-C590C8C3F25C}" xr6:coauthVersionLast="47" xr6:coauthVersionMax="47" xr10:uidLastSave="{7A59D18A-FE4A-454D-A259-38FDD96C406F}"/>
  <bookViews>
    <workbookView xWindow="28680" yWindow="-120" windowWidth="29040" windowHeight="15840" activeTab="5" xr2:uid="{00000000-000D-0000-FFFF-FFFF00000000}"/>
  </bookViews>
  <sheets>
    <sheet name="Q1" sheetId="2" r:id="rId1"/>
    <sheet name="Q2" sheetId="1" r:id="rId2"/>
    <sheet name="Compounding" sheetId="3" r:id="rId3"/>
    <sheet name="Q3" sheetId="4" r:id="rId4"/>
    <sheet name="Q4" sheetId="5" r:id="rId5"/>
    <sheet name="Q5" sheetId="6" r:id="rId6"/>
  </sheets>
  <definedNames>
    <definedName name="_xlnm._FilterDatabase" localSheetId="3" hidden="1">'Q3'!$A$3:$G$14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E20" i="2"/>
  <c r="F20" i="2"/>
  <c r="G20" i="2"/>
  <c r="C20" i="2"/>
  <c r="C15" i="6"/>
  <c r="F9" i="4"/>
  <c r="E9" i="4"/>
  <c r="G9" i="4" s="1"/>
  <c r="D11" i="6"/>
  <c r="C11" i="6"/>
  <c r="D10" i="6"/>
  <c r="C10" i="6"/>
  <c r="C12" i="5"/>
  <c r="C9" i="6"/>
  <c r="C9" i="5"/>
  <c r="C11" i="5" s="1"/>
  <c r="C14" i="5" s="1"/>
  <c r="C8" i="5"/>
  <c r="F8" i="4"/>
  <c r="E8" i="4"/>
  <c r="G8" i="4" s="1"/>
  <c r="F4" i="4"/>
  <c r="F5" i="4"/>
  <c r="F6" i="4"/>
  <c r="F7" i="4"/>
  <c r="E5" i="4"/>
  <c r="G5" i="4" s="1"/>
  <c r="E6" i="4"/>
  <c r="G6" i="4" s="1"/>
  <c r="E7" i="4"/>
  <c r="G7" i="4" s="1"/>
  <c r="E4" i="4"/>
  <c r="G4" i="4" s="1"/>
  <c r="C9" i="3"/>
  <c r="C8" i="3"/>
  <c r="C7" i="3"/>
  <c r="C6" i="3"/>
  <c r="C5" i="3"/>
  <c r="C4" i="3"/>
  <c r="C18" i="2"/>
  <c r="D18" i="2"/>
  <c r="E18" i="2"/>
  <c r="F18" i="2"/>
  <c r="G18" i="2"/>
  <c r="D13" i="6" l="1"/>
  <c r="C13" i="6"/>
  <c r="C15" i="5"/>
  <c r="C7" i="2" l="1"/>
  <c r="C11" i="2" s="1"/>
  <c r="C6" i="1"/>
  <c r="C4" i="1"/>
  <c r="C5" i="1" s="1"/>
  <c r="C9" i="1" s="1"/>
  <c r="C12" i="2" l="1"/>
  <c r="C14" i="2"/>
  <c r="C16" i="2" s="1"/>
  <c r="D7" i="2"/>
  <c r="D11" i="2" s="1"/>
  <c r="D12" i="2" s="1"/>
  <c r="D14" i="2" s="1"/>
  <c r="D16" i="2" s="1"/>
  <c r="C8" i="1"/>
  <c r="E7" i="2" l="1"/>
  <c r="F7" i="2"/>
  <c r="E11" i="2"/>
  <c r="E12" i="2" l="1"/>
  <c r="E14" i="2"/>
  <c r="E16" i="2" s="1"/>
  <c r="G7" i="2"/>
  <c r="G11" i="2" s="1"/>
  <c r="F11" i="2"/>
  <c r="F12" i="2" l="1"/>
  <c r="F14" i="2" s="1"/>
  <c r="F16" i="2" s="1"/>
  <c r="G12" i="2"/>
  <c r="G14" i="2" s="1"/>
  <c r="G16" i="2" s="1"/>
  <c r="B23" i="2" l="1"/>
  <c r="B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Aleksandrina Ralcheva</author>
  </authors>
  <commentList>
    <comment ref="B23" authorId="0" shapeId="0" xr:uid="{00000000-0006-0000-0000-000001000000}">
      <text>
        <r>
          <rPr>
            <sz val="12"/>
            <color indexed="81"/>
            <rFont val="Tahoma"/>
            <family val="2"/>
          </rPr>
          <t>The initial cash outflow must be netted out manually.</t>
        </r>
      </text>
    </comment>
  </commentList>
</comments>
</file>

<file path=xl/sharedStrings.xml><?xml version="1.0" encoding="utf-8"?>
<sst xmlns="http://schemas.openxmlformats.org/spreadsheetml/2006/main" count="68" uniqueCount="59">
  <si>
    <t>EAR</t>
  </si>
  <si>
    <t>APR</t>
  </si>
  <si>
    <t>Effective Annual Rate</t>
  </si>
  <si>
    <t>Annual Percentage Rate (Quarterly compounded)</t>
  </si>
  <si>
    <t>PV</t>
  </si>
  <si>
    <t>Lease Payment</t>
  </si>
  <si>
    <t>Lease period (in months)</t>
  </si>
  <si>
    <t>PV (Using Excel)</t>
  </si>
  <si>
    <t>Year</t>
  </si>
  <si>
    <t>Initial investment</t>
  </si>
  <si>
    <t>Revenue</t>
  </si>
  <si>
    <t>Fixed costs</t>
  </si>
  <si>
    <t>Depreciation</t>
  </si>
  <si>
    <t>EBIT</t>
  </si>
  <si>
    <t>Tax (35%)</t>
  </si>
  <si>
    <t>Net income</t>
  </si>
  <si>
    <t>Cash flow</t>
  </si>
  <si>
    <t>Discount factor</t>
  </si>
  <si>
    <t>Annuity factor</t>
  </si>
  <si>
    <t>Discount rate</t>
  </si>
  <si>
    <t>NPV</t>
  </si>
  <si>
    <t>NPV (Using excel)</t>
  </si>
  <si>
    <r>
      <t xml:space="preserve">Equivalent </t>
    </r>
    <r>
      <rPr>
        <u/>
        <sz val="16"/>
        <color theme="1"/>
        <rFont val="Calibri"/>
        <family val="2"/>
        <scheme val="minor"/>
      </rPr>
      <t>Monthly</t>
    </r>
    <r>
      <rPr>
        <sz val="16"/>
        <color theme="1"/>
        <rFont val="Calibri"/>
        <family val="2"/>
        <scheme val="minor"/>
      </rPr>
      <t xml:space="preserve"> Discount Rate</t>
    </r>
  </si>
  <si>
    <t>Continuous</t>
  </si>
  <si>
    <t>Daily</t>
  </si>
  <si>
    <t>Monthly</t>
  </si>
  <si>
    <t>Quarterly</t>
  </si>
  <si>
    <t>Annual</t>
  </si>
  <si>
    <t>-</t>
  </si>
  <si>
    <t>Project</t>
  </si>
  <si>
    <t>A</t>
  </si>
  <si>
    <t>B</t>
  </si>
  <si>
    <t>C</t>
  </si>
  <si>
    <t>D</t>
  </si>
  <si>
    <r>
      <t>CF</t>
    </r>
    <r>
      <rPr>
        <vertAlign val="subscript"/>
        <sz val="16"/>
        <color theme="1"/>
        <rFont val="Calibri"/>
        <family val="2"/>
        <scheme val="minor"/>
      </rPr>
      <t>0</t>
    </r>
  </si>
  <si>
    <r>
      <t>CF</t>
    </r>
    <r>
      <rPr>
        <vertAlign val="subscript"/>
        <sz val="16"/>
        <color theme="1"/>
        <rFont val="Calibri"/>
        <family val="2"/>
        <scheme val="minor"/>
      </rPr>
      <t>1</t>
    </r>
  </si>
  <si>
    <r>
      <t>CF</t>
    </r>
    <r>
      <rPr>
        <vertAlign val="subscript"/>
        <sz val="16"/>
        <color theme="1"/>
        <rFont val="Calibri"/>
        <family val="2"/>
        <scheme val="minor"/>
      </rPr>
      <t>2</t>
    </r>
  </si>
  <si>
    <t>IRR</t>
  </si>
  <si>
    <t>PI</t>
  </si>
  <si>
    <t>E</t>
  </si>
  <si>
    <t>Face Value</t>
  </si>
  <si>
    <t>Price</t>
  </si>
  <si>
    <t>Maturity (in years)</t>
  </si>
  <si>
    <t>Coupon payments (per year)</t>
  </si>
  <si>
    <t>YTM</t>
  </si>
  <si>
    <t>Coupon payment</t>
  </si>
  <si>
    <t>N</t>
  </si>
  <si>
    <t>y</t>
  </si>
  <si>
    <t>DF</t>
  </si>
  <si>
    <t>AF</t>
  </si>
  <si>
    <t>Annual coupon rate</t>
  </si>
  <si>
    <t>Coupon rate</t>
  </si>
  <si>
    <t>Rate of return</t>
  </si>
  <si>
    <t xml:space="preserve"> </t>
  </si>
  <si>
    <t>k</t>
  </si>
  <si>
    <t>Compounding Interval</t>
  </si>
  <si>
    <t>Semi-annual</t>
  </si>
  <si>
    <t>F</t>
  </si>
  <si>
    <t>Disocunt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</si>
</sst>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%"/>
    <numFmt numFmtId="165" formatCode="0.000"/>
    <numFmt numFmtId="166" formatCode="[$€-2]\ #,##0;[Red]\-[$€-2]\ #,##0"/>
    <numFmt numFmtId="167" formatCode="[$€-2]\ #,##0"/>
    <numFmt numFmtId="168" formatCode="[$€-2]\ #,##0;\-[$€-2]\ #,##0"/>
    <numFmt numFmtId="169" formatCode="[$$-409]#,##0.00"/>
    <numFmt numFmtId="170" formatCode="[$$-409]#,##0"/>
    <numFmt numFmtId="171" formatCode="#,##0.000_ ;[Red]\-#,##0.0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indexed="81"/>
      <name val="Tahoma"/>
      <family val="2"/>
    </font>
    <font>
      <u/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9" fontId="2" fillId="0" borderId="0" xfId="0" applyNumberFormat="1" applyFont="1"/>
    <xf numFmtId="168" fontId="2" fillId="0" borderId="0" xfId="0" applyNumberFormat="1" applyFont="1"/>
    <xf numFmtId="165" fontId="2" fillId="0" borderId="0" xfId="0" applyNumberFormat="1" applyFont="1"/>
    <xf numFmtId="167" fontId="2" fillId="0" borderId="0" xfId="1" applyNumberFormat="1" applyFont="1"/>
    <xf numFmtId="9" fontId="2" fillId="0" borderId="0" xfId="1" applyFont="1"/>
    <xf numFmtId="10" fontId="2" fillId="0" borderId="0" xfId="1" applyNumberFormat="1" applyFont="1"/>
    <xf numFmtId="10" fontId="2" fillId="0" borderId="0" xfId="0" applyNumberFormat="1" applyFont="1"/>
    <xf numFmtId="1" fontId="2" fillId="0" borderId="0" xfId="1" applyNumberFormat="1" applyFont="1"/>
    <xf numFmtId="3" fontId="2" fillId="0" borderId="0" xfId="0" applyNumberFormat="1" applyFont="1"/>
    <xf numFmtId="166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70" fontId="2" fillId="0" borderId="0" xfId="0" applyNumberFormat="1" applyFont="1"/>
    <xf numFmtId="169" fontId="2" fillId="0" borderId="0" xfId="0" applyNumberFormat="1" applyFont="1"/>
    <xf numFmtId="171" fontId="2" fillId="0" borderId="0" xfId="0" applyNumberFormat="1" applyFont="1"/>
    <xf numFmtId="0" fontId="2" fillId="0" borderId="0" xfId="0" applyFont="1" applyAlignment="1">
      <alignment horizontal="right"/>
    </xf>
    <xf numFmtId="167" fontId="2" fillId="0" borderId="0" xfId="0" applyNumberFormat="1" applyFont="1"/>
    <xf numFmtId="0" fontId="6" fillId="2" borderId="3" xfId="0" applyFont="1" applyFill="1" applyBorder="1" applyAlignment="1">
      <alignment horizontal="center"/>
    </xf>
    <xf numFmtId="164" fontId="2" fillId="0" borderId="0" xfId="1" applyNumberFormat="1" applyFont="1"/>
    <xf numFmtId="169" fontId="2" fillId="0" borderId="0" xfId="0" applyNumberFormat="1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</a:t>
            </a:r>
            <a:r>
              <a:rPr lang="en-GB" baseline="0"/>
              <a:t> Annual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Compounding!$A$4:$A$9</c:f>
              <c:strCache>
                <c:ptCount val="6"/>
                <c:pt idx="0">
                  <c:v>Continuous</c:v>
                </c:pt>
                <c:pt idx="1">
                  <c:v>Daily</c:v>
                </c:pt>
                <c:pt idx="2">
                  <c:v>Monthly</c:v>
                </c:pt>
                <c:pt idx="3">
                  <c:v>Quarterly</c:v>
                </c:pt>
                <c:pt idx="4">
                  <c:v>Semi-annual</c:v>
                </c:pt>
                <c:pt idx="5">
                  <c:v>Annual</c:v>
                </c:pt>
              </c:strCache>
            </c:strRef>
          </c:cat>
          <c:val>
            <c:numRef>
              <c:f>Compounding!$C$4:$C$9</c:f>
              <c:numCache>
                <c:formatCode>0.000%</c:formatCode>
                <c:ptCount val="6"/>
                <c:pt idx="0">
                  <c:v>0.10517091807564771</c:v>
                </c:pt>
                <c:pt idx="1">
                  <c:v>0.10515578161622718</c:v>
                </c:pt>
                <c:pt idx="2">
                  <c:v>0.10471306744129683</c:v>
                </c:pt>
                <c:pt idx="3">
                  <c:v>0.10381289062499977</c:v>
                </c:pt>
                <c:pt idx="4" formatCode="0.00%">
                  <c:v>0.10250000000000004</c:v>
                </c:pt>
                <c:pt idx="5" formatCode="0%">
                  <c:v>0.10000000000000009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6-4735-840C-2AAA0079CE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97120624"/>
        <c:axId val="697113080"/>
      </c:lineChart>
      <c:catAx>
        <c:axId val="6971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97113080"/>
        <c:crosses val="autoZero"/>
        <c:auto val="1"/>
        <c:lblAlgn val="ctr"/>
        <c:lblOffset val="100"/>
        <c:noMultiLvlLbl val="0"/>
      </c:catAx>
      <c:valAx>
        <c:axId val="697113080"/>
        <c:scaling>
          <c:orientation val="minMax"/>
          <c:min val="9.9000000000000032E-2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971206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104775</xdr:rowOff>
    </xdr:from>
    <xdr:to>
      <xdr:col>11</xdr:col>
      <xdr:colOff>311150</xdr:colOff>
      <xdr:row>10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28575</xdr:rowOff>
        </xdr:from>
        <xdr:to>
          <xdr:col>14</xdr:col>
          <xdr:colOff>238125</xdr:colOff>
          <xdr:row>4</xdr:row>
          <xdr:rowOff>142875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L15" sqref="L15"/>
    </sheetView>
  </sheetViews>
  <sheetFormatPr defaultColWidth="8.7109375" defaultRowHeight="21" x14ac:dyDescent="0.35"/>
  <cols>
    <col min="1" max="1" width="26.5703125" style="1" bestFit="1" customWidth="1"/>
    <col min="2" max="2" width="14.5703125" style="1" customWidth="1"/>
    <col min="3" max="3" width="14.85546875" style="1" bestFit="1" customWidth="1"/>
    <col min="4" max="7" width="14.5703125" style="1" customWidth="1"/>
    <col min="8" max="16384" width="8.7109375" style="1"/>
  </cols>
  <sheetData>
    <row r="1" spans="1:7" x14ac:dyDescent="0.35">
      <c r="A1" s="1" t="s">
        <v>19</v>
      </c>
      <c r="B1" s="2">
        <v>0.12</v>
      </c>
    </row>
    <row r="2" spans="1:7" x14ac:dyDescent="0.35">
      <c r="B2" s="2"/>
    </row>
    <row r="3" spans="1:7" x14ac:dyDescent="0.35">
      <c r="A3" s="1" t="s">
        <v>8</v>
      </c>
      <c r="B3" s="31">
        <v>0</v>
      </c>
      <c r="C3" s="31">
        <v>1</v>
      </c>
      <c r="D3" s="31">
        <v>2</v>
      </c>
      <c r="E3" s="31">
        <v>3</v>
      </c>
      <c r="F3" s="31">
        <v>4</v>
      </c>
      <c r="G3" s="31">
        <v>5</v>
      </c>
    </row>
    <row r="5" spans="1:7" x14ac:dyDescent="0.35">
      <c r="A5" s="1" t="s">
        <v>9</v>
      </c>
      <c r="B5" s="3">
        <v>-300000</v>
      </c>
    </row>
    <row r="7" spans="1:7" x14ac:dyDescent="0.35">
      <c r="A7" s="1" t="s">
        <v>10</v>
      </c>
      <c r="C7" s="3">
        <f>60%*300000</f>
        <v>180000</v>
      </c>
      <c r="D7" s="3">
        <f>C7+8000</f>
        <v>188000</v>
      </c>
      <c r="E7" s="3">
        <f t="shared" ref="E7:G7" si="0">D7+8000</f>
        <v>196000</v>
      </c>
      <c r="F7" s="3">
        <f t="shared" si="0"/>
        <v>204000</v>
      </c>
      <c r="G7" s="3">
        <f t="shared" si="0"/>
        <v>212000</v>
      </c>
    </row>
    <row r="8" spans="1:7" x14ac:dyDescent="0.35">
      <c r="A8" s="1" t="s">
        <v>11</v>
      </c>
      <c r="C8" s="3">
        <v>88000</v>
      </c>
      <c r="D8" s="3">
        <v>88000</v>
      </c>
      <c r="E8" s="3">
        <v>88000</v>
      </c>
      <c r="F8" s="3">
        <v>88000</v>
      </c>
      <c r="G8" s="3">
        <v>88000</v>
      </c>
    </row>
    <row r="9" spans="1:7" x14ac:dyDescent="0.35">
      <c r="A9" s="1" t="s">
        <v>12</v>
      </c>
      <c r="C9" s="3">
        <v>35000</v>
      </c>
      <c r="D9" s="3">
        <v>35000</v>
      </c>
      <c r="E9" s="3">
        <v>35000</v>
      </c>
      <c r="F9" s="3">
        <v>35000</v>
      </c>
      <c r="G9" s="3">
        <v>35000</v>
      </c>
    </row>
    <row r="11" spans="1:7" x14ac:dyDescent="0.35">
      <c r="A11" s="1" t="s">
        <v>13</v>
      </c>
      <c r="C11" s="3">
        <f>C7-C8-C9</f>
        <v>57000</v>
      </c>
      <c r="D11" s="3">
        <f t="shared" ref="D11:G11" si="1">D7-D8-D9</f>
        <v>65000</v>
      </c>
      <c r="E11" s="3">
        <f t="shared" si="1"/>
        <v>73000</v>
      </c>
      <c r="F11" s="3">
        <f t="shared" si="1"/>
        <v>81000</v>
      </c>
      <c r="G11" s="3">
        <f t="shared" si="1"/>
        <v>89000</v>
      </c>
    </row>
    <row r="12" spans="1:7" x14ac:dyDescent="0.35">
      <c r="A12" s="1" t="s">
        <v>14</v>
      </c>
      <c r="C12" s="3">
        <f>35%*C11</f>
        <v>19950</v>
      </c>
      <c r="D12" s="3">
        <f t="shared" ref="D12:G12" si="2">35%*D11</f>
        <v>22750</v>
      </c>
      <c r="E12" s="3">
        <f t="shared" si="2"/>
        <v>25550</v>
      </c>
      <c r="F12" s="3">
        <f t="shared" si="2"/>
        <v>28350</v>
      </c>
      <c r="G12" s="3">
        <f t="shared" si="2"/>
        <v>31149.999999999996</v>
      </c>
    </row>
    <row r="14" spans="1:7" x14ac:dyDescent="0.35">
      <c r="A14" s="1" t="s">
        <v>15</v>
      </c>
      <c r="C14" s="3">
        <f>C11-C12</f>
        <v>37050</v>
      </c>
      <c r="D14" s="3">
        <f t="shared" ref="D14:G14" si="3">D11-D12</f>
        <v>42250</v>
      </c>
      <c r="E14" s="3">
        <f t="shared" si="3"/>
        <v>47450</v>
      </c>
      <c r="F14" s="3">
        <f t="shared" si="3"/>
        <v>52650</v>
      </c>
      <c r="G14" s="3">
        <f t="shared" si="3"/>
        <v>57850</v>
      </c>
    </row>
    <row r="16" spans="1:7" x14ac:dyDescent="0.35">
      <c r="A16" s="1" t="s">
        <v>16</v>
      </c>
      <c r="C16" s="3">
        <f>C14+C9</f>
        <v>72050</v>
      </c>
      <c r="D16" s="3">
        <f t="shared" ref="D16:G16" si="4">D14+D9</f>
        <v>77250</v>
      </c>
      <c r="E16" s="3">
        <f t="shared" si="4"/>
        <v>82450</v>
      </c>
      <c r="F16" s="3">
        <f t="shared" si="4"/>
        <v>87650</v>
      </c>
      <c r="G16" s="3">
        <f t="shared" si="4"/>
        <v>92850</v>
      </c>
    </row>
    <row r="18" spans="1:7" x14ac:dyDescent="0.35">
      <c r="A18" s="1" t="s">
        <v>58</v>
      </c>
      <c r="B18" s="4"/>
      <c r="C18" s="4">
        <f>PV($B$1,C3,0,-1)</f>
        <v>0.89285714285714279</v>
      </c>
      <c r="D18" s="4">
        <f>PV($B$1,D3,0,-1)</f>
        <v>0.79719387755102034</v>
      </c>
      <c r="E18" s="4">
        <f>PV($B$1,E3,0,-1)</f>
        <v>0.71178024781341087</v>
      </c>
      <c r="F18" s="4">
        <f>PV($B$1,F3,0,-1)</f>
        <v>0.63551807840483121</v>
      </c>
      <c r="G18" s="4">
        <f>PV($B$1,G3,0,-1)</f>
        <v>0.56742685571859919</v>
      </c>
    </row>
    <row r="20" spans="1:7" x14ac:dyDescent="0.35">
      <c r="A20" s="1" t="s">
        <v>4</v>
      </c>
      <c r="C20" s="3">
        <f>C16*C18</f>
        <v>64330.357142857138</v>
      </c>
      <c r="D20" s="3">
        <f t="shared" ref="D20:G20" si="5">D16*D18</f>
        <v>61583.227040816324</v>
      </c>
      <c r="E20" s="3">
        <f t="shared" si="5"/>
        <v>58686.281432215728</v>
      </c>
      <c r="F20" s="3">
        <f t="shared" si="5"/>
        <v>55703.159572183453</v>
      </c>
      <c r="G20" s="3">
        <f t="shared" si="5"/>
        <v>52685.583553471937</v>
      </c>
    </row>
    <row r="21" spans="1:7" x14ac:dyDescent="0.35">
      <c r="A21" s="1" t="s">
        <v>20</v>
      </c>
      <c r="B21" s="3">
        <f>B5+C20+D20+E20+F20+G20</f>
        <v>-7011.3912584554128</v>
      </c>
    </row>
    <row r="23" spans="1:7" x14ac:dyDescent="0.35">
      <c r="A23" s="1" t="s">
        <v>21</v>
      </c>
      <c r="B23" s="3">
        <f>B5+NPV(B1,C16:G16)</f>
        <v>-7011.3912584554637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9"/>
  <sheetViews>
    <sheetView zoomScaleNormal="100" workbookViewId="0">
      <selection activeCell="D10" sqref="D10"/>
    </sheetView>
  </sheetViews>
  <sheetFormatPr defaultColWidth="8.7109375" defaultRowHeight="21" x14ac:dyDescent="0.35"/>
  <cols>
    <col min="1" max="1" width="8.7109375" style="1"/>
    <col min="2" max="2" width="60.85546875" style="1" bestFit="1" customWidth="1"/>
    <col min="3" max="7" width="20.5703125" style="1" customWidth="1"/>
    <col min="8" max="16384" width="8.7109375" style="1"/>
  </cols>
  <sheetData>
    <row r="2" spans="2:4" x14ac:dyDescent="0.35">
      <c r="B2" s="1" t="s">
        <v>5</v>
      </c>
      <c r="C2" s="5">
        <v>4000</v>
      </c>
    </row>
    <row r="3" spans="2:4" x14ac:dyDescent="0.35">
      <c r="B3" s="1" t="s">
        <v>3</v>
      </c>
      <c r="C3" s="6">
        <v>0.06</v>
      </c>
    </row>
    <row r="4" spans="2:4" x14ac:dyDescent="0.35">
      <c r="B4" s="1" t="s">
        <v>2</v>
      </c>
      <c r="C4" s="7">
        <f>(1+(C3/4))^4-1</f>
        <v>6.136355062499943E-2</v>
      </c>
      <c r="D4" s="8"/>
    </row>
    <row r="5" spans="2:4" x14ac:dyDescent="0.35">
      <c r="B5" s="1" t="s">
        <v>22</v>
      </c>
      <c r="C5" s="34">
        <f>(1+C4)^(1/12) - 1</f>
        <v>4.975206272652466E-3</v>
      </c>
    </row>
    <row r="6" spans="2:4" x14ac:dyDescent="0.35">
      <c r="B6" s="1" t="s">
        <v>6</v>
      </c>
      <c r="C6" s="9">
        <f>5*12</f>
        <v>60</v>
      </c>
    </row>
    <row r="8" spans="2:4" x14ac:dyDescent="0.35">
      <c r="B8" s="1" t="s">
        <v>4</v>
      </c>
      <c r="C8" s="10">
        <f>C2*(1/C5)*(1-1/(1+C5)^C6)</f>
        <v>207050.37553261389</v>
      </c>
    </row>
    <row r="9" spans="2:4" x14ac:dyDescent="0.35">
      <c r="B9" s="1" t="s">
        <v>7</v>
      </c>
      <c r="C9" s="11">
        <f>PV(C5,C6,C2)</f>
        <v>-207050.37553261389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D27" sqref="D27"/>
    </sheetView>
  </sheetViews>
  <sheetFormatPr defaultColWidth="8.7109375" defaultRowHeight="21" x14ac:dyDescent="0.35"/>
  <cols>
    <col min="1" max="1" width="29.140625" style="1" bestFit="1" customWidth="1"/>
    <col min="2" max="2" width="14.140625" style="1" customWidth="1"/>
    <col min="3" max="3" width="21.28515625" style="1" customWidth="1"/>
    <col min="4" max="16384" width="8.7109375" style="1"/>
  </cols>
  <sheetData>
    <row r="1" spans="1:3" x14ac:dyDescent="0.35">
      <c r="A1" s="1" t="s">
        <v>1</v>
      </c>
      <c r="B1" s="6">
        <v>0.1</v>
      </c>
    </row>
    <row r="3" spans="1:3" x14ac:dyDescent="0.35">
      <c r="A3" s="13" t="s">
        <v>55</v>
      </c>
      <c r="B3" s="33" t="s">
        <v>54</v>
      </c>
      <c r="C3" s="12" t="s">
        <v>0</v>
      </c>
    </row>
    <row r="4" spans="1:3" x14ac:dyDescent="0.35">
      <c r="A4" s="19" t="s">
        <v>23</v>
      </c>
      <c r="B4" s="14" t="s">
        <v>28</v>
      </c>
      <c r="C4" s="15">
        <f>EXP(B1)-1</f>
        <v>0.10517091807564771</v>
      </c>
    </row>
    <row r="5" spans="1:3" x14ac:dyDescent="0.35">
      <c r="A5" s="19" t="s">
        <v>24</v>
      </c>
      <c r="B5" s="14">
        <v>365</v>
      </c>
      <c r="C5" s="16">
        <f>(1+$B$1/B5)^B5-1</f>
        <v>0.10515578161622718</v>
      </c>
    </row>
    <row r="6" spans="1:3" x14ac:dyDescent="0.35">
      <c r="A6" s="19" t="s">
        <v>25</v>
      </c>
      <c r="B6" s="14">
        <v>12</v>
      </c>
      <c r="C6" s="16">
        <f>(1+$B$1/B6)^B6-1</f>
        <v>0.10471306744129683</v>
      </c>
    </row>
    <row r="7" spans="1:3" x14ac:dyDescent="0.35">
      <c r="A7" s="19" t="s">
        <v>26</v>
      </c>
      <c r="B7" s="14">
        <v>4</v>
      </c>
      <c r="C7" s="16">
        <f>(1+$B$1/B7)^B7-1</f>
        <v>0.10381289062499977</v>
      </c>
    </row>
    <row r="8" spans="1:3" x14ac:dyDescent="0.35">
      <c r="A8" s="19" t="s">
        <v>56</v>
      </c>
      <c r="B8" s="14">
        <v>2</v>
      </c>
      <c r="C8" s="17">
        <f>(1+$B$1/B8)^B8-1</f>
        <v>0.10250000000000004</v>
      </c>
    </row>
    <row r="9" spans="1:3" x14ac:dyDescent="0.35">
      <c r="A9" s="19" t="s">
        <v>27</v>
      </c>
      <c r="B9" s="14">
        <v>1</v>
      </c>
      <c r="C9" s="18">
        <f>(1+$B$1/B9)^B9-1</f>
        <v>0.10000000000000009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activeCell="M4" sqref="M4"/>
    </sheetView>
  </sheetViews>
  <sheetFormatPr defaultColWidth="8.7109375" defaultRowHeight="21" x14ac:dyDescent="0.35"/>
  <cols>
    <col min="1" max="1" width="17.140625" style="1" bestFit="1" customWidth="1"/>
    <col min="2" max="7" width="14.5703125" style="1" customWidth="1"/>
    <col min="8" max="16384" width="8.7109375" style="1"/>
  </cols>
  <sheetData>
    <row r="1" spans="1:7" x14ac:dyDescent="0.35">
      <c r="A1" s="1" t="s">
        <v>19</v>
      </c>
      <c r="B1" s="2">
        <v>0.15</v>
      </c>
    </row>
    <row r="2" spans="1:7" x14ac:dyDescent="0.35">
      <c r="B2" s="2"/>
    </row>
    <row r="3" spans="1:7" ht="24" x14ac:dyDescent="0.35">
      <c r="A3" s="23" t="s">
        <v>29</v>
      </c>
      <c r="B3" s="22" t="s">
        <v>34</v>
      </c>
      <c r="C3" s="22" t="s">
        <v>35</v>
      </c>
      <c r="D3" s="24" t="s">
        <v>36</v>
      </c>
      <c r="E3" s="25" t="s">
        <v>20</v>
      </c>
      <c r="F3" s="21" t="s">
        <v>37</v>
      </c>
      <c r="G3" s="21" t="s">
        <v>38</v>
      </c>
    </row>
    <row r="4" spans="1:7" x14ac:dyDescent="0.35">
      <c r="A4" s="14" t="s">
        <v>30</v>
      </c>
      <c r="B4" s="20">
        <v>-10</v>
      </c>
      <c r="C4" s="20">
        <v>10</v>
      </c>
      <c r="D4" s="14">
        <v>10</v>
      </c>
      <c r="E4" s="35">
        <f t="shared" ref="E4:E9" si="0">B4+NPV($B$1,C4:D4)</f>
        <v>6.2570888468809116</v>
      </c>
      <c r="F4" s="36">
        <f t="shared" ref="F4:F9" si="1">IRR(B4:D4)</f>
        <v>0.61803398874613125</v>
      </c>
      <c r="G4" s="26">
        <f t="shared" ref="G4:G9" si="2">-E4/B4</f>
        <v>0.62570888468809116</v>
      </c>
    </row>
    <row r="5" spans="1:7" x14ac:dyDescent="0.35">
      <c r="A5" s="14" t="s">
        <v>31</v>
      </c>
      <c r="B5" s="20">
        <v>-15</v>
      </c>
      <c r="C5" s="20">
        <v>8</v>
      </c>
      <c r="D5" s="14">
        <v>12</v>
      </c>
      <c r="E5" s="35">
        <f t="shared" si="0"/>
        <v>1.0302457466918717</v>
      </c>
      <c r="F5" s="36">
        <f t="shared" si="1"/>
        <v>0.19999999999657625</v>
      </c>
      <c r="G5" s="27">
        <f t="shared" si="2"/>
        <v>6.8683049779458119E-2</v>
      </c>
    </row>
    <row r="6" spans="1:7" x14ac:dyDescent="0.35">
      <c r="A6" s="14" t="s">
        <v>32</v>
      </c>
      <c r="B6" s="20">
        <v>-10</v>
      </c>
      <c r="C6" s="20">
        <v>5</v>
      </c>
      <c r="D6" s="14">
        <v>15</v>
      </c>
      <c r="E6" s="35">
        <f t="shared" si="0"/>
        <v>5.6899810964083191</v>
      </c>
      <c r="F6" s="36">
        <f t="shared" si="1"/>
        <v>0.50000000000000044</v>
      </c>
      <c r="G6" s="26">
        <f t="shared" si="2"/>
        <v>0.56899810964083186</v>
      </c>
    </row>
    <row r="7" spans="1:7" x14ac:dyDescent="0.35">
      <c r="A7" s="14" t="s">
        <v>33</v>
      </c>
      <c r="B7" s="20">
        <v>-25</v>
      </c>
      <c r="C7" s="20">
        <v>16</v>
      </c>
      <c r="D7" s="14">
        <v>24</v>
      </c>
      <c r="E7" s="35">
        <f t="shared" si="0"/>
        <v>7.0604914933837435</v>
      </c>
      <c r="F7" s="36">
        <f t="shared" si="1"/>
        <v>0.35072789813800331</v>
      </c>
      <c r="G7" s="27">
        <f t="shared" si="2"/>
        <v>0.28241965973534972</v>
      </c>
    </row>
    <row r="8" spans="1:7" x14ac:dyDescent="0.35">
      <c r="A8" s="14" t="s">
        <v>39</v>
      </c>
      <c r="B8" s="20">
        <v>-10</v>
      </c>
      <c r="C8" s="20">
        <v>30</v>
      </c>
      <c r="D8" s="14">
        <v>-15</v>
      </c>
      <c r="E8" s="35">
        <f t="shared" si="0"/>
        <v>4.744801512287335</v>
      </c>
      <c r="F8" s="36">
        <f t="shared" si="1"/>
        <v>1.3660254037802613</v>
      </c>
      <c r="G8" s="27">
        <f t="shared" si="2"/>
        <v>0.47448015122873349</v>
      </c>
    </row>
    <row r="9" spans="1:7" x14ac:dyDescent="0.35">
      <c r="A9" s="14" t="s">
        <v>57</v>
      </c>
      <c r="B9" s="20">
        <v>-5</v>
      </c>
      <c r="C9" s="20">
        <v>5</v>
      </c>
      <c r="D9" s="14">
        <v>1</v>
      </c>
      <c r="E9" s="35">
        <f t="shared" si="0"/>
        <v>0.1039697542533089</v>
      </c>
      <c r="F9" s="36">
        <f t="shared" si="1"/>
        <v>0.17082039324993681</v>
      </c>
      <c r="G9" s="26">
        <f t="shared" si="2"/>
        <v>2.0793950850661779E-2</v>
      </c>
    </row>
  </sheetData>
  <autoFilter ref="A3:G14" xr:uid="{00000000-0009-0000-0000-000003000000}">
    <sortState xmlns:xlrd2="http://schemas.microsoft.com/office/spreadsheetml/2017/richdata2" ref="A4:G9">
      <sortCondition ref="A3:A1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15"/>
  <sheetViews>
    <sheetView workbookViewId="0">
      <selection activeCell="F13" sqref="F13"/>
    </sheetView>
  </sheetViews>
  <sheetFormatPr defaultColWidth="8.7109375" defaultRowHeight="21" x14ac:dyDescent="0.35"/>
  <cols>
    <col min="1" max="1" width="8.7109375" style="1"/>
    <col min="2" max="2" width="35.42578125" style="1" bestFit="1" customWidth="1"/>
    <col min="3" max="3" width="16.5703125" style="1" customWidth="1"/>
    <col min="4" max="16384" width="8.7109375" style="1"/>
  </cols>
  <sheetData>
    <row r="2" spans="2:3" x14ac:dyDescent="0.35">
      <c r="B2" s="1" t="s">
        <v>40</v>
      </c>
      <c r="C2" s="28">
        <v>1000</v>
      </c>
    </row>
    <row r="3" spans="2:3" x14ac:dyDescent="0.35">
      <c r="B3" s="1" t="s">
        <v>41</v>
      </c>
      <c r="C3" s="29">
        <v>1067.55</v>
      </c>
    </row>
    <row r="4" spans="2:3" x14ac:dyDescent="0.35">
      <c r="B4" s="1" t="s">
        <v>42</v>
      </c>
      <c r="C4" s="1">
        <v>10</v>
      </c>
    </row>
    <row r="5" spans="2:3" x14ac:dyDescent="0.35">
      <c r="B5" s="1" t="s">
        <v>43</v>
      </c>
      <c r="C5" s="1">
        <v>2</v>
      </c>
    </row>
    <row r="6" spans="2:3" x14ac:dyDescent="0.35">
      <c r="B6" s="1" t="s">
        <v>44</v>
      </c>
      <c r="C6" s="2">
        <v>0.08</v>
      </c>
    </row>
    <row r="8" spans="2:3" x14ac:dyDescent="0.35">
      <c r="B8" s="1" t="s">
        <v>46</v>
      </c>
      <c r="C8" s="1">
        <f>C4*C5</f>
        <v>20</v>
      </c>
    </row>
    <row r="9" spans="2:3" x14ac:dyDescent="0.35">
      <c r="B9" s="1" t="s">
        <v>47</v>
      </c>
      <c r="C9" s="6">
        <f>C6/C5</f>
        <v>0.04</v>
      </c>
    </row>
    <row r="11" spans="2:3" x14ac:dyDescent="0.35">
      <c r="B11" s="1" t="s">
        <v>48</v>
      </c>
      <c r="C11" s="30">
        <f>ROUND(PV(C9,C8,0,-1),3)</f>
        <v>0.45600000000000002</v>
      </c>
    </row>
    <row r="12" spans="2:3" x14ac:dyDescent="0.35">
      <c r="B12" s="1" t="s">
        <v>49</v>
      </c>
      <c r="C12" s="30">
        <f>ROUND(PV(C9,C8,-1),3)</f>
        <v>13.59</v>
      </c>
    </row>
    <row r="14" spans="2:3" x14ac:dyDescent="0.35">
      <c r="B14" s="1" t="s">
        <v>45</v>
      </c>
      <c r="C14" s="29">
        <f>(C3-C2*C11)/C12</f>
        <v>45</v>
      </c>
    </row>
    <row r="15" spans="2:3" x14ac:dyDescent="0.35">
      <c r="B15" s="1" t="s">
        <v>50</v>
      </c>
      <c r="C15" s="6">
        <f>(C14*C5)/C2</f>
        <v>0.09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6145" r:id="rId3">
          <objectPr defaultSize="0" r:id="rId4">
            <anchor moveWithCells="1">
              <from>
                <xdr:col>4</xdr:col>
                <xdr:colOff>9525</xdr:colOff>
                <xdr:row>1</xdr:row>
                <xdr:rowOff>28575</xdr:rowOff>
              </from>
              <to>
                <xdr:col>14</xdr:col>
                <xdr:colOff>238125</xdr:colOff>
                <xdr:row>4</xdr:row>
                <xdr:rowOff>142875</xdr:rowOff>
              </to>
            </anchor>
          </objectPr>
        </oleObject>
      </mc:Choice>
      <mc:Fallback>
        <oleObject shapeId="6145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15"/>
  <sheetViews>
    <sheetView tabSelected="1" workbookViewId="0">
      <selection activeCell="D15" sqref="D15"/>
    </sheetView>
  </sheetViews>
  <sheetFormatPr defaultColWidth="8.7109375" defaultRowHeight="21" x14ac:dyDescent="0.35"/>
  <cols>
    <col min="1" max="1" width="8.7109375" style="1"/>
    <col min="2" max="2" width="35.42578125" style="1" bestFit="1" customWidth="1"/>
    <col min="3" max="4" width="16.5703125" style="1" customWidth="1"/>
    <col min="5" max="16384" width="8.7109375" style="1"/>
  </cols>
  <sheetData>
    <row r="2" spans="2:6" x14ac:dyDescent="0.35">
      <c r="B2" s="1" t="s">
        <v>8</v>
      </c>
      <c r="C2" s="1">
        <v>0</v>
      </c>
      <c r="D2" s="1">
        <v>1</v>
      </c>
    </row>
    <row r="4" spans="2:6" x14ac:dyDescent="0.35">
      <c r="B4" s="1" t="s">
        <v>40</v>
      </c>
      <c r="C4" s="5">
        <v>1000</v>
      </c>
      <c r="D4" s="5"/>
    </row>
    <row r="5" spans="2:6" x14ac:dyDescent="0.35">
      <c r="B5" s="1" t="s">
        <v>51</v>
      </c>
      <c r="C5" s="2">
        <v>0.05</v>
      </c>
      <c r="D5" s="2"/>
    </row>
    <row r="6" spans="2:6" x14ac:dyDescent="0.35">
      <c r="B6" s="1" t="s">
        <v>42</v>
      </c>
      <c r="C6" s="1">
        <v>6</v>
      </c>
      <c r="D6" s="1">
        <v>5</v>
      </c>
    </row>
    <row r="7" spans="2:6" x14ac:dyDescent="0.35">
      <c r="B7" s="1" t="s">
        <v>44</v>
      </c>
      <c r="C7" s="2">
        <v>0.03</v>
      </c>
      <c r="D7" s="2">
        <v>0.02</v>
      </c>
      <c r="E7" s="2"/>
    </row>
    <row r="9" spans="2:6" x14ac:dyDescent="0.35">
      <c r="B9" s="1" t="s">
        <v>45</v>
      </c>
      <c r="C9" s="32">
        <f>C5*C4</f>
        <v>50</v>
      </c>
      <c r="F9" s="1" t="s">
        <v>53</v>
      </c>
    </row>
    <row r="10" spans="2:6" x14ac:dyDescent="0.35">
      <c r="B10" s="1" t="s">
        <v>17</v>
      </c>
      <c r="C10" s="30">
        <f>ROUND(PV(C7,C6,0,-1),3)</f>
        <v>0.83699999999999997</v>
      </c>
      <c r="D10" s="30">
        <f>ROUND(PV(D7,D6,0,-1),3)</f>
        <v>0.90600000000000003</v>
      </c>
    </row>
    <row r="11" spans="2:6" x14ac:dyDescent="0.35">
      <c r="B11" s="1" t="s">
        <v>18</v>
      </c>
      <c r="C11" s="30">
        <f>ROUND(PV(C7,C6,-1),3)</f>
        <v>5.4169999999999998</v>
      </c>
      <c r="D11" s="30">
        <f>ROUND(PV(D7,D6,-1),3)</f>
        <v>4.7130000000000001</v>
      </c>
      <c r="E11" s="30"/>
    </row>
    <row r="13" spans="2:6" x14ac:dyDescent="0.35">
      <c r="B13" s="1" t="s">
        <v>41</v>
      </c>
      <c r="C13" s="32">
        <f>$C$9*C11+$C$4*C10</f>
        <v>1107.8499999999999</v>
      </c>
      <c r="D13" s="32">
        <f>$C$9*D11+$C$4*D10</f>
        <v>1141.6500000000001</v>
      </c>
    </row>
    <row r="15" spans="2:6" x14ac:dyDescent="0.35">
      <c r="B15" s="1" t="s">
        <v>52</v>
      </c>
      <c r="C15" s="7">
        <f>(C9+D13-C13)/C13</f>
        <v>7.5642009297287705E-2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509763D9E92C4AB56B783DF7C7CDCA" ma:contentTypeVersion="14" ma:contentTypeDescription="Een nieuw document maken." ma:contentTypeScope="" ma:versionID="433968b988508664b379fab844ed6b60">
  <xsd:schema xmlns:xsd="http://www.w3.org/2001/XMLSchema" xmlns:xs="http://www.w3.org/2001/XMLSchema" xmlns:p="http://schemas.microsoft.com/office/2006/metadata/properties" xmlns:ns3="b0bde371-2a4c-4d57-9233-9ce0b39d4d93" xmlns:ns4="dd823be6-035a-40d2-86c5-15d0bc05d6f0" targetNamespace="http://schemas.microsoft.com/office/2006/metadata/properties" ma:root="true" ma:fieldsID="54040866de8412830ee9d751637e303e" ns3:_="" ns4:_="">
    <xsd:import namespace="b0bde371-2a4c-4d57-9233-9ce0b39d4d93"/>
    <xsd:import namespace="dd823be6-035a-40d2-86c5-15d0bc05d6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de371-2a4c-4d57-9233-9ce0b39d4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23be6-035a-40d2-86c5-15d0bc05d6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67E34D-7E69-4F14-9200-4C3EB984CF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bde371-2a4c-4d57-9233-9ce0b39d4d93"/>
    <ds:schemaRef ds:uri="dd823be6-035a-40d2-86c5-15d0bc05d6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843A0A-0198-4B2D-9F96-D1F0FBFB73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26C0B6-E2B2-4766-88BD-E85EAD1E81EB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dd823be6-035a-40d2-86c5-15d0bc05d6f0"/>
    <ds:schemaRef ds:uri="b0bde371-2a4c-4d57-9233-9ce0b39d4d9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Compounding</vt:lpstr>
      <vt:lpstr>Q3</vt:lpstr>
      <vt:lpstr>Q4</vt:lpstr>
      <vt:lpstr>Q5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Aleksandrina Ralcheva</dc:creator>
  <cp:lastModifiedBy>Aleksandrina Ralcheva</cp:lastModifiedBy>
  <dcterms:created xsi:type="dcterms:W3CDTF">2022-09-28T10:48:54Z</dcterms:created>
  <dcterms:modified xsi:type="dcterms:W3CDTF">2023-10-02T06:59:33Z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0x010100A0509763D9E92C4AB56B783DF7C7CDCA</vt:lpwstr>
  </property>
</Properties>
</file>