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ЭтаКнига" defaultThemeVersion="124226"/>
  <bookViews>
    <workbookView xWindow="300" yWindow="4530" windowWidth="14805" windowHeight="5745"/>
  </bookViews>
  <sheets>
    <sheet name="Лист1" sheetId="1" r:id="rId1"/>
  </sheets>
  <definedNames>
    <definedName name="_xlnm.Print_Area" localSheetId="0">Лист1!$A$1:$X$32</definedName>
  </definedNames>
  <calcPr calcId="124519" iterate="1" iterateCount="1"/>
</workbook>
</file>

<file path=xl/calcChain.xml><?xml version="1.0" encoding="utf-8"?>
<calcChain xmlns="http://schemas.openxmlformats.org/spreadsheetml/2006/main">
  <c r="J25" i="1"/>
  <c r="J17"/>
  <c r="J11"/>
  <c r="F3"/>
  <c r="E10"/>
  <c r="E25" l="1"/>
  <c r="E2"/>
  <c r="H10" l="1"/>
  <c r="H16"/>
  <c r="E17"/>
  <c r="E16"/>
  <c r="E14"/>
  <c r="E13"/>
  <c r="E11"/>
  <c r="J13"/>
  <c r="H13" s="1"/>
  <c r="F2" l="1"/>
  <c r="F11"/>
  <c r="F12"/>
  <c r="J12" s="1"/>
  <c r="F14"/>
  <c r="J14" s="1"/>
  <c r="F15"/>
  <c r="J15" s="1"/>
  <c r="H15" s="1"/>
  <c r="F17"/>
  <c r="F18"/>
  <c r="J18" s="1"/>
  <c r="F19"/>
  <c r="J19" s="1"/>
  <c r="H19" s="1"/>
  <c r="F20"/>
  <c r="J20" s="1"/>
  <c r="H20" s="1"/>
  <c r="F21"/>
  <c r="J21" s="1"/>
  <c r="H21" s="1"/>
  <c r="F22"/>
  <c r="J22" s="1"/>
  <c r="H22" s="1"/>
  <c r="F23"/>
  <c r="J23" s="1"/>
  <c r="H23" s="1"/>
  <c r="F24"/>
  <c r="J24" s="1"/>
  <c r="H24" s="1"/>
  <c r="F25"/>
  <c r="H14" l="1"/>
  <c r="H18"/>
  <c r="K20"/>
  <c r="H12"/>
  <c r="K12"/>
  <c r="F1" s="1"/>
  <c r="I12"/>
  <c r="M2"/>
  <c r="A17" l="1"/>
  <c r="A25"/>
  <c r="B3"/>
  <c r="J3" s="1"/>
  <c r="H3" l="1"/>
  <c r="B4"/>
  <c r="F4" l="1"/>
  <c r="J4" s="1"/>
  <c r="B5"/>
  <c r="F5" s="1"/>
  <c r="J5" s="1"/>
  <c r="H5" s="1"/>
  <c r="M43"/>
  <c r="M42"/>
  <c r="H4" l="1"/>
  <c r="B6"/>
  <c r="F6" s="1"/>
  <c r="J6" s="1"/>
  <c r="H6" s="1"/>
  <c r="AD3"/>
  <c r="AC3"/>
  <c r="AC4" s="1"/>
  <c r="AC5" s="1"/>
  <c r="AC6" s="1"/>
  <c r="AC7" s="1"/>
  <c r="AC8" s="1"/>
  <c r="AC9" s="1"/>
  <c r="B7" l="1"/>
  <c r="F7" s="1"/>
  <c r="J7" s="1"/>
  <c r="H7" s="1"/>
  <c r="AD4"/>
  <c r="AD5" s="1"/>
  <c r="AD6" s="1"/>
  <c r="AD7" s="1"/>
  <c r="AD8" s="1"/>
  <c r="AD9" s="1"/>
  <c r="AD18" s="1"/>
  <c r="AD17" s="1"/>
  <c r="AD15" s="1"/>
  <c r="AD14" s="1"/>
  <c r="AD12" s="1"/>
  <c r="AD11" s="1"/>
  <c r="AD20" l="1"/>
  <c r="B8"/>
  <c r="F8" s="1"/>
  <c r="J8" s="1"/>
  <c r="H8" s="1"/>
  <c r="AD19"/>
  <c r="AD21"/>
  <c r="B9" l="1"/>
  <c r="F9" s="1"/>
  <c r="J9" s="1"/>
  <c r="K5" s="1"/>
  <c r="AD22"/>
  <c r="A11" l="1"/>
  <c r="H9"/>
  <c r="I3" s="1"/>
  <c r="AD32"/>
  <c r="AD34" l="1"/>
  <c r="AD33"/>
  <c r="AD27"/>
  <c r="AD26" s="1"/>
  <c r="AD25" l="1"/>
  <c r="AD24" s="1"/>
  <c r="AD23" s="1"/>
  <c r="AD35"/>
  <c r="AD36" l="1"/>
  <c r="AD37" l="1"/>
  <c r="AD38" l="1"/>
  <c r="AD39" l="1"/>
  <c r="AD40" l="1"/>
  <c r="AD49" l="1"/>
  <c r="AD48" l="1"/>
  <c r="AD47" s="1"/>
  <c r="AD46" s="1"/>
  <c r="AD45" s="1"/>
  <c r="AD44" s="1"/>
  <c r="AD43" s="1"/>
  <c r="AD42" s="1"/>
  <c r="AD41" s="1"/>
  <c r="C10" l="1"/>
  <c r="C16" l="1"/>
  <c r="H25" l="1"/>
  <c r="A26"/>
  <c r="H17" l="1"/>
  <c r="I18" s="1"/>
  <c r="H11" l="1"/>
  <c r="B29"/>
  <c r="B28" l="1"/>
  <c r="C28" l="1"/>
  <c r="B27"/>
  <c r="B30" l="1"/>
  <c r="B26" l="1"/>
  <c r="A21"/>
  <c r="A4"/>
  <c r="A1"/>
  <c r="D11"/>
  <c r="G11" s="1"/>
  <c r="D14"/>
  <c r="G14" s="1"/>
  <c r="D17"/>
  <c r="G17" s="1"/>
  <c r="C27"/>
  <c r="C30"/>
  <c r="B31"/>
  <c r="G2" l="1"/>
  <c r="A18"/>
  <c r="A7"/>
  <c r="M14"/>
  <c r="M11"/>
  <c r="C43" s="1"/>
  <c r="M17"/>
  <c r="C26"/>
  <c r="D28"/>
  <c r="A12"/>
  <c r="D29"/>
  <c r="D26" l="1"/>
  <c r="E28"/>
  <c r="D2"/>
  <c r="D3"/>
  <c r="G3"/>
  <c r="M3"/>
  <c r="D4"/>
  <c r="G4"/>
  <c r="M4"/>
  <c r="D5"/>
  <c r="G5"/>
  <c r="M5"/>
  <c r="D6"/>
  <c r="G6"/>
  <c r="M6"/>
  <c r="D7"/>
  <c r="G7"/>
  <c r="M7"/>
  <c r="D8"/>
  <c r="G8"/>
  <c r="M8"/>
  <c r="D9"/>
  <c r="G9"/>
  <c r="M9"/>
  <c r="D10"/>
  <c r="D12"/>
  <c r="G12"/>
  <c r="M12"/>
  <c r="D13"/>
  <c r="D15"/>
  <c r="G15"/>
  <c r="M15"/>
  <c r="D16"/>
  <c r="D18"/>
  <c r="G18"/>
  <c r="M18"/>
  <c r="D19"/>
  <c r="G19"/>
  <c r="M19"/>
  <c r="D20"/>
  <c r="G20"/>
  <c r="M20"/>
  <c r="D21"/>
  <c r="G21"/>
  <c r="M21"/>
  <c r="D22"/>
  <c r="G22"/>
  <c r="M22"/>
  <c r="D23"/>
  <c r="G23"/>
  <c r="M23"/>
  <c r="D24"/>
  <c r="G24"/>
  <c r="M24"/>
  <c r="D25"/>
  <c r="G25"/>
  <c r="M25"/>
  <c r="D27"/>
  <c r="E29"/>
  <c r="D30"/>
  <c r="E30"/>
  <c r="D31"/>
  <c r="E31"/>
</calcChain>
</file>

<file path=xl/sharedStrings.xml><?xml version="1.0" encoding="utf-8"?>
<sst xmlns="http://schemas.openxmlformats.org/spreadsheetml/2006/main" count="42" uniqueCount="28">
  <si>
    <t>О</t>
  </si>
  <si>
    <t>ВГД</t>
  </si>
  <si>
    <t>У</t>
  </si>
  <si>
    <t>Линейность</t>
  </si>
  <si>
    <t>Разница</t>
  </si>
  <si>
    <t>%</t>
  </si>
  <si>
    <t>Допуск</t>
  </si>
  <si>
    <t>R</t>
  </si>
  <si>
    <t>Ж</t>
  </si>
  <si>
    <t>И</t>
  </si>
  <si>
    <t>К</t>
  </si>
  <si>
    <t>З</t>
  </si>
  <si>
    <t>R4</t>
  </si>
  <si>
    <t>R3</t>
  </si>
  <si>
    <t>Δ</t>
  </si>
  <si>
    <t>Теория</t>
  </si>
  <si>
    <t>£</t>
  </si>
  <si>
    <t>НГД</t>
  </si>
  <si>
    <t>№</t>
  </si>
  <si>
    <t>Х</t>
  </si>
  <si>
    <t xml:space="preserve"> </t>
  </si>
  <si>
    <t>З/R1</t>
  </si>
  <si>
    <t>К/R3</t>
  </si>
  <si>
    <t>R5</t>
  </si>
  <si>
    <t>R[2|5]</t>
  </si>
  <si>
    <t>Ж/R[2|3]</t>
  </si>
  <si>
    <t>И/R[1|2]</t>
  </si>
  <si>
    <t>COM3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</si>
</sst>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3" tint="0.79998168889431442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i/>
      <sz val="1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i/>
      <sz val="11"/>
      <color rgb="FFFFFF00"/>
      <name val="Calibri"/>
      <family val="2"/>
      <charset val="204"/>
      <scheme val="minor"/>
    </font>
    <font>
      <i/>
      <sz val="11"/>
      <color theme="0"/>
      <name val="Calibri"/>
      <family val="2"/>
      <charset val="204"/>
      <scheme val="minor"/>
    </font>
    <font>
      <i/>
      <sz val="11"/>
      <color theme="3" tint="0.79998168889431442"/>
      <name val="Calibri"/>
      <family val="2"/>
      <charset val="204"/>
      <scheme val="minor"/>
    </font>
    <font>
      <b/>
      <i/>
      <sz val="10"/>
      <color rgb="FFFFFF00"/>
      <name val="Calibri"/>
      <family val="2"/>
      <charset val="204"/>
      <scheme val="minor"/>
    </font>
    <font>
      <i/>
      <sz val="11"/>
      <color rgb="FFFFFF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164" fontId="5" fillId="0" borderId="0" xfId="0" applyNumberFormat="1" applyFont="1" applyAlignment="1">
      <alignment horizontal="center" vertical="center"/>
    </xf>
    <xf numFmtId="0" fontId="0" fillId="3" borderId="0" xfId="0" applyFill="1"/>
    <xf numFmtId="0" fontId="5" fillId="3" borderId="0" xfId="0" applyFont="1" applyFill="1"/>
    <xf numFmtId="164" fontId="6" fillId="3" borderId="0" xfId="0" applyNumberFormat="1" applyFont="1" applyFill="1"/>
    <xf numFmtId="164" fontId="3" fillId="3" borderId="0" xfId="0" applyNumberFormat="1" applyFont="1" applyFill="1"/>
    <xf numFmtId="164" fontId="5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0" fontId="6" fillId="3" borderId="0" xfId="0" applyFont="1" applyFill="1"/>
    <xf numFmtId="0" fontId="5" fillId="3" borderId="0" xfId="0" applyFont="1" applyFill="1" applyAlignment="1">
      <alignment horizontal="right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" fontId="5" fillId="0" borderId="0" xfId="0" applyNumberFormat="1" applyFont="1"/>
    <xf numFmtId="1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3" fillId="7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5" fontId="3" fillId="4" borderId="11" xfId="1" applyNumberFormat="1" applyFont="1" applyFill="1" applyBorder="1"/>
    <xf numFmtId="165" fontId="3" fillId="4" borderId="3" xfId="0" applyNumberFormat="1" applyFont="1" applyFill="1" applyBorder="1"/>
    <xf numFmtId="0" fontId="0" fillId="3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5" fontId="11" fillId="3" borderId="12" xfId="1" applyNumberFormat="1" applyFont="1" applyFill="1" applyBorder="1"/>
    <xf numFmtId="165" fontId="12" fillId="5" borderId="12" xfId="1" applyNumberFormat="1" applyFont="1" applyFill="1" applyBorder="1"/>
    <xf numFmtId="165" fontId="14" fillId="4" borderId="3" xfId="1" applyNumberFormat="1" applyFont="1" applyFill="1" applyBorder="1"/>
    <xf numFmtId="164" fontId="3" fillId="4" borderId="11" xfId="0" applyNumberFormat="1" applyFont="1" applyFill="1" applyBorder="1"/>
    <xf numFmtId="164" fontId="11" fillId="3" borderId="2" xfId="0" applyNumberFormat="1" applyFont="1" applyFill="1" applyBorder="1"/>
    <xf numFmtId="0" fontId="15" fillId="2" borderId="4" xfId="0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1" fontId="0" fillId="3" borderId="9" xfId="0" applyNumberFormat="1" applyFill="1" applyBorder="1" applyAlignment="1">
      <alignment vertical="center"/>
    </xf>
    <xf numFmtId="1" fontId="0" fillId="3" borderId="10" xfId="0" applyNumberFormat="1" applyFill="1" applyBorder="1" applyAlignment="1">
      <alignment vertical="center"/>
    </xf>
    <xf numFmtId="1" fontId="0" fillId="3" borderId="5" xfId="0" applyNumberFormat="1" applyFill="1" applyBorder="1" applyAlignment="1">
      <alignment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64" fontId="18" fillId="3" borderId="5" xfId="0" applyNumberFormat="1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 textRotation="90"/>
    </xf>
    <xf numFmtId="164" fontId="2" fillId="3" borderId="5" xfId="0" applyNumberFormat="1" applyFont="1" applyFill="1" applyBorder="1" applyAlignment="1">
      <alignment horizontal="center" vertical="center" textRotation="90"/>
    </xf>
    <xf numFmtId="2" fontId="10" fillId="3" borderId="1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49" fontId="15" fillId="2" borderId="9" xfId="0" applyNumberFormat="1" applyFon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64" fontId="15" fillId="4" borderId="11" xfId="0" applyNumberFormat="1" applyFont="1" applyFill="1" applyBorder="1"/>
    <xf numFmtId="164" fontId="3" fillId="4" borderId="1" xfId="0" applyNumberFormat="1" applyFont="1" applyFill="1" applyBorder="1"/>
    <xf numFmtId="164" fontId="11" fillId="3" borderId="10" xfId="0" applyNumberFormat="1" applyFont="1" applyFill="1" applyBorder="1"/>
    <xf numFmtId="164" fontId="12" fillId="5" borderId="10" xfId="0" applyNumberFormat="1" applyFont="1" applyFill="1" applyBorder="1"/>
    <xf numFmtId="0" fontId="0" fillId="8" borderId="5" xfId="0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164" fontId="11" fillId="8" borderId="10" xfId="0" applyNumberFormat="1" applyFont="1" applyFill="1" applyBorder="1"/>
    <xf numFmtId="165" fontId="11" fillId="8" borderId="2" xfId="1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/>
    <xf numFmtId="1" fontId="0" fillId="8" borderId="10" xfId="0" applyNumberFormat="1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164" fontId="1" fillId="8" borderId="2" xfId="0" applyNumberFormat="1" applyFont="1" applyFill="1" applyBorder="1"/>
    <xf numFmtId="0" fontId="16" fillId="2" borderId="17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" fontId="10" fillId="0" borderId="0" xfId="1" applyNumberFormat="1" applyFont="1" applyFill="1" applyBorder="1" applyAlignment="1">
      <alignment horizontal="center" vertical="center"/>
    </xf>
    <xf numFmtId="1" fontId="10" fillId="5" borderId="0" xfId="1" applyNumberFormat="1" applyFont="1" applyFill="1" applyBorder="1" applyAlignment="1">
      <alignment horizontal="center" vertical="center"/>
    </xf>
    <xf numFmtId="1" fontId="10" fillId="8" borderId="0" xfId="1" applyNumberFormat="1" applyFont="1" applyFill="1" applyBorder="1" applyAlignment="1">
      <alignment horizontal="center" vertical="center"/>
    </xf>
    <xf numFmtId="1" fontId="10" fillId="3" borderId="0" xfId="1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10" fillId="5" borderId="0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/>
    <xf numFmtId="0" fontId="3" fillId="7" borderId="8" xfId="0" applyFont="1" applyFill="1" applyBorder="1" applyAlignment="1">
      <alignment horizontal="center" vertical="center"/>
    </xf>
    <xf numFmtId="164" fontId="8" fillId="4" borderId="7" xfId="0" applyNumberFormat="1" applyFont="1" applyFill="1" applyBorder="1" applyAlignment="1">
      <alignment horizontal="center" vertical="center"/>
    </xf>
    <xf numFmtId="164" fontId="19" fillId="9" borderId="1" xfId="0" applyNumberFormat="1" applyFont="1" applyFill="1" applyBorder="1" applyAlignment="1">
      <alignment horizontal="center" vertical="center"/>
    </xf>
    <xf numFmtId="1" fontId="17" fillId="9" borderId="1" xfId="0" applyNumberFormat="1" applyFont="1" applyFill="1" applyBorder="1" applyAlignment="1">
      <alignment horizontal="center" vertical="center"/>
    </xf>
    <xf numFmtId="49" fontId="16" fillId="2" borderId="7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2" fontId="11" fillId="3" borderId="8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5" borderId="18" xfId="0" applyNumberFormat="1" applyFill="1" applyBorder="1" applyAlignment="1">
      <alignment horizontal="center" vertical="center"/>
    </xf>
    <xf numFmtId="164" fontId="0" fillId="3" borderId="21" xfId="0" applyNumberFormat="1" applyFill="1" applyBorder="1" applyAlignment="1">
      <alignment horizontal="center" vertical="center"/>
    </xf>
    <xf numFmtId="2" fontId="21" fillId="4" borderId="1" xfId="1" applyNumberFormat="1" applyFont="1" applyFill="1" applyBorder="1" applyAlignment="1">
      <alignment horizontal="center" vertical="center"/>
    </xf>
    <xf numFmtId="164" fontId="22" fillId="0" borderId="10" xfId="1" applyNumberFormat="1" applyFont="1" applyFill="1" applyBorder="1" applyAlignment="1">
      <alignment horizontal="center" vertical="center"/>
    </xf>
    <xf numFmtId="164" fontId="23" fillId="5" borderId="10" xfId="1" applyNumberFormat="1" applyFont="1" applyFill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2" fillId="3" borderId="10" xfId="1" applyNumberFormat="1" applyFont="1" applyFill="1" applyBorder="1" applyAlignment="1">
      <alignment horizontal="center" vertical="center"/>
    </xf>
    <xf numFmtId="164" fontId="22" fillId="8" borderId="10" xfId="1" applyNumberFormat="1" applyFont="1" applyFill="1" applyBorder="1" applyAlignment="1">
      <alignment horizontal="center" vertical="center"/>
    </xf>
    <xf numFmtId="164" fontId="22" fillId="0" borderId="10" xfId="0" applyNumberFormat="1" applyFont="1" applyFill="1" applyBorder="1" applyAlignment="1">
      <alignment horizontal="center" vertical="center"/>
    </xf>
    <xf numFmtId="164" fontId="22" fillId="3" borderId="14" xfId="0" applyNumberFormat="1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 vertical="center"/>
    </xf>
    <xf numFmtId="164" fontId="15" fillId="3" borderId="8" xfId="0" applyNumberFormat="1" applyFont="1" applyFill="1" applyBorder="1" applyAlignment="1">
      <alignment horizontal="center" vertical="center"/>
    </xf>
    <xf numFmtId="164" fontId="10" fillId="2" borderId="16" xfId="0" applyNumberFormat="1" applyFont="1" applyFill="1" applyBorder="1" applyAlignment="1">
      <alignment horizontal="center" vertical="center"/>
    </xf>
    <xf numFmtId="164" fontId="10" fillId="5" borderId="15" xfId="0" applyNumberFormat="1" applyFont="1" applyFill="1" applyBorder="1" applyAlignment="1">
      <alignment horizontal="center" vertical="center"/>
    </xf>
    <xf numFmtId="164" fontId="15" fillId="5" borderId="15" xfId="0" applyNumberFormat="1" applyFont="1" applyFill="1" applyBorder="1" applyAlignment="1">
      <alignment horizontal="center" vertical="center"/>
    </xf>
    <xf numFmtId="164" fontId="10" fillId="2" borderId="1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10" fillId="5" borderId="13" xfId="0" applyNumberFormat="1" applyFont="1" applyFill="1" applyBorder="1" applyAlignment="1">
      <alignment horizontal="center" vertical="center"/>
    </xf>
    <xf numFmtId="164" fontId="21" fillId="4" borderId="7" xfId="0" applyNumberFormat="1" applyFont="1" applyFill="1" applyBorder="1" applyAlignment="1">
      <alignment horizontal="center" vertical="center"/>
    </xf>
    <xf numFmtId="2" fontId="24" fillId="4" borderId="1" xfId="1" applyNumberFormat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1" fontId="14" fillId="4" borderId="6" xfId="1" applyNumberFormat="1" applyFont="1" applyFill="1" applyBorder="1" applyAlignment="1">
      <alignment horizontal="center" vertical="center"/>
    </xf>
    <xf numFmtId="1" fontId="14" fillId="4" borderId="7" xfId="0" applyNumberFormat="1" applyFont="1" applyFill="1" applyBorder="1" applyAlignment="1">
      <alignment horizontal="center" vertical="center"/>
    </xf>
    <xf numFmtId="1" fontId="12" fillId="5" borderId="0" xfId="1" applyNumberFormat="1" applyFont="1" applyFill="1" applyBorder="1" applyAlignment="1">
      <alignment horizontal="center" vertical="center"/>
    </xf>
    <xf numFmtId="164" fontId="17" fillId="4" borderId="7" xfId="0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/>
    </xf>
    <xf numFmtId="2" fontId="15" fillId="3" borderId="14" xfId="0" applyNumberFormat="1" applyFont="1" applyFill="1" applyBorder="1" applyAlignment="1">
      <alignment horizontal="center"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25" fillId="4" borderId="1" xfId="1" applyNumberFormat="1" applyFont="1" applyFill="1" applyBorder="1" applyAlignment="1">
      <alignment horizontal="center" vertical="center"/>
    </xf>
    <xf numFmtId="164" fontId="22" fillId="3" borderId="9" xfId="1" applyNumberFormat="1" applyFont="1" applyFill="1" applyBorder="1" applyAlignment="1">
      <alignment horizontal="center" vertical="center"/>
    </xf>
    <xf numFmtId="164" fontId="22" fillId="0" borderId="5" xfId="1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1" fontId="26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5" fillId="4" borderId="10" xfId="1" applyNumberFormat="1" applyFont="1" applyFill="1" applyBorder="1" applyAlignment="1">
      <alignment horizontal="center" vertical="center"/>
    </xf>
    <xf numFmtId="164" fontId="22" fillId="4" borderId="1" xfId="0" applyNumberFormat="1" applyFont="1" applyFill="1" applyBorder="1" applyAlignment="1">
      <alignment horizontal="center" vertical="center"/>
    </xf>
    <xf numFmtId="164" fontId="23" fillId="5" borderId="10" xfId="0" applyNumberFormat="1" applyFont="1" applyFill="1" applyBorder="1" applyAlignment="1">
      <alignment horizontal="center" vertical="center"/>
    </xf>
    <xf numFmtId="0" fontId="4" fillId="3" borderId="0" xfId="0" applyFont="1" applyFill="1"/>
    <xf numFmtId="1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2" fontId="15" fillId="3" borderId="8" xfId="0" applyNumberFormat="1" applyFont="1" applyFill="1" applyBorder="1" applyAlignment="1">
      <alignment horizontal="center" vertical="center"/>
    </xf>
    <xf numFmtId="2" fontId="26" fillId="0" borderId="0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/>
    <xf numFmtId="164" fontId="10" fillId="2" borderId="9" xfId="0" applyNumberFormat="1" applyFont="1" applyFill="1" applyBorder="1" applyAlignment="1">
      <alignment horizontal="center" vertical="center" wrapText="1" shrinkToFit="1"/>
    </xf>
    <xf numFmtId="0" fontId="27" fillId="0" borderId="0" xfId="0" applyFont="1"/>
    <xf numFmtId="0" fontId="15" fillId="2" borderId="7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64" fontId="20" fillId="3" borderId="8" xfId="0" applyNumberFormat="1" applyFont="1" applyFill="1" applyBorder="1" applyAlignment="1">
      <alignment horizontal="center" vertical="center"/>
    </xf>
    <xf numFmtId="164" fontId="20" fillId="3" borderId="15" xfId="0" applyNumberFormat="1" applyFont="1" applyFill="1" applyBorder="1" applyAlignment="1">
      <alignment horizontal="center" vertical="center"/>
    </xf>
    <xf numFmtId="164" fontId="20" fillId="3" borderId="14" xfId="0" applyNumberFormat="1" applyFont="1" applyFill="1" applyBorder="1" applyAlignment="1">
      <alignment horizontal="center" vertical="center"/>
    </xf>
    <xf numFmtId="165" fontId="20" fillId="3" borderId="2" xfId="1" applyNumberFormat="1" applyFont="1" applyFill="1" applyBorder="1" applyAlignment="1">
      <alignment horizontal="center" vertical="center"/>
    </xf>
    <xf numFmtId="164" fontId="18" fillId="3" borderId="10" xfId="0" applyNumberFormat="1" applyFont="1" applyFill="1" applyBorder="1" applyAlignment="1">
      <alignment horizontal="center" vertical="center"/>
    </xf>
    <xf numFmtId="164" fontId="18" fillId="3" borderId="9" xfId="0" applyNumberFormat="1" applyFont="1" applyFill="1" applyBorder="1" applyAlignment="1">
      <alignment horizontal="center" vertical="center"/>
    </xf>
    <xf numFmtId="0" fontId="0" fillId="0" borderId="11" xfId="0" applyBorder="1"/>
    <xf numFmtId="0" fontId="4" fillId="7" borderId="9" xfId="0" applyFont="1" applyFill="1" applyBorder="1" applyAlignment="1">
      <alignment horizontal="center" vertical="center" textRotation="90"/>
    </xf>
    <xf numFmtId="0" fontId="4" fillId="7" borderId="10" xfId="0" applyFont="1" applyFill="1" applyBorder="1" applyAlignment="1">
      <alignment horizontal="center" vertical="center" textRotation="90"/>
    </xf>
    <xf numFmtId="0" fontId="4" fillId="7" borderId="5" xfId="0" applyFont="1" applyFill="1" applyBorder="1" applyAlignment="1">
      <alignment horizontal="center" vertical="center" textRotation="90"/>
    </xf>
    <xf numFmtId="2" fontId="2" fillId="3" borderId="10" xfId="0" applyNumberFormat="1" applyFont="1" applyFill="1" applyBorder="1" applyAlignment="1">
      <alignment horizontal="center" vertical="center" textRotation="90"/>
    </xf>
    <xf numFmtId="164" fontId="3" fillId="0" borderId="10" xfId="0" applyNumberFormat="1" applyFont="1" applyBorder="1" applyAlignment="1">
      <alignment horizontal="center" vertical="center" textRotation="90"/>
    </xf>
    <xf numFmtId="0" fontId="10" fillId="7" borderId="9" xfId="0" applyFont="1" applyFill="1" applyBorder="1" applyAlignment="1">
      <alignment horizontal="center" vertical="center" textRotation="90"/>
    </xf>
    <xf numFmtId="0" fontId="10" fillId="7" borderId="10" xfId="0" applyFont="1" applyFill="1" applyBorder="1" applyAlignment="1">
      <alignment horizontal="center" vertical="center" textRotation="90"/>
    </xf>
    <xf numFmtId="0" fontId="10" fillId="7" borderId="5" xfId="0" applyFont="1" applyFill="1" applyBorder="1" applyAlignment="1">
      <alignment horizontal="center" vertical="center" textRotation="90"/>
    </xf>
    <xf numFmtId="2" fontId="2" fillId="3" borderId="14" xfId="0" applyNumberFormat="1" applyFont="1" applyFill="1" applyBorder="1" applyAlignment="1">
      <alignment horizontal="center" vertical="center" textRotation="90"/>
    </xf>
  </cellXfs>
  <cellStyles count="2">
    <cellStyle name="Обычный" xfId="0" builtinId="0"/>
    <cellStyle name="Процентный" xfId="1" builtinId="5"/>
  </cellStyles>
  <dxfs count="118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  <border>
        <top style="thin">
          <color auto="1"/>
        </top>
      </border>
    </dxf>
    <dxf>
      <fill>
        <patternFill>
          <bgColor theme="7" tint="0.39994506668294322"/>
        </patternFill>
      </fill>
      <border>
        <top/>
        <vertical/>
        <horizontal/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ont>
        <color theme="1"/>
      </font>
      <fill>
        <patternFill>
          <bgColor theme="7" tint="0.39994506668294322"/>
        </patternFill>
      </fill>
      <border>
        <bottom/>
      </border>
    </dxf>
    <dxf>
      <font>
        <color theme="1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FFFF00"/>
        </patternFill>
      </fill>
    </dxf>
    <dxf>
      <font>
        <color theme="1"/>
      </font>
    </dxf>
    <dxf>
      <font>
        <color theme="1"/>
      </font>
    </dxf>
    <dxf>
      <font>
        <color theme="1"/>
      </font>
      <fill>
        <patternFill>
          <fgColor auto="1"/>
        </patternFill>
      </fill>
    </dxf>
    <dxf>
      <font>
        <u val="none"/>
        <color rgb="FFC00000"/>
      </font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  <border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5949478026902763E-2"/>
          <c:y val="3.0407576263407971E-2"/>
          <c:w val="0.83101021525844065"/>
          <c:h val="0.92240676091667229"/>
        </c:manualLayout>
      </c:layout>
      <c:scatterChart>
        <c:scatterStyle val="lineMarker"/>
        <c:ser>
          <c:idx val="0"/>
          <c:order val="0"/>
          <c:tx>
            <c:v>О-А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dLbls>
            <c:dLbl>
              <c:idx val="0"/>
              <c:layout>
                <c:manualLayout>
                  <c:x val="0"/>
                  <c:y val="-2.5596276905177431E-2"/>
                </c:manualLayout>
              </c:layout>
              <c:showVal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EB0-4ED5-BDF4-F5E38FA4484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Лист1!$M$2:$M$11</c:f>
              <c:numCache>
                <c:formatCode>0.0</c:formatCode>
                <c:ptCount val="9"/>
                <c:pt idx="0">
                  <c:v>12.6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EB0-4ED5-BDF4-F5E38FA44840}"/>
            </c:ext>
          </c:extLst>
        </c:ser>
        <c:ser>
          <c:idx val="1"/>
          <c:order val="1"/>
          <c:tx>
            <c:v>А-Б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Лист1!$M$11:$M$17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Лист1!$B$11:$B$17</c:f>
              <c:numCache>
                <c:formatCode>General</c:formatCode>
                <c:ptCount val="5"/>
                <c:pt idx="0">
                  <c:v>94</c:v>
                </c:pt>
                <c:pt idx="1">
                  <c:v>108</c:v>
                </c:pt>
                <c:pt idx="2">
                  <c:v>120</c:v>
                </c:pt>
                <c:pt idx="3">
                  <c:v>132</c:v>
                </c:pt>
                <c:pt idx="4">
                  <c:v>142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2EB0-4ED5-BDF4-F5E38FA44840}"/>
            </c:ext>
          </c:extLst>
        </c:ser>
        <c:ser>
          <c:idx val="2"/>
          <c:order val="2"/>
          <c:tx>
            <c:v>Б-В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Лист1!$M$17:$M$25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Лист1!$B$17:$B$25</c:f>
              <c:numCache>
                <c:formatCode>General</c:formatCode>
                <c:ptCount val="9"/>
                <c:pt idx="0">
                  <c:v>142</c:v>
                </c:pt>
                <c:pt idx="1">
                  <c:v>156</c:v>
                </c:pt>
                <c:pt idx="2">
                  <c:v>168</c:v>
                </c:pt>
                <c:pt idx="3">
                  <c:v>180</c:v>
                </c:pt>
                <c:pt idx="4">
                  <c:v>192</c:v>
                </c:pt>
                <c:pt idx="5">
                  <c:v>204</c:v>
                </c:pt>
                <c:pt idx="6">
                  <c:v>216</c:v>
                </c:pt>
                <c:pt idx="7">
                  <c:v>228</c:v>
                </c:pt>
                <c:pt idx="8">
                  <c:v>236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2EB0-4ED5-BDF4-F5E38FA44840}"/>
            </c:ext>
          </c:extLst>
        </c:ser>
        <c:ser>
          <c:idx val="3"/>
          <c:order val="3"/>
          <c:tx>
            <c:strRef>
              <c:f>Лист1!$A$11</c:f>
              <c:strCache>
                <c:ptCount val="1"/>
                <c:pt idx="0">
                  <c:v>А</c:v>
                </c:pt>
              </c:strCache>
            </c:strRef>
          </c:tx>
          <c:marker>
            <c:symbol val="square"/>
            <c:size val="3"/>
          </c:marker>
          <c:dLbls>
            <c:dLbl>
              <c:idx val="0"/>
              <c:layout>
                <c:manualLayout>
                  <c:x val="-4.1624766748353845E-2"/>
                  <c:y val="-1.1634671320536001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А</a:t>
                    </a:r>
                  </a:p>
                </c:rich>
              </c:tx>
              <c:showSerNam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Val val="1"/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Лист1!$M$11</c:f>
              <c:numCache>
                <c:formatCode>0.0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Лист1!$B$11</c:f>
              <c:numCache>
                <c:formatCode>General</c:formatCode>
                <c:ptCount val="1"/>
                <c:pt idx="0">
                  <c:v>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2EB0-4ED5-BDF4-F5E38FA44840}"/>
            </c:ext>
          </c:extLst>
        </c:ser>
        <c:ser>
          <c:idx val="4"/>
          <c:order val="4"/>
          <c:tx>
            <c:strRef>
              <c:f>Лист1!$A$17</c:f>
              <c:strCache>
                <c:ptCount val="1"/>
                <c:pt idx="0">
                  <c:v>Б</c:v>
                </c:pt>
              </c:strCache>
            </c:strRef>
          </c:tx>
          <c:spPr>
            <a:ln w="19050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3"/>
          </c:marker>
          <c:dLbls>
            <c:dLbl>
              <c:idx val="0"/>
              <c:layout>
                <c:manualLayout>
                  <c:x val="-7.7082901385847526E-3"/>
                  <c:y val="-3.7230948225716771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Б</a:t>
                    </a:r>
                  </a:p>
                </c:rich>
              </c:tx>
              <c:showSerNam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Лист1!$M$17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Лист1!$B$17</c:f>
              <c:numCache>
                <c:formatCode>General</c:formatCode>
                <c:ptCount val="1"/>
                <c:pt idx="0">
                  <c:v>142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2EB0-4ED5-BDF4-F5E38FA44840}"/>
            </c:ext>
          </c:extLst>
        </c:ser>
        <c:ser>
          <c:idx val="5"/>
          <c:order val="5"/>
          <c:tx>
            <c:strRef>
              <c:f>Лист1!$A$25</c:f>
              <c:strCache>
                <c:ptCount val="1"/>
                <c:pt idx="0">
                  <c:v>В</c:v>
                </c:pt>
              </c:strCache>
            </c:strRef>
          </c:tx>
          <c:dPt>
            <c:idx val="0"/>
            <c:marker>
              <c:symbol val="circle"/>
              <c:size val="4"/>
            </c:marker>
            <c:extLst xmlns:c16r2="http://schemas.microsoft.com/office/drawing/2015/06/chart">
              <c:ext xmlns:c16="http://schemas.microsoft.com/office/drawing/2014/chart" uri="{C3380CC4-5D6E-409C-BE32-E72D297353CC}">
                <c16:uniqueId val="{00000008-2EB0-4ED5-BDF4-F5E38FA44840}"/>
              </c:ext>
            </c:extLst>
          </c:dPt>
          <c:dLbls>
            <c:dLbl>
              <c:idx val="0"/>
              <c:layout>
                <c:manualLayout>
                  <c:x val="-3.391647660977018E-2"/>
                  <c:y val="-2.5596276905177431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В</a:t>
                    </a:r>
                  </a:p>
                </c:rich>
              </c:tx>
              <c:showSerNam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Лист1!$M$25</c:f>
              <c:numCache>
                <c:formatCode>0.0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Лист1!$B$25</c:f>
              <c:numCache>
                <c:formatCode>General</c:formatCode>
                <c:ptCount val="1"/>
                <c:pt idx="0">
                  <c:v>236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2EB0-4ED5-BDF4-F5E38FA44840}"/>
            </c:ext>
          </c:extLst>
        </c:ser>
        <c:ser>
          <c:idx val="6"/>
          <c:order val="6"/>
          <c:tx>
            <c:v>НГД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Лист1!$C$34:$C$35</c:f>
              <c:numCache>
                <c:formatCode>General</c:formatCode>
                <c:ptCount val="2"/>
                <c:pt idx="0">
                  <c:v>232</c:v>
                </c:pt>
                <c:pt idx="1">
                  <c:v>232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2EB0-4ED5-BDF4-F5E38FA44840}"/>
            </c:ext>
          </c:extLst>
        </c:ser>
        <c:ser>
          <c:idx val="7"/>
          <c:order val="7"/>
          <c:tx>
            <c:v>ВГД</c:v>
          </c:tx>
          <c:spPr>
            <a:ln w="15875">
              <a:solidFill>
                <a:srgbClr val="FF0000"/>
              </a:solidFill>
            </a:ln>
          </c:spPr>
          <c:marker>
            <c:spPr>
              <a:ln w="6350"/>
            </c:spPr>
          </c:marke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Лист1!$M$34:$M$35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2EB0-4ED5-BDF4-F5E38FA44840}"/>
            </c:ext>
          </c:extLst>
        </c:ser>
        <c:ser>
          <c:idx val="8"/>
          <c:order val="8"/>
          <c:tx>
            <c:v>НГД Б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Лист1!$C$36:$C$37</c:f>
              <c:numCache>
                <c:formatCode>0.0</c:formatCode>
                <c:ptCount val="2"/>
                <c:pt idx="0">
                  <c:v>139</c:v>
                </c:pt>
                <c:pt idx="1">
                  <c:v>139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2EB0-4ED5-BDF4-F5E38FA44840}"/>
            </c:ext>
          </c:extLst>
        </c:ser>
        <c:ser>
          <c:idx val="9"/>
          <c:order val="9"/>
          <c:tx>
            <c:v>ВГД Б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Лист1!$M$36:$M$37</c:f>
              <c:numCache>
                <c:formatCode>0.0</c:formatCode>
                <c:ptCount val="2"/>
                <c:pt idx="0">
                  <c:v>145</c:v>
                </c:pt>
                <c:pt idx="1">
                  <c:v>145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2EB0-4ED5-BDF4-F5E38FA44840}"/>
            </c:ext>
          </c:extLst>
        </c:ser>
        <c:ser>
          <c:idx val="10"/>
          <c:order val="10"/>
          <c:tx>
            <c:v>НГД А</c:v>
          </c:tx>
          <c:spPr>
            <a:ln w="15875">
              <a:solidFill>
                <a:srgbClr val="FF0000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Лист1!$C$38:$C$39</c:f>
              <c:numCache>
                <c:formatCode>0.0</c:formatCode>
                <c:ptCount val="2"/>
                <c:pt idx="0">
                  <c:v>91</c:v>
                </c:pt>
                <c:pt idx="1">
                  <c:v>91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2EB0-4ED5-BDF4-F5E38FA44840}"/>
            </c:ext>
          </c:extLst>
        </c:ser>
        <c:ser>
          <c:idx val="11"/>
          <c:order val="11"/>
          <c:tx>
            <c:v>ВГД А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Лист1!$M$38:$M$39</c:f>
              <c:numCache>
                <c:formatCode>0.0</c:formatCode>
                <c:ptCount val="2"/>
                <c:pt idx="0">
                  <c:v>97</c:v>
                </c:pt>
                <c:pt idx="1">
                  <c:v>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2EB0-4ED5-BDF4-F5E38FA44840}"/>
            </c:ext>
          </c:extLst>
        </c:ser>
        <c:axId val="69835392"/>
        <c:axId val="69853952"/>
      </c:scatterChart>
      <c:valAx>
        <c:axId val="698353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Относительное сопротивление</a:t>
                </a:r>
              </a:p>
            </c:rich>
          </c:tx>
          <c:layout>
            <c:manualLayout>
              <c:xMode val="edge"/>
              <c:yMode val="edge"/>
              <c:x val="0.38193271256707251"/>
              <c:y val="0.95763807011034663"/>
            </c:manualLayout>
          </c:layout>
        </c:title>
        <c:numFmt formatCode="0.0" sourceLinked="1"/>
        <c:tickLblPos val="nextTo"/>
        <c:crossAx val="69853952"/>
        <c:crosses val="autoZero"/>
        <c:crossBetween val="midCat"/>
      </c:valAx>
      <c:valAx>
        <c:axId val="69853952"/>
        <c:scaling>
          <c:orientation val="minMax"/>
          <c:max val="24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Углы</a:t>
                </a:r>
                <a:r>
                  <a:rPr lang="ru-RU" baseline="0"/>
                  <a:t> поворота ползуна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2499481663009583E-3"/>
              <c:y val="0.331240008611489"/>
            </c:manualLayout>
          </c:layout>
        </c:title>
        <c:numFmt formatCode="General" sourceLinked="1"/>
        <c:tickLblPos val="nextTo"/>
        <c:crossAx val="69835392"/>
        <c:crosses val="autoZero"/>
        <c:crossBetween val="midCat"/>
        <c:majorUnit val="12"/>
        <c:minorUnit val="6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768873918034328"/>
          <c:y val="0.43785448855858738"/>
          <c:w val="8.4806608104702766E-2"/>
          <c:h val="0.5049330090283215"/>
        </c:manualLayout>
      </c:layout>
    </c:legend>
    <c:plotVisOnly val="1"/>
    <c:dispBlanksAs val="gap"/>
  </c:chart>
  <c:spPr>
    <a:blipFill>
      <a:blip xmlns:r="http://schemas.openxmlformats.org/officeDocument/2006/relationships" r:embed="rId1"/>
      <a:stretch>
        <a:fillRect l="7000" r="22000" b="4000"/>
      </a:stretch>
    </a:blipFill>
  </c:spPr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29126</xdr:colOff>
      <xdr:row>0</xdr:row>
      <xdr:rowOff>42335</xdr:rowOff>
    </xdr:from>
    <xdr:to>
      <xdr:col>24</xdr:col>
      <xdr:colOff>262585</xdr:colOff>
      <xdr:row>31</xdr:row>
      <xdr:rowOff>137584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31749</xdr:colOff>
      <xdr:row>25</xdr:row>
      <xdr:rowOff>74084</xdr:rowOff>
    </xdr:from>
    <xdr:to>
      <xdr:col>9</xdr:col>
      <xdr:colOff>179917</xdr:colOff>
      <xdr:row>30</xdr:row>
      <xdr:rowOff>95250</xdr:rowOff>
    </xdr:to>
    <xdr:sp macro="" textlink="">
      <xdr:nvSpPr>
        <xdr:cNvPr id="7" name="Месяц 6"/>
        <xdr:cNvSpPr/>
      </xdr:nvSpPr>
      <xdr:spPr>
        <a:xfrm>
          <a:off x="1957916" y="4360334"/>
          <a:ext cx="666751" cy="1005416"/>
        </a:xfrm>
        <a:prstGeom prst="moon">
          <a:avLst>
            <a:gd name="adj" fmla="val 47531"/>
          </a:avLst>
        </a:prstGeom>
        <a:noFill/>
        <a:ln>
          <a:solidFill>
            <a:srgbClr val="FFFF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9</xdr:col>
      <xdr:colOff>179917</xdr:colOff>
      <xdr:row>25</xdr:row>
      <xdr:rowOff>84667</xdr:rowOff>
    </xdr:from>
    <xdr:to>
      <xdr:col>11</xdr:col>
      <xdr:colOff>1</xdr:colOff>
      <xdr:row>30</xdr:row>
      <xdr:rowOff>137583</xdr:rowOff>
    </xdr:to>
    <xdr:sp macro="" textlink="">
      <xdr:nvSpPr>
        <xdr:cNvPr id="6" name="Солнце 5"/>
        <xdr:cNvSpPr/>
      </xdr:nvSpPr>
      <xdr:spPr>
        <a:xfrm>
          <a:off x="2624667" y="4370917"/>
          <a:ext cx="920751" cy="1037166"/>
        </a:xfrm>
        <a:prstGeom prst="su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AD49"/>
  <sheetViews>
    <sheetView tabSelected="1" zoomScale="120" zoomScaleNormal="120" zoomScaleSheetLayoutView="110" workbookViewId="0">
      <selection activeCell="C1" sqref="C1"/>
    </sheetView>
  </sheetViews>
  <sheetFormatPr defaultRowHeight="15"/>
  <cols>
    <col min="1" max="1" width="3.7109375" style="1" customWidth="1"/>
    <col min="2" max="2" width="7.7109375" style="1" customWidth="1"/>
    <col min="3" max="3" width="9.7109375" customWidth="1"/>
    <col min="4" max="4" width="7.7109375" hidden="1" customWidth="1"/>
    <col min="5" max="5" width="5.7109375" hidden="1" customWidth="1"/>
    <col min="6" max="6" width="7.7109375" customWidth="1"/>
    <col min="7" max="7" width="4.85546875" hidden="1" customWidth="1"/>
    <col min="8" max="8" width="8.28515625" hidden="1" customWidth="1"/>
    <col min="9" max="9" width="7.5703125" hidden="1" customWidth="1"/>
    <col min="10" max="10" width="8.7109375" customWidth="1"/>
    <col min="11" max="11" width="7.7109375" style="27" customWidth="1"/>
    <col min="13" max="13" width="9.140625" style="6"/>
    <col min="14" max="14" width="5.28515625" customWidth="1"/>
    <col min="15" max="15" width="11.28515625" customWidth="1"/>
    <col min="17" max="17" width="11.140625" customWidth="1"/>
    <col min="29" max="29" width="9.140625" hidden="1" customWidth="1"/>
    <col min="30" max="30" width="9.42578125" hidden="1" customWidth="1"/>
  </cols>
  <sheetData>
    <row r="1" spans="1:30" ht="14.25" customHeight="1" thickBot="1">
      <c r="A1" s="143" t="str">
        <f>IF(B30=" ",IF((C8&gt;3)*(C8&lt;15),C8,IF(C8&gt;2000," ",A1)),IF(ABS(560-((B28-B30)*A4/(B28-B30+A4)+B30+(B29-B31)*A21/(B29-B31+A21)+B31)*3300/(((B28-B30)*A4/(B28-B30+A4)+B30+(B29-B31)*A21/(B29-B31+A21)+B31)+3300))&lt;ABS(560-((B28-B30)*A4/(B28-B30+A4)+B30+(B29-B31)*A21/(B29-B31+A21)+B31)*6800/(((B28-B30)*A4/(B28-B30+A4)+B30+(B29-B31)*A21/(B29-B31+A21)+B31)+6800)),3.3,IF(ABS(((B28-B30)*A4/(B28-B30+A4)+B30+(B29-B31)*A21/(B29-B31+A21)+B31)*6800/(((B28-B30)*A4/(B28-B30+A4)+B30+(B29-B31)*A21/(B29-B31+A21)+B31)+6800)-560)&lt;ABS(((B28-B30)*A4/(B28-B30+A4)+B30+(B29-B31)*A21/(B29-B31+A21)+B31)*12000/(((B28-B30)*A4/(B28-B30+A4)+B30+(B29-B31)*A21/(B29-B31+A21)+B31)+12000)-560),6.8,12)))</f>
        <v xml:space="preserve"> </v>
      </c>
      <c r="B1" s="41" t="s">
        <v>18</v>
      </c>
      <c r="C1" s="83"/>
      <c r="D1" s="54" t="s">
        <v>15</v>
      </c>
      <c r="E1" s="82" t="s">
        <v>16</v>
      </c>
      <c r="F1" s="70" t="str">
        <f>IFERROR(IF(K12&lt;0.5,"Расчёт","Расчет"),"Расчёт")</f>
        <v>Расчет</v>
      </c>
      <c r="G1" s="69" t="s">
        <v>14</v>
      </c>
      <c r="H1" s="145" t="s">
        <v>5</v>
      </c>
      <c r="I1" s="153"/>
      <c r="J1" s="145" t="s">
        <v>3</v>
      </c>
      <c r="K1" s="146"/>
      <c r="L1" s="8"/>
      <c r="M1" s="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144" t="s">
        <v>27</v>
      </c>
    </row>
    <row r="2" spans="1:30" ht="15.75" customHeight="1" thickBot="1">
      <c r="A2" s="46" t="s">
        <v>0</v>
      </c>
      <c r="B2" s="20">
        <v>0</v>
      </c>
      <c r="C2" s="53" t="s">
        <v>7</v>
      </c>
      <c r="D2" s="89" t="str">
        <f ca="1">IFERROR(E27/D27,IF(B1="R",E27/C27," "))</f>
        <v xml:space="preserve"> </v>
      </c>
      <c r="E2" s="116">
        <f>K3</f>
        <v>0</v>
      </c>
      <c r="F2" s="58" t="str">
        <f>IF((C2&gt;2000)," ",C2*0)</f>
        <v xml:space="preserve"> </v>
      </c>
      <c r="G2" s="106" t="str">
        <f>IFERROR(100/C27," ")</f>
        <v xml:space="preserve"> </v>
      </c>
      <c r="H2" s="31">
        <v>0</v>
      </c>
      <c r="I2" s="30">
        <v>0</v>
      </c>
      <c r="J2" s="57" t="s">
        <v>4</v>
      </c>
      <c r="K2" s="81" t="s">
        <v>6</v>
      </c>
      <c r="L2" s="8"/>
      <c r="M2" s="10">
        <f>AD2</f>
        <v>12.6</v>
      </c>
      <c r="N2" s="8"/>
      <c r="O2" s="11"/>
      <c r="P2" s="11"/>
      <c r="Q2" s="8"/>
      <c r="R2" s="8"/>
      <c r="S2" s="8"/>
      <c r="T2" s="8"/>
      <c r="U2" s="8"/>
      <c r="V2" s="8"/>
      <c r="W2" s="8"/>
      <c r="X2" s="8"/>
      <c r="Y2" s="8"/>
      <c r="Z2" s="8"/>
      <c r="AC2" s="2">
        <v>0</v>
      </c>
      <c r="AD2">
        <v>12.6</v>
      </c>
    </row>
    <row r="3" spans="1:30" ht="15" customHeight="1" thickBot="1">
      <c r="A3" s="78" t="s">
        <v>12</v>
      </c>
      <c r="B3" s="32">
        <f t="shared" ref="B3:B8" si="0">B2+12</f>
        <v>12</v>
      </c>
      <c r="C3" s="86" t="s">
        <v>25</v>
      </c>
      <c r="D3" s="90" t="e">
        <f t="shared" ref="D3:D9" ca="1" si="1">((B3-$E$26*($E$2*94/($B$28-$B$30)))/(9.4-((9.4/($B$28-$B$30))*($E$2+$E$10)*$E$26)))*($B$28-$B$30+($E$26*E2))*(($D$2-($E$27/($A$1*1000)))-((((($D$28-$D$30)*$A$4)/($D$28-$D$30+$A$4))*($D$2-($E$27/($A$1*1000))))/$A$4))</f>
        <v>#VALUE!</v>
      </c>
      <c r="E3" s="71"/>
      <c r="F3" s="59" t="e">
        <f t="shared" ref="F3:F9" si="2">(B3-$B$2)/($B$11-$B$2)*$C$11</f>
        <v>#VALUE!</v>
      </c>
      <c r="G3" s="93" t="e">
        <f ca="1">C3-D3</f>
        <v>#VALUE!</v>
      </c>
      <c r="H3" s="36" t="e">
        <f>J3/F3</f>
        <v>#VALUE!</v>
      </c>
      <c r="I3" s="150" t="e">
        <f>SUM(H3:H9)/9</f>
        <v>#VALUE!</v>
      </c>
      <c r="J3" s="40" t="e">
        <f t="shared" ref="J3:J9" si="3">ABS(C3-F3)</f>
        <v>#VALUE!</v>
      </c>
      <c r="K3" s="43"/>
      <c r="L3" s="8"/>
      <c r="M3" s="12" t="e">
        <f ca="1">IF((C3&gt;100)*((B1="№")+(B1="R"))+(B1="Т"),D3+AD3,C3+AD3)</f>
        <v>#VALUE!</v>
      </c>
      <c r="N3" s="8"/>
      <c r="O3" s="13"/>
      <c r="P3" s="13"/>
      <c r="Q3" s="8"/>
      <c r="R3" s="8"/>
      <c r="S3" s="8"/>
      <c r="T3" s="8"/>
      <c r="U3" s="8"/>
      <c r="V3" s="8"/>
      <c r="W3" s="8"/>
      <c r="X3" s="8"/>
      <c r="Y3" s="8"/>
      <c r="Z3" s="8"/>
      <c r="AC3" s="1">
        <f t="shared" ref="AC3:AC8" si="4">AC2+12</f>
        <v>12</v>
      </c>
      <c r="AD3">
        <f>AD2-5</f>
        <v>7.6</v>
      </c>
    </row>
    <row r="4" spans="1:30" ht="15" customHeight="1">
      <c r="A4" s="159" t="str">
        <f>IF(B30=" ",IF(C7&gt;2000," ",IF((C7&gt;200)*(C7&lt;400),C7,A4)),326.8)</f>
        <v xml:space="preserve"> </v>
      </c>
      <c r="B4" s="33">
        <f t="shared" si="0"/>
        <v>24</v>
      </c>
      <c r="C4" s="87" t="s">
        <v>26</v>
      </c>
      <c r="D4" s="91" t="e">
        <f t="shared" ca="1" si="1"/>
        <v>#VALUE!</v>
      </c>
      <c r="E4" s="72"/>
      <c r="F4" s="60" t="e">
        <f t="shared" si="2"/>
        <v>#VALUE!</v>
      </c>
      <c r="G4" s="91" t="e">
        <f t="shared" ref="G4:G24" ca="1" si="5">C4-D4</f>
        <v>#VALUE!</v>
      </c>
      <c r="H4" s="37" t="e">
        <f t="shared" ref="H4:H25" si="6">J4/F4</f>
        <v>#VALUE!</v>
      </c>
      <c r="I4" s="150"/>
      <c r="J4" s="77" t="e">
        <f t="shared" si="3"/>
        <v>#VALUE!</v>
      </c>
      <c r="K4" s="44"/>
      <c r="L4" s="8"/>
      <c r="M4" s="12" t="e">
        <f ca="1">IF((C4&gt;100)*((B1="№")+(B1="R"))+(B1="Т"),D4+AD4,C4+AD4)</f>
        <v>#VALUE!</v>
      </c>
      <c r="N4" s="8"/>
      <c r="O4" s="13"/>
      <c r="P4" s="13"/>
      <c r="Q4" s="8"/>
      <c r="R4" s="8"/>
      <c r="S4" s="8"/>
      <c r="T4" s="8"/>
      <c r="U4" s="8"/>
      <c r="V4" s="8"/>
      <c r="W4" s="8"/>
      <c r="X4" s="8"/>
      <c r="Y4" s="8"/>
      <c r="Z4" s="8"/>
      <c r="AC4" s="1">
        <f t="shared" si="4"/>
        <v>24</v>
      </c>
      <c r="AD4">
        <f>AD3-5</f>
        <v>2.5999999999999996</v>
      </c>
    </row>
    <row r="5" spans="1:30" ht="15" customHeight="1">
      <c r="A5" s="160"/>
      <c r="B5" s="34">
        <f t="shared" si="0"/>
        <v>36</v>
      </c>
      <c r="C5" s="86" t="s">
        <v>21</v>
      </c>
      <c r="D5" s="90" t="e">
        <f t="shared" ca="1" si="1"/>
        <v>#VALUE!</v>
      </c>
      <c r="E5" s="71"/>
      <c r="F5" s="59" t="e">
        <f t="shared" si="2"/>
        <v>#VALUE!</v>
      </c>
      <c r="G5" s="93" t="e">
        <f t="shared" ca="1" si="5"/>
        <v>#VALUE!</v>
      </c>
      <c r="H5" s="36" t="e">
        <f t="shared" si="6"/>
        <v>#VALUE!</v>
      </c>
      <c r="I5" s="150"/>
      <c r="J5" s="40" t="e">
        <f t="shared" si="3"/>
        <v>#VALUE!</v>
      </c>
      <c r="K5" s="151" t="str">
        <f>IFERROR(IF(MAX(J3:J9)&gt;10,"FAIL",MAX(J3:J9)),"∆ОА=")</f>
        <v>∆ОА=</v>
      </c>
      <c r="L5" s="8"/>
      <c r="M5" s="12" t="e">
        <f ca="1">IF((C5&gt;100)*((B1="№")+(B1="R"))+(B1="Т"),D5+AD5,C5+AD5)</f>
        <v>#VALUE!</v>
      </c>
      <c r="N5" s="8"/>
      <c r="O5" s="13"/>
      <c r="P5" s="13"/>
      <c r="Q5" s="8"/>
      <c r="R5" s="8"/>
      <c r="S5" s="8"/>
      <c r="T5" s="8"/>
      <c r="U5" s="8"/>
      <c r="V5" s="8"/>
      <c r="W5" s="8"/>
      <c r="X5" s="8"/>
      <c r="Y5" s="8"/>
      <c r="Z5" s="8"/>
      <c r="AC5" s="1">
        <f t="shared" si="4"/>
        <v>36</v>
      </c>
      <c r="AD5">
        <f t="shared" ref="AD5:AD8" si="7">AD4-5</f>
        <v>-2.4000000000000004</v>
      </c>
    </row>
    <row r="6" spans="1:30" ht="15.75" customHeight="1" thickBot="1">
      <c r="A6" s="161"/>
      <c r="B6" s="33">
        <f t="shared" si="0"/>
        <v>48</v>
      </c>
      <c r="C6" s="87" t="s">
        <v>22</v>
      </c>
      <c r="D6" s="91" t="e">
        <f t="shared" ca="1" si="1"/>
        <v>#VALUE!</v>
      </c>
      <c r="E6" s="72"/>
      <c r="F6" s="60" t="e">
        <f t="shared" si="2"/>
        <v>#VALUE!</v>
      </c>
      <c r="G6" s="91" t="e">
        <f t="shared" ca="1" si="5"/>
        <v>#VALUE!</v>
      </c>
      <c r="H6" s="37" t="e">
        <f t="shared" si="6"/>
        <v>#VALUE!</v>
      </c>
      <c r="I6" s="150"/>
      <c r="J6" s="77" t="e">
        <f t="shared" si="3"/>
        <v>#VALUE!</v>
      </c>
      <c r="K6" s="151"/>
      <c r="L6" s="14"/>
      <c r="M6" s="12" t="e">
        <f ca="1">IF(((C6&gt;100)+(C6&lt;5))*((B1="№")+(B1="R"))+(B1="Т"),D6+AD6,C6+AD6)</f>
        <v>#VALUE!</v>
      </c>
      <c r="N6" s="8"/>
      <c r="O6" s="13"/>
      <c r="P6" s="13"/>
      <c r="Q6" s="15"/>
      <c r="R6" s="14"/>
      <c r="S6" s="8"/>
      <c r="T6" s="8"/>
      <c r="U6" s="8"/>
      <c r="V6" s="8"/>
      <c r="W6" s="8"/>
      <c r="X6" s="8"/>
      <c r="Y6" s="8"/>
      <c r="Z6" s="8"/>
      <c r="AC6" s="1">
        <f t="shared" si="4"/>
        <v>48</v>
      </c>
      <c r="AD6">
        <f t="shared" si="7"/>
        <v>-7.4</v>
      </c>
    </row>
    <row r="7" spans="1:30" ht="15" customHeight="1">
      <c r="A7" s="162" t="str">
        <f>IF((C27=" ")+(B30=" "),IF((C3&gt;200)*(C3&lt;400),C3,IF(C3&gt;2000," ",A7)),((((B28-B30)*A4/(B28-B30+A4))+B30)*(A1*1000+((B29-B31)*A21/((B29-B31)+A21))+B31))/((((B28-B30)*A4/((B28-B30)+A4))+B30)+A1*1000+((B29-B31)*A21/((B29-B31)+A21))+B31))</f>
        <v xml:space="preserve"> </v>
      </c>
      <c r="B7" s="34">
        <f t="shared" si="0"/>
        <v>60</v>
      </c>
      <c r="C7" s="86" t="s">
        <v>12</v>
      </c>
      <c r="D7" s="90" t="e">
        <f t="shared" ca="1" si="1"/>
        <v>#VALUE!</v>
      </c>
      <c r="E7" s="71"/>
      <c r="F7" s="59" t="e">
        <f t="shared" si="2"/>
        <v>#VALUE!</v>
      </c>
      <c r="G7" s="93" t="e">
        <f t="shared" ca="1" si="5"/>
        <v>#VALUE!</v>
      </c>
      <c r="H7" s="36" t="e">
        <f t="shared" si="6"/>
        <v>#VALUE!</v>
      </c>
      <c r="I7" s="150"/>
      <c r="J7" s="40" t="e">
        <f t="shared" si="3"/>
        <v>#VALUE!</v>
      </c>
      <c r="K7" s="151"/>
      <c r="L7" s="8"/>
      <c r="M7" s="12" t="e">
        <f ca="1">IF((C7&gt;100)*((B1="№")+(B1="R"))+(B1="Т"),D7+AD7,C7+AD7)</f>
        <v>#VALUE!</v>
      </c>
      <c r="N7" s="8"/>
      <c r="O7" s="13"/>
      <c r="P7" s="13"/>
      <c r="Q7" s="8"/>
      <c r="R7" s="8"/>
      <c r="S7" s="8"/>
      <c r="T7" s="8"/>
      <c r="U7" s="8"/>
      <c r="V7" s="8"/>
      <c r="W7" s="8"/>
      <c r="X7" s="8"/>
      <c r="Y7" s="8"/>
      <c r="Z7" s="8"/>
      <c r="AC7" s="1">
        <f t="shared" si="4"/>
        <v>60</v>
      </c>
      <c r="AD7">
        <f t="shared" si="7"/>
        <v>-12.4</v>
      </c>
    </row>
    <row r="8" spans="1:30" ht="15" customHeight="1">
      <c r="A8" s="162"/>
      <c r="B8" s="33">
        <f t="shared" si="0"/>
        <v>72</v>
      </c>
      <c r="C8" s="87" t="s">
        <v>23</v>
      </c>
      <c r="D8" s="91" t="e">
        <f t="shared" ca="1" si="1"/>
        <v>#VALUE!</v>
      </c>
      <c r="E8" s="72"/>
      <c r="F8" s="60" t="e">
        <f t="shared" si="2"/>
        <v>#VALUE!</v>
      </c>
      <c r="G8" s="91" t="e">
        <f t="shared" ca="1" si="5"/>
        <v>#VALUE!</v>
      </c>
      <c r="H8" s="37" t="e">
        <f t="shared" si="6"/>
        <v>#VALUE!</v>
      </c>
      <c r="I8" s="150"/>
      <c r="J8" s="77" t="e">
        <f t="shared" si="3"/>
        <v>#VALUE!</v>
      </c>
      <c r="K8" s="44"/>
      <c r="L8" s="8"/>
      <c r="M8" s="12" t="e">
        <f ca="1">IF(((C8&gt;100)+(C8&lt;15))*((B1="№")+(B1="R"))+(B1="Т"),D8+AD8,C8+AD8)</f>
        <v>#VALUE!</v>
      </c>
      <c r="N8" s="8"/>
      <c r="O8" s="13"/>
      <c r="P8" s="13"/>
      <c r="Q8" s="8"/>
      <c r="R8" s="8"/>
      <c r="S8" s="8"/>
      <c r="T8" s="8"/>
      <c r="U8" s="8"/>
      <c r="V8" s="8"/>
      <c r="W8" s="8"/>
      <c r="X8" s="8"/>
      <c r="Y8" s="8"/>
      <c r="Z8" s="8"/>
      <c r="AC8" s="1">
        <f t="shared" si="4"/>
        <v>72</v>
      </c>
      <c r="AD8">
        <f t="shared" si="7"/>
        <v>-17.399999999999999</v>
      </c>
    </row>
    <row r="9" spans="1:30" ht="15.75" customHeight="1" thickBot="1">
      <c r="A9" s="162"/>
      <c r="B9" s="35">
        <f>B8+12</f>
        <v>84</v>
      </c>
      <c r="C9" s="88" t="s">
        <v>24</v>
      </c>
      <c r="D9" s="90" t="e">
        <f t="shared" ca="1" si="1"/>
        <v>#VALUE!</v>
      </c>
      <c r="E9" s="71"/>
      <c r="F9" s="59" t="e">
        <f t="shared" si="2"/>
        <v>#VALUE!</v>
      </c>
      <c r="G9" s="93" t="e">
        <f t="shared" ca="1" si="5"/>
        <v>#VALUE!</v>
      </c>
      <c r="H9" s="36" t="e">
        <f t="shared" si="6"/>
        <v>#VALUE!</v>
      </c>
      <c r="I9" s="150"/>
      <c r="J9" s="40" t="e">
        <f t="shared" si="3"/>
        <v>#VALUE!</v>
      </c>
      <c r="K9" s="44"/>
      <c r="L9" s="8"/>
      <c r="M9" s="12" t="e">
        <f ca="1">IF(((C9&gt;100)+(C9&lt;5))*((B1="№")+(B1="R"))+(B1="Т"),D9+AD9,C9+AD9)</f>
        <v>#VALUE!</v>
      </c>
      <c r="N9" s="8"/>
      <c r="O9" s="13"/>
      <c r="P9" s="13"/>
      <c r="Q9" s="8"/>
      <c r="R9" s="8"/>
      <c r="S9" s="8"/>
      <c r="T9" s="8"/>
      <c r="U9" s="8"/>
      <c r="V9" s="8"/>
      <c r="W9" s="8"/>
      <c r="X9" s="8"/>
      <c r="Y9" s="8"/>
      <c r="Z9" s="8"/>
      <c r="AC9" s="1">
        <f>AC8+12</f>
        <v>84</v>
      </c>
      <c r="AD9">
        <f>AD8-5</f>
        <v>-22.4</v>
      </c>
    </row>
    <row r="10" spans="1:30" ht="15.75" hidden="1" customHeight="1" thickBot="1">
      <c r="A10" s="50"/>
      <c r="B10" s="61"/>
      <c r="C10" s="62" t="str">
        <f>IF($B$11=94,$C$11,$C$10)</f>
        <v xml:space="preserve"> </v>
      </c>
      <c r="D10" s="131" t="e">
        <f ca="1">(((($D$28-$D$30)*$A$4)/($D$28-$D$30+$A$4))*($D$2-($E$27/($A$1*1000))))*10</f>
        <v>#VALUE!</v>
      </c>
      <c r="E10" s="73">
        <f>K8</f>
        <v>0</v>
      </c>
      <c r="F10" s="63"/>
      <c r="G10" s="94"/>
      <c r="H10" s="36" t="e">
        <f t="shared" si="6"/>
        <v>#DIV/0!</v>
      </c>
      <c r="I10" s="64"/>
      <c r="J10" s="65"/>
      <c r="K10" s="66"/>
      <c r="L10" s="8"/>
      <c r="M10" s="12"/>
      <c r="N10" s="8"/>
      <c r="O10" s="13"/>
      <c r="P10" s="13"/>
      <c r="Q10" s="8"/>
      <c r="R10" s="8"/>
      <c r="S10" s="8"/>
      <c r="T10" s="8"/>
      <c r="U10" s="8"/>
      <c r="V10" s="8"/>
      <c r="W10" s="8"/>
      <c r="X10" s="8"/>
      <c r="Y10" s="8"/>
      <c r="Z10" s="8"/>
      <c r="AC10" s="1"/>
    </row>
    <row r="11" spans="1:30" ht="15.75" customHeight="1" thickBot="1">
      <c r="A11" s="47" t="str">
        <f>IFERROR(IF((K5&gt;K11)+(K12&gt;K17),IF((K5-K11)&gt;(K12-K17),IF(SUM(F3:F9)&lt;SUM(C3:C9),IF((K5-K11)*5&lt;1,1,IF((K5-K11)*5&gt;3,3,(K5-K11)*5)),IF((K5-K11)*5&lt;1,-1,IF((K5-K11)*5&gt;3,-3,-(K5-K11)*5))),IF(SUM(F12:F15)&lt;SUM(C12:C15),IF((K12-K17)*5&lt;1,-1,IF((K12-K17)*5&gt;3,-3,-(K12-K17)*5)),IF((K12-K17)*5&lt;1,1,IF((K12-K17)*5&gt;3,3,(K12-K17)*5)))),"А"),"А")</f>
        <v>А</v>
      </c>
      <c r="B11" s="20">
        <v>94</v>
      </c>
      <c r="C11" s="53" t="s">
        <v>20</v>
      </c>
      <c r="D11" s="123" t="str">
        <f>IFERROR(IF((B11-$E$26*($E$2*94/($B$28-$B$30)))&gt;94,((B11-$E$26*($E$2*94/($B$28-$B$30)))-94)/(2.4-(2.4*$E$26*($E$11+$E$13)/$B$30))*($B$30+$E$11*$E$26)*($D$2-($E$27/($A$1*1000)))+(((($D$28-$D$30)*$A$4)/($D$28-$D$30+$A$4))*($D$2-($E$27/($A$1*1000))))*10,(((B11-$E$26*($E$2*94/($B$28-$B$30)))/(9.4-((9.4/($B$28-$B$30))*($E$2+$E$10)*$E$26)))*($B$28-$B$30+($E$26*E9))*(($D$2-($E$27/($A$1*1000)))-((((($D$28-$D$30)*$A$4)/($D$28-$D$30+$A$4))*($D$2-($E$27/($A$1*1000))))/$A$4))))," ")</f>
        <v xml:space="preserve"> </v>
      </c>
      <c r="E11" s="116">
        <f>K9</f>
        <v>0</v>
      </c>
      <c r="F11" s="58" t="str">
        <f>IF(C11=" "," ",C11)</f>
        <v xml:space="preserve"> </v>
      </c>
      <c r="G11" s="92" t="str">
        <f>IFERROR(C11-D11," ")</f>
        <v xml:space="preserve"> </v>
      </c>
      <c r="H11" s="38" t="e">
        <f t="shared" si="6"/>
        <v>#VALUE!</v>
      </c>
      <c r="I11" s="30">
        <v>1.4999999999999999E-2</v>
      </c>
      <c r="J11" s="39" t="str">
        <f>IF(F11=" "," ",IF(B1=7,(IF(($C$10&gt;(((($D$28-$D$30)*$A$4)/($D$28-$D$30+$A$4))*($D$2-($E$27/($A$1*1000))))*10),(94-((2.4*($C$10-((((($D$28-$D$30)*$A$4)/($D$28-$D$30+$A$4))*($D$2-($E$27/($A$1*1000))))*10)))/($D$30*($D$2-($E$27/($A$1*1000)))))),(94-(9.4*($C$10-((((($D$28-$D$30)*$A$4)/($D$28-$D$30+$A$4))*($D$2-($E$27/($A$1*1000))))*10)))/(($D$28-$D$30)*(($D$2-($E$27/($A$1*1000)))-((((($D$28-$D$30)*$A$4)/($D$28-$D$30+$A$4))*($D$2-($E$27/($A$1*1000))))/$A$4)))))),0))</f>
        <v xml:space="preserve"> </v>
      </c>
      <c r="K11" s="80">
        <v>0.4</v>
      </c>
      <c r="L11" s="8"/>
      <c r="M11" s="10" t="e">
        <f>IF((C11&gt;100)*(B1="№")+(B1="Т"),D11+AD15,IF(B11=AC11,C11+AD11,IF(B11=AC12,C11+AD12,IF(B11=AC14,C11+AD14,IF(B11=AC15,C11+AD15,IF(B11=AC17,C11+AD17,IF(B11=AC18,C11+AD18,IF(B11=AC19,C11+AD19,"ошибка"))))))))</f>
        <v>#VALUE!</v>
      </c>
      <c r="N11" s="8"/>
      <c r="O11" s="11"/>
      <c r="P11" s="11"/>
      <c r="Q11" s="8"/>
      <c r="R11" s="8"/>
      <c r="S11" s="8"/>
      <c r="T11" s="8"/>
      <c r="U11" s="8"/>
      <c r="V11" s="8"/>
      <c r="W11" s="8"/>
      <c r="X11" s="8"/>
      <c r="Y11" s="8"/>
      <c r="Z11" s="8"/>
      <c r="AC11" s="2">
        <v>91</v>
      </c>
      <c r="AD11" s="4">
        <f>AD12+0.4</f>
        <v>-25.400000000000006</v>
      </c>
    </row>
    <row r="12" spans="1:30" ht="15" customHeight="1">
      <c r="A12" s="158" t="str">
        <f>IF((A7=" ")+(A18=" ")," ",ABS(A7-A18))</f>
        <v xml:space="preserve"> </v>
      </c>
      <c r="B12" s="18">
        <v>108</v>
      </c>
      <c r="C12" s="55" t="s">
        <v>20</v>
      </c>
      <c r="D12" s="124" t="e">
        <f ca="1">((B12-$E$26*($E$2*94/($B$28-$B$30)))-94)/(2.4-(2.4*$E$26*($E$11+$E$13)/$B$30))*($B$30+$E$11*$E$26)*($D$2-($E$27/($A$1*1000)))+(((($D$28-$D$30)*$A$4)/($D$28-$D$30+$A$4))*($D$2-($E$27/($A$1*1000))))*10</f>
        <v>#VALUE!</v>
      </c>
      <c r="E12" s="74"/>
      <c r="F12" s="59" t="e">
        <f t="shared" ref="F12:F15" si="8">(B12-$B$11)/($B$17-$B$11)*($C$17-$C$11)+$C$11</f>
        <v>#VALUE!</v>
      </c>
      <c r="G12" s="93" t="e">
        <f t="shared" ca="1" si="5"/>
        <v>#VALUE!</v>
      </c>
      <c r="H12" s="36" t="e">
        <f t="shared" si="6"/>
        <v>#VALUE!</v>
      </c>
      <c r="I12" s="150" t="e">
        <f>SUM(H12,H14,H15)/5</f>
        <v>#VALUE!</v>
      </c>
      <c r="J12" s="40" t="e">
        <f>ABS(C12-F12)</f>
        <v>#VALUE!</v>
      </c>
      <c r="K12" s="152" t="str">
        <f>IFERROR(IF(MAX(J12:J15)&gt;10,"FAIL",MAX(J12:J15)),"∆АБ=")</f>
        <v>∆АБ=</v>
      </c>
      <c r="L12" s="8"/>
      <c r="M12" s="12" t="e">
        <f ca="1">IF((C12&gt;100)*(B1="№")+(B1="Т"),D12+AD20,C12+AD20)</f>
        <v>#VALUE!</v>
      </c>
      <c r="N12" s="8"/>
      <c r="O12" s="13"/>
      <c r="P12" s="13"/>
      <c r="Q12" s="8"/>
      <c r="R12" s="8"/>
      <c r="S12" s="8"/>
      <c r="T12" s="8"/>
      <c r="U12" s="8"/>
      <c r="V12" s="8"/>
      <c r="W12" s="8"/>
      <c r="X12" s="8"/>
      <c r="Y12" s="8"/>
      <c r="Z12" s="8"/>
      <c r="AC12" s="2">
        <v>92</v>
      </c>
      <c r="AD12" s="4">
        <f>AD14+0.4</f>
        <v>-25.800000000000004</v>
      </c>
    </row>
    <row r="13" spans="1:30" ht="15" hidden="1" customHeight="1">
      <c r="A13" s="158"/>
      <c r="B13" s="67"/>
      <c r="C13" s="62"/>
      <c r="D13" s="94" t="e">
        <f ca="1">((((($D$28-$D$30)*$A$4)/($D$28-$D$30+$A$4))*($D$2-($E$27/($A$1*1000))))+$D$30*($D$2-($E$27/($A$1*1000))))*10</f>
        <v>#VALUE!</v>
      </c>
      <c r="E13" s="73">
        <f>K18</f>
        <v>0</v>
      </c>
      <c r="F13" s="63"/>
      <c r="G13" s="94"/>
      <c r="H13" s="36" t="e">
        <f t="shared" si="6"/>
        <v>#DIV/0!</v>
      </c>
      <c r="I13" s="150"/>
      <c r="J13" s="68">
        <f>ABS(C13-F13)</f>
        <v>0</v>
      </c>
      <c r="K13" s="151"/>
      <c r="L13" s="8"/>
      <c r="M13" s="12"/>
      <c r="N13" s="8"/>
      <c r="O13" s="13"/>
      <c r="P13" s="13"/>
      <c r="Q13" s="8"/>
      <c r="R13" s="8"/>
      <c r="S13" s="8"/>
      <c r="T13" s="8"/>
      <c r="U13" s="8"/>
      <c r="V13" s="8"/>
      <c r="W13" s="8"/>
      <c r="X13" s="8"/>
      <c r="Y13" s="8"/>
      <c r="Z13" s="8"/>
      <c r="AC13" s="2"/>
      <c r="AD13" s="4"/>
    </row>
    <row r="14" spans="1:30" ht="15" customHeight="1">
      <c r="A14" s="158"/>
      <c r="B14" s="19">
        <v>120</v>
      </c>
      <c r="C14" s="56" t="s">
        <v>20</v>
      </c>
      <c r="D14" s="91" t="e">
        <f>IF((B14-$E$26*($E$2*94/($B$28-$B$30)))&gt;118,((B14-$E$26*($E$2*94/($B$28-$B$30)))-118)/(2.4-(2.4*$E$26*($E$14+$E$16)/$B$31))*($B$31+E14*$E$26)*($D$2-($E$27/($A$1*1000)))+((((($D$28-$D$30)*$A$4)/($D$28-$D$30+$A$4))*($D$2-($E$27/($A$1*1000))))+$D$30*($D$2-($E$27/($A$1*1000))))*10,((B14-$E$26*($E$2*94/($B$28-$B$30)))-94)/(2.4-(2.4*$E$26*($E$11+$E$13)/$B$30))*($B$30+$E$12*$E$26)*($D$2-($E$27/($A$1*1000)))+(((($D$28-$D$30)*$A$4)/($D$28-$D$30+$A$4))*($D$2-($E$27/($A$1*1000))))*10)</f>
        <v>#VALUE!</v>
      </c>
      <c r="E14" s="118">
        <f>K19</f>
        <v>0</v>
      </c>
      <c r="F14" s="60" t="e">
        <f t="shared" si="8"/>
        <v>#VALUE!</v>
      </c>
      <c r="G14" s="91" t="e">
        <f t="shared" si="5"/>
        <v>#VALUE!</v>
      </c>
      <c r="H14" s="37" t="e">
        <f t="shared" si="6"/>
        <v>#VALUE!</v>
      </c>
      <c r="I14" s="150"/>
      <c r="J14" s="77" t="e">
        <f>IF(B14=118,IF(C14&gt;D14,(118-2.4*(($C$14-$D$14)/($D$2-($E$27/($A$1*1000))))/$D$31),(118-2.4*(($C$14-$D$14)/($D$2-($E$27/($A$1*1000))))/$D$31)),ABS(C14-F14))</f>
        <v>#VALUE!</v>
      </c>
      <c r="K14" s="151"/>
      <c r="L14" s="14"/>
      <c r="M14" s="12" t="e">
        <f>IF((C14&gt;100)*(B1="№")+(B1="Т"),D14+AD21,C14+AD21)</f>
        <v>#VALUE!</v>
      </c>
      <c r="N14" s="8"/>
      <c r="O14" s="13"/>
      <c r="P14" s="13"/>
      <c r="Q14" s="15"/>
      <c r="R14" s="14"/>
      <c r="S14" s="8"/>
      <c r="T14" s="8"/>
      <c r="U14" s="8"/>
      <c r="V14" s="8"/>
      <c r="W14" s="8"/>
      <c r="X14" s="8"/>
      <c r="Y14" s="8"/>
      <c r="Z14" s="8"/>
      <c r="AC14" s="2">
        <v>93</v>
      </c>
      <c r="AD14" s="4">
        <f>AD15+0.4</f>
        <v>-26.200000000000003</v>
      </c>
    </row>
    <row r="15" spans="1:30" ht="15.75" customHeight="1" thickBot="1">
      <c r="A15" s="158"/>
      <c r="B15" s="18">
        <v>132</v>
      </c>
      <c r="C15" s="55" t="s">
        <v>20</v>
      </c>
      <c r="D15" s="125" t="e">
        <f ca="1">((B15-$E$26*($E$2*94/($B$28-$B$30)))-118)/(2.4-(2.4*$E$26*($E$14+$E$16)/$B$31))*($B$31+E14*$E$26)*($D$2-($E$27/($A$1*1000)))+((((($D$28-$D$30)*$A$4)/($D$28-$D$30+$A$4))*($D$2-($E$27/($A$1*1000))))+$D$30*($D$2-($E$27/($A$1*1000))))*10</f>
        <v>#VALUE!</v>
      </c>
      <c r="E15" s="71"/>
      <c r="F15" s="59" t="e">
        <f t="shared" si="8"/>
        <v>#VALUE!</v>
      </c>
      <c r="G15" s="93" t="e">
        <f t="shared" ca="1" si="5"/>
        <v>#VALUE!</v>
      </c>
      <c r="H15" s="36" t="e">
        <f t="shared" si="6"/>
        <v>#VALUE!</v>
      </c>
      <c r="I15" s="150"/>
      <c r="J15" s="40" t="e">
        <f>ABS(C15-F15)</f>
        <v>#VALUE!</v>
      </c>
      <c r="K15" s="151"/>
      <c r="L15" s="8"/>
      <c r="M15" s="12" t="e">
        <f ca="1">IF((C15&gt;100)*(B1="№")+(B1="Т"),D15+AD22,C15+AD22)</f>
        <v>#VALUE!</v>
      </c>
      <c r="N15" s="8"/>
      <c r="O15" s="13"/>
      <c r="P15" s="13"/>
      <c r="Q15" s="8"/>
      <c r="R15" s="8"/>
      <c r="S15" s="8"/>
      <c r="T15" s="8"/>
      <c r="U15" s="8"/>
      <c r="V15" s="8"/>
      <c r="W15" s="8"/>
      <c r="X15" s="8"/>
      <c r="Y15" s="8"/>
      <c r="Z15" s="8"/>
      <c r="AC15" s="2">
        <v>94</v>
      </c>
      <c r="AD15" s="4">
        <f>AD17+0.4</f>
        <v>-26.6</v>
      </c>
    </row>
    <row r="16" spans="1:30" ht="15.75" hidden="1" customHeight="1" thickBot="1">
      <c r="A16" s="49"/>
      <c r="B16" s="67"/>
      <c r="C16" s="62" t="str">
        <f>IF($B$17=142,$C$17,$C$16)</f>
        <v xml:space="preserve"> </v>
      </c>
      <c r="D16" s="131" t="e">
        <f ca="1">((((($D$28-$D$30)*$A$4)/($D$28-$D$30+$A$4))+$D$30+$D$31)*($D$2-($E$27/($A$1*1000))))*10</f>
        <v>#VALUE!</v>
      </c>
      <c r="E16" s="73">
        <f>K23</f>
        <v>0</v>
      </c>
      <c r="F16" s="63"/>
      <c r="G16" s="94"/>
      <c r="H16" s="36" t="e">
        <f t="shared" si="6"/>
        <v>#DIV/0!</v>
      </c>
      <c r="I16" s="64"/>
      <c r="J16" s="65"/>
      <c r="K16" s="48"/>
      <c r="L16" s="8"/>
      <c r="M16" s="12"/>
      <c r="N16" s="8"/>
      <c r="O16" s="13"/>
      <c r="P16" s="13"/>
      <c r="Q16" s="8"/>
      <c r="R16" s="8"/>
      <c r="S16" s="8"/>
      <c r="T16" s="8"/>
      <c r="U16" s="8"/>
      <c r="V16" s="8"/>
      <c r="W16" s="8"/>
      <c r="X16" s="8"/>
      <c r="Y16" s="8"/>
      <c r="Z16" s="8"/>
      <c r="AC16" s="2"/>
      <c r="AD16" s="4"/>
    </row>
    <row r="17" spans="1:30" ht="15.75" customHeight="1" thickBot="1">
      <c r="A17" s="47" t="str">
        <f>IFERROR(IF((K12&gt;K17)+(K20&gt;K25),IF((K12-K17)&gt;(K20-K25),IF(SUM(F12:F15)&lt;SUM(C12:C15),IF((K12-K17)*5&lt;1,-1,IF((K12-K17)*5&gt;3,-3,-(K12-K17)*5)),IF((K12-K17)*5&lt;1,1,IF((K12-K17)*5&gt;3,3,(K12-K17)*5))),IF(SUM(F18:F24)&lt;SUM(C18:C24),IF((K20-K25)*5&lt;1,1,IF((K20-K25)*5+1&gt;3,3,(K20-K25)*5+1)),IF((K20-K25)*5&lt;1,-1,IF((K20-K25)*5+1&gt;3,-3,-(K20-K25)*5-1)))),"Б"),"Б")</f>
        <v>Б</v>
      </c>
      <c r="B17" s="29">
        <v>142</v>
      </c>
      <c r="C17" s="53" t="s">
        <v>20</v>
      </c>
      <c r="D17" s="123" t="str">
        <f>IFERROR(IF((B17-$E$26*($E$2*94/($B$28-$B$30)))&gt;142,((B17-$E$26*($E$2*94/($B$28-$B$30)))-142)/(9.4-(9.4*$E$26*($E$17+$E$25)/($B$29-$B$31)))*($B$29-$B$31+E17*$E$26)*(($D$2-($E$27/($A$1*1000)))-((((($D$29-$D$31)*$A$21)/($D$29-$D$31+$A$21))*($D$2-($E$27/($A$1*1000))))/$A$21))+((((($D$28-$D$30)*$A$4)/($D$28-$D$30+$A$4))+$D$30+$D$31)*($D$2-($E$27/($A$1*1000))))*10,((B17-$E$26*($E$2*94/($B$28-$B$30)))-118)/(2.4-(2.4*$E$26*($E$14+$E$16)/$B$31))*($B$31+E15*$E$26)*($D$2-($E$27/($A$1*1000)))+((((($D$28-$D$30)*$A$4)/($D$28-$D$30+$A$4))*($D$2-($E$27/($A$1*1000))))+$D$30*($D$2-($E$27/($A$1*1000))))*10)," ")</f>
        <v xml:space="preserve"> </v>
      </c>
      <c r="E17" s="116">
        <f>K24</f>
        <v>0</v>
      </c>
      <c r="F17" s="58" t="str">
        <f>IF(C17=" "," ",C17)</f>
        <v xml:space="preserve"> </v>
      </c>
      <c r="G17" s="92" t="str">
        <f>IFERROR(C17-D17," ")</f>
        <v xml:space="preserve"> </v>
      </c>
      <c r="H17" s="38" t="e">
        <f t="shared" si="6"/>
        <v>#VALUE!</v>
      </c>
      <c r="I17" s="30">
        <v>1.4999999999999999E-2</v>
      </c>
      <c r="J17" s="39" t="str">
        <f>IF(F17=" "," ",IF(B1=7,IF(($C$16&gt;(((($D$28-$D$30)*$A$4)/($D$28-$D$30+$A$4))+$D$30+$D$31)*($D$2-($E$27/($A$1*1000)))*10),(142-(9.4*($C$16-(((((($D$28-$D$30)*$A$4)/($D$28-$D$30+$A$4))+$D$30+$D$31)*($D$2-($E$27/($A$1*1000))))*10))/(($D$29-$D$31)*(($D$2-($E$27/($A$1*1000)))-((((($D$29-$D$31)*$A$21)/($D$29-$D$31+$A$21))*($D$2-($E$27/($A$1*1000))))/$A$21))))),(142-(2.4*($C$16-(((((($D$28-$D$30)*$A$4)/($D$28-$D$30+$A$4))+$D$30+$D$31)*($D$2-($E$27/($A$1*1000))))*10))/($D$31*($D$2-($E$27/($A$1*1000))))))),0))</f>
        <v xml:space="preserve"> </v>
      </c>
      <c r="K17" s="80">
        <v>0.5</v>
      </c>
      <c r="L17" s="8"/>
      <c r="M17" s="16" t="e">
        <f>IF((C17&gt;100)*(B1="№")+(B1="Т"),D17+AD26,IF(B17=AC23,C17+AD23,IF(B17=AC24,C17+AD24,IF(B17=AC25,C17+AD25,IF(B17=AC26,C17+AD26,IF(B17=AC27,C17+AD27,IF(B17=AC32,C17+AD32,IF(B17=AC33,C17+AD33,"ошибка"))))))))</f>
        <v>#VALUE!</v>
      </c>
      <c r="N17" s="8"/>
      <c r="O17" s="11"/>
      <c r="P17" s="11"/>
      <c r="Q17" s="8"/>
      <c r="R17" s="8"/>
      <c r="S17" s="8"/>
      <c r="T17" s="8"/>
      <c r="U17" s="8"/>
      <c r="V17" s="8"/>
      <c r="W17" s="8"/>
      <c r="X17" s="8"/>
      <c r="Y17" s="8"/>
      <c r="Z17" s="8"/>
      <c r="AC17" s="2">
        <v>95</v>
      </c>
      <c r="AD17" s="4">
        <f>AD18+0.4</f>
        <v>-27</v>
      </c>
    </row>
    <row r="18" spans="1:30" ht="15" customHeight="1">
      <c r="A18" s="157" t="str">
        <f>IF((C27=" ")+(B30=" "),IF((C4&gt;200)*(C4&lt;400),C4,IF(C4&gt;2000," ",A18)),(((B29-B31)*A21/(B29-B31+A21)+B31)*(A1*1000+(B28-B30)*A4/(B28-B30+A4)+B30))/(((B29-B31)*A21/((B29-B31)+A21)+B31)+A1*1000+(B28-B30)*A4/(B28-B30+A4)+B30))</f>
        <v xml:space="preserve"> </v>
      </c>
      <c r="B18" s="32">
        <v>156</v>
      </c>
      <c r="C18" s="55" t="s">
        <v>20</v>
      </c>
      <c r="D18" s="95" t="e">
        <f t="shared" ref="D18:D24" ca="1" si="9">((B18-$E$26*($E$2*94/($B$28-$B$30)))-142)/(9.4-(9.4*$E$26*($E$17+$E$25)/($B$29-$B$31)))*($B$29-$B$31+E17*$E$26)*(($D$2-($E$27/($A$1*1000)))-((((($D$29-$D$31)*$A$21)/($D$29-$D$31+$A$21))*($D$2-($E$27/($A$1*1000))))/$A$21))+((((($D$28-$D$30)*$A$4)/($D$28-$D$30+$A$4))+$D$30+$D$31)*($D$2-($E$27/($A$1*1000))))*10</f>
        <v>#VALUE!</v>
      </c>
      <c r="E18" s="75"/>
      <c r="F18" s="59" t="e">
        <f t="shared" ref="F18:F24" si="10">(B18-$B$17)/($B$25-$B$17)*($C$25-$C$17)+$C$17</f>
        <v>#VALUE!</v>
      </c>
      <c r="G18" s="93" t="e">
        <f t="shared" ca="1" si="5"/>
        <v>#VALUE!</v>
      </c>
      <c r="H18" s="36" t="e">
        <f t="shared" si="6"/>
        <v>#VALUE!</v>
      </c>
      <c r="I18" s="150" t="e">
        <f>SUM(H17:H25)/9</f>
        <v>#VALUE!</v>
      </c>
      <c r="J18" s="40" t="e">
        <f t="shared" ref="J18:J24" si="11">ABS(C18-F18)</f>
        <v>#VALUE!</v>
      </c>
      <c r="K18" s="44"/>
      <c r="L18" s="8"/>
      <c r="M18" s="12" t="e">
        <f ca="1">IF((C18&gt;100)*(B1="№")+(B1="Т"),D18+AD34,C18+AD34)</f>
        <v>#VALUE!</v>
      </c>
      <c r="N18" s="8"/>
      <c r="O18" s="13"/>
      <c r="P18" s="13"/>
      <c r="Q18" s="8"/>
      <c r="R18" s="8"/>
      <c r="S18" s="8"/>
      <c r="T18" s="8"/>
      <c r="U18" s="8"/>
      <c r="V18" s="8"/>
      <c r="W18" s="8"/>
      <c r="X18" s="8"/>
      <c r="Y18" s="8"/>
      <c r="Z18" s="8"/>
      <c r="AC18" s="3">
        <v>96</v>
      </c>
      <c r="AD18" s="4">
        <f>AD9-5</f>
        <v>-27.4</v>
      </c>
    </row>
    <row r="19" spans="1:30" ht="15" customHeight="1">
      <c r="A19" s="157"/>
      <c r="B19" s="33">
        <v>168</v>
      </c>
      <c r="C19" s="56" t="s">
        <v>20</v>
      </c>
      <c r="D19" s="133" t="e">
        <f t="shared" ca="1" si="9"/>
        <v>#VALUE!</v>
      </c>
      <c r="E19" s="76"/>
      <c r="F19" s="60" t="e">
        <f t="shared" si="10"/>
        <v>#VALUE!</v>
      </c>
      <c r="G19" s="91" t="e">
        <f t="shared" ca="1" si="5"/>
        <v>#VALUE!</v>
      </c>
      <c r="H19" s="37" t="e">
        <f t="shared" si="6"/>
        <v>#VALUE!</v>
      </c>
      <c r="I19" s="150"/>
      <c r="J19" s="77" t="e">
        <f t="shared" si="11"/>
        <v>#VALUE!</v>
      </c>
      <c r="K19" s="44"/>
      <c r="L19" s="8"/>
      <c r="M19" s="12" t="e">
        <f ca="1">IF((C19&gt;100)*(B1="№")+(B1="Т"),D19+AD35,C19+AD35)</f>
        <v>#VALUE!</v>
      </c>
      <c r="N19" s="8"/>
      <c r="O19" s="13"/>
      <c r="P19" s="13"/>
      <c r="Q19" s="8"/>
      <c r="R19" s="8"/>
      <c r="S19" s="8"/>
      <c r="T19" s="8"/>
      <c r="U19" s="8"/>
      <c r="V19" s="8"/>
      <c r="W19" s="8"/>
      <c r="X19" s="8"/>
      <c r="Y19" s="8"/>
      <c r="Z19" s="8"/>
      <c r="AC19" s="2">
        <v>97</v>
      </c>
      <c r="AD19" s="4">
        <f>AD18-0.4</f>
        <v>-27.799999999999997</v>
      </c>
    </row>
    <row r="20" spans="1:30" ht="15.75" customHeight="1" thickBot="1">
      <c r="A20" s="157"/>
      <c r="B20" s="34">
        <v>180</v>
      </c>
      <c r="C20" s="55" t="s">
        <v>20</v>
      </c>
      <c r="D20" s="95" t="e">
        <f t="shared" ca="1" si="9"/>
        <v>#VALUE!</v>
      </c>
      <c r="E20" s="75"/>
      <c r="F20" s="59" t="e">
        <f t="shared" si="10"/>
        <v>#VALUE!</v>
      </c>
      <c r="G20" s="93" t="e">
        <f t="shared" ca="1" si="5"/>
        <v>#VALUE!</v>
      </c>
      <c r="H20" s="36" t="e">
        <f t="shared" si="6"/>
        <v>#VALUE!</v>
      </c>
      <c r="I20" s="150"/>
      <c r="J20" s="40" t="e">
        <f t="shared" si="11"/>
        <v>#VALUE!</v>
      </c>
      <c r="K20" s="151" t="str">
        <f>IFERROR(IF(MAX(J18:J24)&gt;10,"FAIL",MAX(J18:J24)),"∆БВ=")</f>
        <v>∆БВ=</v>
      </c>
      <c r="L20" s="8"/>
      <c r="M20" s="12" t="e">
        <f ca="1">IF((C20&gt;100)*(B1="№")+(B1="Т"),D20+AD36,C20+AD36)</f>
        <v>#VALUE!</v>
      </c>
      <c r="N20" s="8"/>
      <c r="O20" s="13"/>
      <c r="P20" s="13"/>
      <c r="Q20" s="8"/>
      <c r="R20" s="8"/>
      <c r="S20" s="8"/>
      <c r="T20" s="8"/>
      <c r="U20" s="8"/>
      <c r="V20" s="8"/>
      <c r="W20" s="8"/>
      <c r="X20" s="8"/>
      <c r="Y20" s="8"/>
      <c r="Z20" s="8"/>
      <c r="AC20" s="1">
        <v>108</v>
      </c>
      <c r="AD20">
        <f>AD18-5</f>
        <v>-32.4</v>
      </c>
    </row>
    <row r="21" spans="1:30" ht="15" customHeight="1">
      <c r="A21" s="154" t="str">
        <f>IF(B30=" ",IF(C6&gt;2000," ",IF((C6&gt;200)*(C6&lt;400),C6,A21)),326.8)</f>
        <v xml:space="preserve"> </v>
      </c>
      <c r="B21" s="33">
        <v>192</v>
      </c>
      <c r="C21" s="56" t="s">
        <v>20</v>
      </c>
      <c r="D21" s="133" t="e">
        <f t="shared" ca="1" si="9"/>
        <v>#VALUE!</v>
      </c>
      <c r="E21" s="76"/>
      <c r="F21" s="60" t="e">
        <f t="shared" si="10"/>
        <v>#VALUE!</v>
      </c>
      <c r="G21" s="91" t="e">
        <f t="shared" ca="1" si="5"/>
        <v>#VALUE!</v>
      </c>
      <c r="H21" s="37" t="e">
        <f t="shared" si="6"/>
        <v>#VALUE!</v>
      </c>
      <c r="I21" s="150"/>
      <c r="J21" s="77" t="e">
        <f t="shared" si="11"/>
        <v>#VALUE!</v>
      </c>
      <c r="K21" s="151"/>
      <c r="L21" s="14"/>
      <c r="M21" s="12" t="e">
        <f ca="1">IF((C21&gt;100)*(B1="№")+(B1="Т"),D21+AD37,C21+AD37)</f>
        <v>#VALUE!</v>
      </c>
      <c r="N21" s="8"/>
      <c r="O21" s="13"/>
      <c r="P21" s="13"/>
      <c r="Q21" s="15"/>
      <c r="R21" s="14"/>
      <c r="S21" s="8"/>
      <c r="T21" s="8"/>
      <c r="U21" s="8"/>
      <c r="V21" s="8"/>
      <c r="W21" s="8"/>
      <c r="X21" s="8"/>
      <c r="Y21" s="8"/>
      <c r="Z21" s="8"/>
      <c r="AC21" s="1">
        <v>120</v>
      </c>
      <c r="AD21">
        <f>AD20-5</f>
        <v>-37.4</v>
      </c>
    </row>
    <row r="22" spans="1:30" ht="15" customHeight="1">
      <c r="A22" s="155"/>
      <c r="B22" s="34">
        <v>204</v>
      </c>
      <c r="C22" s="55" t="s">
        <v>20</v>
      </c>
      <c r="D22" s="95" t="e">
        <f t="shared" ca="1" si="9"/>
        <v>#VALUE!</v>
      </c>
      <c r="E22" s="75"/>
      <c r="F22" s="59" t="e">
        <f t="shared" si="10"/>
        <v>#VALUE!</v>
      </c>
      <c r="G22" s="93" t="e">
        <f t="shared" ca="1" si="5"/>
        <v>#VALUE!</v>
      </c>
      <c r="H22" s="36" t="e">
        <f t="shared" si="6"/>
        <v>#VALUE!</v>
      </c>
      <c r="I22" s="150"/>
      <c r="J22" s="40" t="e">
        <f t="shared" si="11"/>
        <v>#VALUE!</v>
      </c>
      <c r="K22" s="151"/>
      <c r="L22" s="8"/>
      <c r="M22" s="12" t="e">
        <f ca="1">IF((C22&gt;100)*(B1="№")+(B1="Т"),D22+AD38,C22+AD38)</f>
        <v>#VALUE!</v>
      </c>
      <c r="N22" s="8"/>
      <c r="O22" s="13"/>
      <c r="P22" s="13"/>
      <c r="Q22" s="8"/>
      <c r="R22" s="8"/>
      <c r="S22" s="8"/>
      <c r="T22" s="8"/>
      <c r="U22" s="8"/>
      <c r="V22" s="8"/>
      <c r="W22" s="8"/>
      <c r="X22" s="8"/>
      <c r="Y22" s="8"/>
      <c r="Z22" s="8"/>
      <c r="AC22" s="1">
        <v>132</v>
      </c>
      <c r="AD22">
        <f>AD21-5</f>
        <v>-42.4</v>
      </c>
    </row>
    <row r="23" spans="1:30" ht="15.75" customHeight="1" thickBot="1">
      <c r="A23" s="156"/>
      <c r="B23" s="33">
        <v>216</v>
      </c>
      <c r="C23" s="56" t="s">
        <v>20</v>
      </c>
      <c r="D23" s="133" t="e">
        <f t="shared" ca="1" si="9"/>
        <v>#VALUE!</v>
      </c>
      <c r="E23" s="76"/>
      <c r="F23" s="60" t="e">
        <f t="shared" si="10"/>
        <v>#VALUE!</v>
      </c>
      <c r="G23" s="91" t="e">
        <f t="shared" ca="1" si="5"/>
        <v>#VALUE!</v>
      </c>
      <c r="H23" s="37" t="e">
        <f t="shared" si="6"/>
        <v>#VALUE!</v>
      </c>
      <c r="I23" s="150"/>
      <c r="J23" s="77" t="e">
        <f t="shared" si="11"/>
        <v>#VALUE!</v>
      </c>
      <c r="K23" s="44"/>
      <c r="L23" s="8"/>
      <c r="M23" s="12" t="e">
        <f ca="1">IF((C23&gt;100)*(B1="№")+(B1="Т"),D23+AD39,C23+AD39)</f>
        <v>#VALUE!</v>
      </c>
      <c r="N23" s="8"/>
      <c r="O23" s="13"/>
      <c r="P23" s="13"/>
      <c r="Q23" s="8"/>
      <c r="R23" s="8"/>
      <c r="S23" s="8"/>
      <c r="T23" s="8"/>
      <c r="U23" s="8"/>
      <c r="V23" s="8"/>
      <c r="W23" s="8"/>
      <c r="X23" s="8"/>
      <c r="Y23" s="8"/>
      <c r="Z23" s="8"/>
      <c r="AC23" s="2">
        <v>139</v>
      </c>
      <c r="AD23">
        <f>AD24+0.4</f>
        <v>-45.400000000000006</v>
      </c>
    </row>
    <row r="24" spans="1:30" ht="15.75" customHeight="1" thickBot="1">
      <c r="A24" s="28" t="s">
        <v>13</v>
      </c>
      <c r="B24" s="35">
        <v>228</v>
      </c>
      <c r="C24" s="55" t="s">
        <v>20</v>
      </c>
      <c r="D24" s="95" t="e">
        <f t="shared" ca="1" si="9"/>
        <v>#VALUE!</v>
      </c>
      <c r="E24" s="75"/>
      <c r="F24" s="59" t="e">
        <f t="shared" si="10"/>
        <v>#VALUE!</v>
      </c>
      <c r="G24" s="93" t="e">
        <f t="shared" ca="1" si="5"/>
        <v>#VALUE!</v>
      </c>
      <c r="H24" s="36" t="e">
        <f t="shared" si="6"/>
        <v>#VALUE!</v>
      </c>
      <c r="I24" s="150"/>
      <c r="J24" s="40" t="e">
        <f t="shared" si="11"/>
        <v>#VALUE!</v>
      </c>
      <c r="K24" s="45"/>
      <c r="L24" s="8"/>
      <c r="M24" s="12" t="e">
        <f ca="1">IF((C24&gt;100)*(B1="№")+(B1="Т"),D24+AD40,C24+AD40)</f>
        <v>#VALUE!</v>
      </c>
      <c r="N24" s="8"/>
      <c r="O24" s="13"/>
      <c r="P24" s="13"/>
      <c r="Q24" s="8"/>
      <c r="R24" s="8"/>
      <c r="S24" s="8"/>
      <c r="T24" s="8"/>
      <c r="U24" s="8"/>
      <c r="V24" s="8"/>
      <c r="W24" s="8"/>
      <c r="X24" s="8"/>
      <c r="Y24" s="8"/>
      <c r="Z24" s="8"/>
      <c r="AC24" s="2">
        <v>140</v>
      </c>
      <c r="AD24">
        <f>AD25+0.4</f>
        <v>-45.800000000000004</v>
      </c>
    </row>
    <row r="25" spans="1:30" ht="15.75" customHeight="1" thickBot="1">
      <c r="A25" s="47" t="str">
        <f>IFERROR(IF(K20&gt;K25,IF(SUM(F18:F24)&lt;SUM(C18:C24),IF(C25&gt;99.5,IF((K20-K25)*5&lt;1,-1,IF((K20-K25)*5&gt;4,-4,-(K20-K25)*5)),IF((K20-K25)*5&lt;1,1,IF((K20-K25)*5&gt;4,4,(K20-K25)*5))),IF(C25&gt;99.5,IF((K20-K25)*5&lt;1,1,IF((K20-K25)*5&gt;4,4,(K20-K25)*5)),IF((K20-K25)*5&lt;1,-1,IF((K20-K25)*5&gt;4,-4,-(K20-K25)*5)))),"В"),"В")</f>
        <v>В</v>
      </c>
      <c r="B25" s="29">
        <v>236</v>
      </c>
      <c r="C25" s="53" t="s">
        <v>20</v>
      </c>
      <c r="D25" s="132" t="str">
        <f ca="1">IFERROR(((B25-$E$26*($E$2*94/($B$28-$B$30)))-142)/(9.4-(9.4*$E$26*($E$17+$E$25)/($B$29-$B$31)))*($B$29-$B$31+E24*$E$26)*(($D$2-($E$27/($A$1*1000)))-((((($D$29-$D$31)*$A$21)/($D$29-$D$31+$A$21))*($D$2-($E$27/($A$1*1000))))/$A$21))+((((($D$28-$D$30)*$A$4)/($D$28-$D$30+$A$4))+$D$30+$D$31)*($D$2-($E$27/($A$1*1000))))*10," ")</f>
        <v xml:space="preserve"> </v>
      </c>
      <c r="E25" s="117">
        <f>K4</f>
        <v>0</v>
      </c>
      <c r="F25" s="58" t="str">
        <f>IF(C25=" "," ",C25)</f>
        <v xml:space="preserve"> </v>
      </c>
      <c r="G25" s="92" t="str">
        <f ca="1">IFERROR(C25-D25," ")</f>
        <v xml:space="preserve"> </v>
      </c>
      <c r="H25" s="38" t="e">
        <f t="shared" si="6"/>
        <v>#VALUE!</v>
      </c>
      <c r="I25" s="30">
        <v>1.4999999999999999E-2</v>
      </c>
      <c r="J25" s="142" t="str">
        <f>IF(F25=" "," ",IF(B1=7,236-(9.4*(($C$24-$D$24)/(($D$2-($E$27/($A$1*1000)))-((((($D$29-$D$31)*$A$21)/($D$29-$D$31+$A$21))*($D$2-($E$27/($A$1*1000))))/$A$21)))/($D$29-$D$31)),0))</f>
        <v xml:space="preserve"> </v>
      </c>
      <c r="K25" s="80">
        <v>0.4</v>
      </c>
      <c r="L25" s="8"/>
      <c r="M25" s="10" t="e">
        <f ca="1">IF((C25&gt;110)*(B1="№")+(B1="Т"),D25+AD45,IF(B25=AC41,C25+AD41,IF(B25=AC42,C25+AD42,IF(B25=AC43,C25+AD43,IF(B25=AC44,C25+AD44,IF(B25=AC45,C25+AD45,IF(B25=AC46,C25+AD46,IF(B25=AC47,C25+AD47,IF(B25=AC48,C25+AD48,IF(B25=AC49,C25+AD49,"ошибка"))))))))))</f>
        <v>#VALUE!</v>
      </c>
      <c r="N25" s="8"/>
      <c r="O25" s="11"/>
      <c r="P25" s="11"/>
      <c r="Q25" s="8"/>
      <c r="R25" s="8"/>
      <c r="S25" s="8"/>
      <c r="T25" s="8"/>
      <c r="U25" s="8"/>
      <c r="V25" s="8"/>
      <c r="W25" s="8"/>
      <c r="X25" s="8"/>
      <c r="Y25" s="8"/>
      <c r="Z25" s="8"/>
      <c r="AC25" s="2">
        <v>141</v>
      </c>
      <c r="AD25">
        <f>AD26+0.4</f>
        <v>-46.2</v>
      </c>
    </row>
    <row r="26" spans="1:30" ht="15.75" thickBot="1">
      <c r="A26" s="122" t="str">
        <f>IF(C9&gt;5000," ",IF((C9&lt;5),C9,A26))</f>
        <v xml:space="preserve"> </v>
      </c>
      <c r="B26" s="52" t="e">
        <f>IF(B27&lt;600,"Ползун",B28/B30)</f>
        <v>#VALUE!</v>
      </c>
      <c r="C26" s="51" t="e">
        <f>IF(B27&lt;600,"Общее",B29/B31)</f>
        <v>#VALUE!</v>
      </c>
      <c r="D26" s="96" t="str">
        <f>IFERROR(D28+D29," ")</f>
        <v xml:space="preserve"> </v>
      </c>
      <c r="E26" s="84">
        <v>2</v>
      </c>
      <c r="F26" s="107"/>
      <c r="G26" s="108"/>
      <c r="H26" s="108"/>
      <c r="I26" s="108"/>
      <c r="J26" s="108"/>
      <c r="K26" s="109"/>
      <c r="L26" s="8"/>
      <c r="M26" s="1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C26" s="2">
        <v>142</v>
      </c>
      <c r="AD26">
        <f>AD27+0.4</f>
        <v>-46.6</v>
      </c>
    </row>
    <row r="27" spans="1:30" ht="15.75" thickBot="1">
      <c r="A27" s="21" t="s">
        <v>7</v>
      </c>
      <c r="B27" s="79" t="str">
        <f>IF(B28=" ",IF((C5&gt;200)*(C5&lt;2000),C5,IF(C5&gt;2000," ",B27)),B28+B29)</f>
        <v xml:space="preserve"> </v>
      </c>
      <c r="C27" s="85" t="str">
        <f>(IF(B30=" ",IF((C2&gt;400)*(C2&lt;2000),C2,IF(C2&gt;2000," ",C27)),((B28-B30)*A4/((B28-B30)+A4)+B30+B31+(B29-B31)*A21/((B29-B31)+A21))*A1*1000/(((B28-B30)*A4/((B28-B30)+A4)+B30+B31+(B29-B31)*A21/((B29-B31)+A21))+A1*1000)))</f>
        <v xml:space="preserve"> </v>
      </c>
      <c r="D27" s="105" t="str">
        <f ca="1">IFERROR(((D28-D30)*A4/((D28-D30)+A4)+D30+D31+(D29-D31)*A21/((D29-D31)+A21))*A1*1000/(((D28-D30)*A4/((D28-D30)+A4)+D30+D31+(D29-D31)*A21/((D29-D31)+A21))+A1*1000)," ")</f>
        <v xml:space="preserve"> </v>
      </c>
      <c r="E27" s="119">
        <v>10</v>
      </c>
      <c r="F27" s="110"/>
      <c r="G27" s="111"/>
      <c r="H27" s="111"/>
      <c r="I27" s="111"/>
      <c r="J27" s="111"/>
      <c r="K27" s="112"/>
      <c r="L27" s="8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C27" s="2">
        <v>143</v>
      </c>
      <c r="AD27">
        <f>AD32+0.4</f>
        <v>-47</v>
      </c>
    </row>
    <row r="28" spans="1:30">
      <c r="A28" s="42" t="s">
        <v>8</v>
      </c>
      <c r="B28" s="97" t="str">
        <f>IF(C3&gt;2000," ",IF((C3&gt;400)*(C3&lt;1500),C3,B28))</f>
        <v xml:space="preserve"> </v>
      </c>
      <c r="C28" s="147" t="str">
        <f>IF(NOT(B1="R"),IF(B28=" "," ",ABS(B28-B29)),ABS(D28-D29))</f>
        <v xml:space="preserve"> </v>
      </c>
      <c r="D28" s="98" t="str">
        <f>IFERROR(IF(A7=" ",(SQRT(POWER(2*A4-(C27*A1*1000*0.8)/(A1*1000-C27),2)+(1.28*C27*A1*1000*A4)/(A1*1000-C27))+(C27*A1*1000*0.8)/(A1*1000-C27)-2*A4)/0.64,IFERROR(B28+E26*SUM(E2:E13),(-(A4-(1-1/E30)*((-(-((A1*1000)*C27/((A1*1000)-C27))-(A1*1000))-SQRT(((-((A1*1000)*C27/((A1*1000)-C27))-(A1*1000))*(-((A1*1000)*C27/((A1*1000)-C27))-(A1*1000))-4*(((A1*1000)*C27/((A1*1000)-C27))+(A1*1000))*A7)))/2))+SQRT(((A4-(1-1/E30)*((-(-((A1*1000)*C27/((A1*1000)-C27))-(A1*1000))-SQRT(((-((A1*1000)*C27/((A1*1000)-C27))-(A1*1000))*(-((A1*1000)*C27/((A1*1000)-C27))-(A1*1000))-4*(((A1*1000)*C27/((A1*1000)-C27))+(A1*1000))*A7)))/2))*(A4-(1-1/E30)*((-(-((A1*1000)*C27/((A1*1000)-C27))-(A1*1000))-SQRT(((-((A1*1000)*C27/((A1*1000)-C27))-(A1*1000))*(-((A1*1000)*C27/((A1*1000)-C27))-(A1*1000))-4*(((A1*1000)*C27/((A1*1000)-C27))+(A1*1000))*A7)))/2))+4*((E30-1)/(E30*E30))*A4*((-(-((A1*1000)*C27/((A1*1000)-C27))-(A1*1000))-SQRT(((-((A1*1000)*C27/((A1*1000)-C27))-(A1*1000))*(-((A1*1000)*C27/((A1*1000)-C27))-(A1*1000))-4*(((A1*1000)*C27/((A1*1000)-C27))+(A1*1000))*A7)))/2))))/(2*((E30-1)/(E30*E30)))))," ")</f>
        <v xml:space="preserve"> </v>
      </c>
      <c r="E28" s="98" t="str">
        <f>IFERROR(ABS(D28-D29)," ")</f>
        <v xml:space="preserve"> </v>
      </c>
      <c r="F28" s="110"/>
      <c r="G28" s="111"/>
      <c r="H28" s="111"/>
      <c r="I28" s="111"/>
      <c r="J28" s="111"/>
      <c r="K28" s="112"/>
      <c r="L28" s="8"/>
      <c r="M28" s="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C28" s="2"/>
    </row>
    <row r="29" spans="1:30" ht="15.75" thickBot="1">
      <c r="A29" s="99" t="s">
        <v>9</v>
      </c>
      <c r="B29" s="100" t="str">
        <f>IF(C4&gt;2000," ",IF((C4&gt;400)*(C4&lt;1500),C4,B29))</f>
        <v xml:space="preserve"> </v>
      </c>
      <c r="C29" s="148"/>
      <c r="D29" s="101" t="str">
        <f>IFERROR(IF(A18=" ",(SQRT(POWER(2*A4-(C27*A1*1000*0.8)/(A1*1000-C27),2)+(1.28*C27*A1*1000*A4)/(A1*1000-C27))+(C27*A1*1000*0.8)/(A1*1000-C27)-2*A4)/0.64,IFERROR(B29+E26*SUM(E14:E25),(-(A21-(1-1/E31)*((-(-((A1*1000)*C27/((A1*1000)-C27))-(A1*1000))-SQRT(((-((A1*1000)*C27/((A1*1000)-C27))-(A1*1000))*(-((A1*1000)*C27/((A1*1000)-C27))-(A1*1000))-4*(((A1*1000)*C27/((A1*1000)-C27))+(A1*1000))*A18)))/2))+SQRT(((A21-(1-1/E31)*((-(-((A1*1000)*C27/((A1*1000)-C27))-(A1*1000))-SQRT(((-((A1*1000)*C27/((A1*1000)-C27))-(A1*1000))*(-((A1*1000)*C27/((A1*1000)-C27))-(A1*1000))-4*(((A1*1000)*C27/((A1*1000)-C27))+(A1*1000))*A18)))/2))*(A21-(1-1/E31)*((-(-((A1*1000)*C27/((A1*1000)-C27))-(A1*1000))-SQRT(((-((A1*1000)*C27/((A1*1000)-C27))-(A1*1000))*(-((A1*1000)*C27/((A1*1000)-C27))-(A1*1000))-4*(((A1*1000)*C27/((A1*1000)-C27))+(A1*1000))*A18)))/2))+4*((E31-1)/(E31*E31))*A21*((-(-((A1*1000)*C27/((A1*1000)-C27))-(A1*1000))-SQRT(((-((A1*1000)*C27/((A1*1000)-C27))-(A1*1000))*(-((A1*1000)*C27/((A1*1000)-C27))-(A1*1000))-4*(((A1*1000)*C27/((A1*1000)-C27))+(A1*1000))*A18)))/2))))/(2*((E31-1)/(E31*E31)))))," ")</f>
        <v xml:space="preserve"> </v>
      </c>
      <c r="E29" s="101" t="str">
        <f ca="1">IFERROR(ABS(D30-D31)," ")</f>
        <v xml:space="preserve"> </v>
      </c>
      <c r="F29" s="110"/>
      <c r="G29" s="111"/>
      <c r="H29" s="111"/>
      <c r="I29" s="111"/>
      <c r="J29" s="111"/>
      <c r="K29" s="112"/>
      <c r="L29" s="8"/>
      <c r="M29" s="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C29" s="2"/>
    </row>
    <row r="30" spans="1:30">
      <c r="A30" s="102" t="s">
        <v>11</v>
      </c>
      <c r="B30" s="103" t="str">
        <f>IF(C5&gt;400," ",IF((C5&gt;100)*(C5&lt;250),C5,B30))</f>
        <v xml:space="preserve"> </v>
      </c>
      <c r="C30" s="149" t="str">
        <f>IF(NOT(B1="R"),IF(B30=" "," ",ABS(B30-B31)),ABS(D30-D31))</f>
        <v xml:space="preserve"> </v>
      </c>
      <c r="D30" s="140" t="str">
        <f ca="1">IFERROR(IFERROR(IF(NOT(B1="R"),B30+E26*SUM(E11:E13),IF(A7=" ",D28/5,D28/E30)),D28/E30)," ")</f>
        <v xml:space="preserve"> </v>
      </c>
      <c r="E30" s="121" t="str">
        <f ca="1">IFERROR(IFERROR((((0.1*C11/(((E27/C27)-(E27/(A1*1000)))-(0.1*C11/A4)))+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/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,IF(B31=" ",IF(A7=" ",D28/D30,4.92),D28/D30))," ")</f>
        <v xml:space="preserve"> </v>
      </c>
      <c r="F30" s="110"/>
      <c r="G30" s="111"/>
      <c r="H30" s="111"/>
      <c r="I30" s="111"/>
      <c r="J30" s="111"/>
      <c r="K30" s="112"/>
      <c r="L30" s="8"/>
      <c r="M30" s="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C30" s="2"/>
    </row>
    <row r="31" spans="1:30" ht="15.75" thickBot="1">
      <c r="A31" s="99" t="s">
        <v>10</v>
      </c>
      <c r="B31" s="104" t="str">
        <f>IF(C6&gt;400," ",IF((C6&gt;100)*(C6&lt;250),C6,B31))</f>
        <v xml:space="preserve"> </v>
      </c>
      <c r="C31" s="148"/>
      <c r="D31" s="120" t="str">
        <f ca="1">IFERROR(IFERROR(IF(NOT(B1="R"),B31+E26*SUM(E14:E16),IF(A18=" ",D29/5,D29/E31)),D29/E31)," ")</f>
        <v xml:space="preserve"> </v>
      </c>
      <c r="E31" s="120" t="str">
        <f ca="1">IFERROR(IFERROR((((0.1*(C25-C17)/(((E27/C27)-(E27/(A1*1000)))-0.1*(C25-C17)/A21))+((A1*1000*C27/(A1*1000-C27))-((0.1*C11/(((E27/C27)-(E27/(A1*1000)))-(0.1*C11/A4)))*A4/((0.1*C11/(((E27/C27)-(E27/(A1*1000)))-(0.1*C11/A4)))+A4))-((0.1*(C25-C17)/(((E27/C27)-(E27/(A1*1000)))-0.1*(C25-C17)/A21))*A21/((0.1*(C25-C17)/(((E27/C27)-(E27/(A1*1000)))-0.1*(C25-C17)/A21))+A21))-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)/((A1*1000*C27/(A1*1000-C27))-((0.1*C11/(((E27/C27)-(E27/(A1*1000)))-(0.1*C11/A4)))*A4/((0.1*C11/(((E27/C27)-(E27/(A1*1000)))-(0.1*C11/A4)))+A4))-((0.1*(C25-C17)/(((E27/C27)-(E27/(A1*1000)))-0.1*(C25-C17)/A21))*A21/((0.1*(C25-C17)/(((E27/C27)-(E27/(A1*1000)))-0.1*(C25-C17)/A21))+A21))-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),IF(B31=" ",IF(A18=" ",D29/D31,4.92),D29/D31))," ")</f>
        <v xml:space="preserve"> </v>
      </c>
      <c r="F31" s="113"/>
      <c r="G31" s="114"/>
      <c r="H31" s="114"/>
      <c r="I31" s="114"/>
      <c r="J31" s="114"/>
      <c r="K31" s="115"/>
      <c r="L31" s="8"/>
      <c r="M31" s="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C31" s="2"/>
    </row>
    <row r="32" spans="1:30">
      <c r="A32" s="126"/>
      <c r="B32" s="126"/>
      <c r="C32" s="134"/>
      <c r="D32" s="134"/>
      <c r="E32" s="134"/>
      <c r="F32" s="18"/>
      <c r="G32" s="18"/>
      <c r="H32" s="18"/>
      <c r="I32" s="18"/>
      <c r="J32" s="18"/>
      <c r="K32" s="135"/>
      <c r="L32" s="8"/>
      <c r="M32" s="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C32" s="3">
        <v>144</v>
      </c>
      <c r="AD32">
        <f>AD22-5</f>
        <v>-47.4</v>
      </c>
    </row>
    <row r="33" spans="1:30">
      <c r="A33" s="126"/>
      <c r="B33" s="22" t="s">
        <v>19</v>
      </c>
      <c r="C33" s="22" t="s">
        <v>17</v>
      </c>
      <c r="D33" s="22"/>
      <c r="E33" s="22"/>
      <c r="F33" s="136"/>
      <c r="G33" s="136"/>
      <c r="H33" s="136"/>
      <c r="I33" s="136"/>
      <c r="J33" s="136"/>
      <c r="K33" s="137"/>
      <c r="L33" s="22"/>
      <c r="M33" s="22" t="s">
        <v>1</v>
      </c>
      <c r="N33" s="9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C33" s="2">
        <v>145</v>
      </c>
      <c r="AD33">
        <f>AD32-0.4</f>
        <v>-47.8</v>
      </c>
    </row>
    <row r="34" spans="1:30">
      <c r="A34" s="126"/>
      <c r="B34" s="22">
        <v>0</v>
      </c>
      <c r="C34" s="22">
        <v>232</v>
      </c>
      <c r="D34" s="22"/>
      <c r="E34" s="22"/>
      <c r="F34" s="136"/>
      <c r="G34" s="136"/>
      <c r="H34" s="136"/>
      <c r="I34" s="136"/>
      <c r="J34" s="136"/>
      <c r="K34" s="137"/>
      <c r="L34" s="22"/>
      <c r="M34" s="22">
        <v>240</v>
      </c>
      <c r="N34" s="9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C34" s="1">
        <v>156</v>
      </c>
      <c r="AD34">
        <f>AD32-5</f>
        <v>-52.4</v>
      </c>
    </row>
    <row r="35" spans="1:30">
      <c r="A35" s="138"/>
      <c r="B35" s="22">
        <v>25</v>
      </c>
      <c r="C35" s="22">
        <v>232</v>
      </c>
      <c r="D35" s="22"/>
      <c r="E35" s="22"/>
      <c r="F35" s="136"/>
      <c r="G35" s="136"/>
      <c r="H35" s="136"/>
      <c r="I35" s="136"/>
      <c r="J35" s="136"/>
      <c r="K35" s="137"/>
      <c r="L35" s="22"/>
      <c r="M35" s="22">
        <v>240</v>
      </c>
      <c r="N35" s="9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C35" s="1">
        <v>168</v>
      </c>
      <c r="AD35">
        <f t="shared" ref="AD35:AD40" si="12">AD34-5</f>
        <v>-57.4</v>
      </c>
    </row>
    <row r="36" spans="1:30">
      <c r="A36" s="138"/>
      <c r="B36" s="22"/>
      <c r="C36" s="23">
        <v>139</v>
      </c>
      <c r="D36" s="23"/>
      <c r="E36" s="23"/>
      <c r="F36" s="23"/>
      <c r="G36" s="23"/>
      <c r="H36" s="23"/>
      <c r="I36" s="23"/>
      <c r="J36" s="23"/>
      <c r="K36" s="139"/>
      <c r="L36" s="23"/>
      <c r="M36" s="23">
        <v>145</v>
      </c>
      <c r="N36" s="9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C36" s="1">
        <v>180</v>
      </c>
      <c r="AD36">
        <f t="shared" si="12"/>
        <v>-62.4</v>
      </c>
    </row>
    <row r="37" spans="1:30">
      <c r="A37" s="138"/>
      <c r="B37" s="22"/>
      <c r="C37" s="23">
        <v>139</v>
      </c>
      <c r="D37" s="23"/>
      <c r="E37" s="23"/>
      <c r="F37" s="23"/>
      <c r="G37" s="23"/>
      <c r="H37" s="23"/>
      <c r="I37" s="23"/>
      <c r="J37" s="23"/>
      <c r="K37" s="139"/>
      <c r="L37" s="23"/>
      <c r="M37" s="23">
        <v>145</v>
      </c>
      <c r="N37" s="9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C37" s="1">
        <v>192</v>
      </c>
      <c r="AD37">
        <f t="shared" si="12"/>
        <v>-67.400000000000006</v>
      </c>
    </row>
    <row r="38" spans="1:30">
      <c r="A38" s="138"/>
      <c r="B38" s="22"/>
      <c r="C38" s="23">
        <v>91</v>
      </c>
      <c r="D38" s="23"/>
      <c r="E38" s="23"/>
      <c r="F38" s="23"/>
      <c r="G38" s="23"/>
      <c r="H38" s="23"/>
      <c r="I38" s="23"/>
      <c r="J38" s="23"/>
      <c r="K38" s="139"/>
      <c r="L38" s="23"/>
      <c r="M38" s="23">
        <v>97</v>
      </c>
      <c r="N38" s="9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C38" s="1">
        <v>204</v>
      </c>
      <c r="AD38">
        <f t="shared" si="12"/>
        <v>-72.400000000000006</v>
      </c>
    </row>
    <row r="39" spans="1:30">
      <c r="A39" s="138"/>
      <c r="B39" s="22"/>
      <c r="C39" s="23">
        <v>91</v>
      </c>
      <c r="D39" s="23"/>
      <c r="E39" s="23"/>
      <c r="F39" s="23"/>
      <c r="G39" s="23"/>
      <c r="H39" s="23"/>
      <c r="I39" s="23"/>
      <c r="J39" s="23"/>
      <c r="K39" s="139"/>
      <c r="L39" s="23"/>
      <c r="M39" s="23">
        <v>97</v>
      </c>
      <c r="N39" s="9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AC39" s="1">
        <v>216</v>
      </c>
      <c r="AD39">
        <f t="shared" si="12"/>
        <v>-77.400000000000006</v>
      </c>
    </row>
    <row r="40" spans="1:30">
      <c r="B40" s="5"/>
      <c r="C40" s="6"/>
      <c r="D40" s="6"/>
      <c r="E40" s="6"/>
      <c r="F40" s="6"/>
      <c r="G40" s="6"/>
      <c r="H40" s="6"/>
      <c r="I40" s="6"/>
      <c r="J40" s="6"/>
      <c r="K40" s="24"/>
      <c r="L40" s="6"/>
      <c r="N40" s="6"/>
      <c r="AC40" s="1">
        <v>228</v>
      </c>
      <c r="AD40">
        <f t="shared" si="12"/>
        <v>-82.4</v>
      </c>
    </row>
    <row r="41" spans="1:30">
      <c r="A41" s="127"/>
      <c r="B41" s="141"/>
      <c r="C41" s="127"/>
      <c r="D41" s="127"/>
      <c r="E41" s="127"/>
      <c r="F41" s="127"/>
      <c r="G41" s="127"/>
      <c r="H41" s="127"/>
      <c r="I41" s="127"/>
      <c r="J41" s="127"/>
      <c r="K41" s="128"/>
      <c r="L41" s="5"/>
      <c r="M41" s="5" t="s">
        <v>2</v>
      </c>
      <c r="N41" s="6"/>
      <c r="AC41" s="2">
        <v>232</v>
      </c>
      <c r="AD41">
        <f t="shared" ref="AD41:AD48" si="13">AD42+0.4</f>
        <v>-84.19999999999996</v>
      </c>
    </row>
    <row r="42" spans="1:30">
      <c r="A42" s="127"/>
      <c r="B42" s="141"/>
      <c r="C42" s="129"/>
      <c r="D42" s="129"/>
      <c r="E42" s="129"/>
      <c r="F42" s="129"/>
      <c r="G42" s="129"/>
      <c r="H42" s="129"/>
      <c r="I42" s="129"/>
      <c r="J42" s="129"/>
      <c r="K42" s="128"/>
      <c r="L42" s="7"/>
      <c r="M42" s="5">
        <f>B2</f>
        <v>0</v>
      </c>
      <c r="N42" s="6"/>
      <c r="AC42" s="2">
        <v>233</v>
      </c>
      <c r="AD42">
        <f t="shared" si="13"/>
        <v>-84.599999999999966</v>
      </c>
    </row>
    <row r="43" spans="1:30">
      <c r="B43" s="130"/>
      <c r="C43" s="7" t="e">
        <f>M11</f>
        <v>#VALUE!</v>
      </c>
      <c r="D43" s="7"/>
      <c r="E43" s="7"/>
      <c r="F43" s="7"/>
      <c r="G43" s="7"/>
      <c r="H43" s="7"/>
      <c r="I43" s="7"/>
      <c r="J43" s="7"/>
      <c r="K43" s="25"/>
      <c r="L43" s="7"/>
      <c r="M43" s="5">
        <f>B11</f>
        <v>94</v>
      </c>
      <c r="N43" s="6"/>
      <c r="AC43" s="2">
        <v>234</v>
      </c>
      <c r="AD43">
        <f t="shared" si="13"/>
        <v>-84.999999999999972</v>
      </c>
    </row>
    <row r="44" spans="1:30">
      <c r="B44" s="5"/>
      <c r="C44" s="6"/>
      <c r="D44" s="6"/>
      <c r="E44" s="6"/>
      <c r="F44" s="6"/>
      <c r="G44" s="6"/>
      <c r="H44" s="6"/>
      <c r="I44" s="6"/>
      <c r="J44" s="6"/>
      <c r="K44" s="24"/>
      <c r="L44" s="6"/>
      <c r="N44" s="6"/>
      <c r="AC44" s="2">
        <v>235</v>
      </c>
      <c r="AD44">
        <f t="shared" si="13"/>
        <v>-85.399999999999977</v>
      </c>
    </row>
    <row r="45" spans="1:30">
      <c r="C45" s="1"/>
      <c r="D45" s="1"/>
      <c r="E45" s="1"/>
      <c r="F45" s="1"/>
      <c r="G45" s="1"/>
      <c r="H45" s="1"/>
      <c r="I45" s="1"/>
      <c r="J45" s="1"/>
      <c r="K45" s="26"/>
      <c r="L45" s="1"/>
      <c r="M45" s="5"/>
      <c r="AC45" s="2">
        <v>236</v>
      </c>
      <c r="AD45">
        <f t="shared" si="13"/>
        <v>-85.799999999999983</v>
      </c>
    </row>
    <row r="46" spans="1:30">
      <c r="C46" s="1"/>
      <c r="D46" s="1"/>
      <c r="E46" s="1"/>
      <c r="F46" s="1"/>
      <c r="G46" s="1"/>
      <c r="H46" s="1"/>
      <c r="I46" s="1"/>
      <c r="J46" s="1"/>
      <c r="K46" s="26"/>
      <c r="L46" s="1"/>
      <c r="M46" s="5"/>
      <c r="AC46" s="2">
        <v>237</v>
      </c>
      <c r="AD46">
        <f t="shared" si="13"/>
        <v>-86.199999999999989</v>
      </c>
    </row>
    <row r="47" spans="1:30">
      <c r="AC47" s="2">
        <v>238</v>
      </c>
      <c r="AD47">
        <f t="shared" si="13"/>
        <v>-86.6</v>
      </c>
    </row>
    <row r="48" spans="1:30">
      <c r="AC48" s="2">
        <v>239</v>
      </c>
      <c r="AD48">
        <f t="shared" si="13"/>
        <v>-87</v>
      </c>
    </row>
    <row r="49" spans="29:30">
      <c r="AC49" s="3">
        <v>240</v>
      </c>
      <c r="AD49">
        <f>AD40-5</f>
        <v>-87.4</v>
      </c>
    </row>
  </sheetData>
  <mergeCells count="15">
    <mergeCell ref="A21:A23"/>
    <mergeCell ref="A18:A20"/>
    <mergeCell ref="A12:A15"/>
    <mergeCell ref="A4:A6"/>
    <mergeCell ref="A7:A9"/>
    <mergeCell ref="J1:K1"/>
    <mergeCell ref="C28:C29"/>
    <mergeCell ref="C30:C31"/>
    <mergeCell ref="I3:I9"/>
    <mergeCell ref="I12:I15"/>
    <mergeCell ref="I18:I24"/>
    <mergeCell ref="K5:K7"/>
    <mergeCell ref="K12:K15"/>
    <mergeCell ref="K20:K22"/>
    <mergeCell ref="H1:I1"/>
  </mergeCells>
  <conditionalFormatting sqref="I3:I10">
    <cfRule type="cellIs" dxfId="117" priority="460" operator="lessThan">
      <formula>$I$11</formula>
    </cfRule>
  </conditionalFormatting>
  <conditionalFormatting sqref="I12:I16">
    <cfRule type="cellIs" dxfId="116" priority="459" operator="lessThan">
      <formula>$I$17</formula>
    </cfRule>
  </conditionalFormatting>
  <conditionalFormatting sqref="I18:I24">
    <cfRule type="cellIs" dxfId="115" priority="458" operator="lessThan">
      <formula>$I$25</formula>
    </cfRule>
  </conditionalFormatting>
  <conditionalFormatting sqref="H18:I24">
    <cfRule type="cellIs" dxfId="114" priority="457" operator="greaterThan">
      <formula>$I$25</formula>
    </cfRule>
  </conditionalFormatting>
  <conditionalFormatting sqref="H12:I16">
    <cfRule type="cellIs" dxfId="113" priority="456" operator="greaterThan">
      <formula>$I$17</formula>
    </cfRule>
  </conditionalFormatting>
  <conditionalFormatting sqref="H3:I10 H4:H25">
    <cfRule type="cellIs" dxfId="112" priority="455" operator="greaterThan">
      <formula>$I$11</formula>
    </cfRule>
  </conditionalFormatting>
  <conditionalFormatting sqref="F2:F11 H2:H11">
    <cfRule type="expression" dxfId="111" priority="411">
      <formula>NOT($C$11=" ")</formula>
    </cfRule>
  </conditionalFormatting>
  <conditionalFormatting sqref="F12:F17 H12:H17">
    <cfRule type="expression" dxfId="110" priority="410">
      <formula>NOT($C$17=" ")</formula>
    </cfRule>
  </conditionalFormatting>
  <conditionalFormatting sqref="F18:F25 H18:H25">
    <cfRule type="expression" dxfId="109" priority="409">
      <formula>NOT($C$25=" ")</formula>
    </cfRule>
  </conditionalFormatting>
  <conditionalFormatting sqref="A21:A23">
    <cfRule type="expression" dxfId="108" priority="392">
      <formula>($A$18=" ")*($A$21=" ")*($B$1="№")</formula>
    </cfRule>
  </conditionalFormatting>
  <conditionalFormatting sqref="A24">
    <cfRule type="expression" dxfId="107" priority="391">
      <formula>($A$18=" ")*($A$21=" ")*($B$1="№")</formula>
    </cfRule>
  </conditionalFormatting>
  <conditionalFormatting sqref="A3">
    <cfRule type="expression" dxfId="106" priority="390">
      <formula>($A$7=" ")*($A$4=" ")*($B$1="№")</formula>
    </cfRule>
  </conditionalFormatting>
  <conditionalFormatting sqref="A4:A6">
    <cfRule type="expression" dxfId="105" priority="389">
      <formula>($A$7=" ")*($A$4=" ")*($B$1="№")</formula>
    </cfRule>
  </conditionalFormatting>
  <conditionalFormatting sqref="B27">
    <cfRule type="cellIs" dxfId="104" priority="368" operator="between">
      <formula>1350</formula>
      <formula>2000</formula>
    </cfRule>
    <cfRule type="cellIs" dxfId="103" priority="369" operator="between">
      <formula>562</formula>
      <formula>950</formula>
    </cfRule>
    <cfRule type="cellIs" dxfId="102" priority="370" operator="lessThan">
      <formula>458</formula>
    </cfRule>
    <cfRule type="expression" dxfId="101" priority="794">
      <formula>(($B$27=" ")+($B$26="Ползун")*(($B$27&gt;458)*($B$27&lt;562))+(($B$27&gt;950)*($B$27&lt;1350)))</formula>
    </cfRule>
  </conditionalFormatting>
  <conditionalFormatting sqref="B26:C26">
    <cfRule type="expression" dxfId="100" priority="378">
      <formula>($B$27=" ")</formula>
    </cfRule>
  </conditionalFormatting>
  <conditionalFormatting sqref="A12:A16">
    <cfRule type="expression" dxfId="99" priority="374">
      <formula>($A$12=" ")</formula>
    </cfRule>
    <cfRule type="cellIs" dxfId="98" priority="375" operator="lessThan">
      <formula>8</formula>
    </cfRule>
    <cfRule type="cellIs" dxfId="97" priority="376" operator="greaterThan">
      <formula>8</formula>
    </cfRule>
  </conditionalFormatting>
  <conditionalFormatting sqref="A28:C31">
    <cfRule type="expression" dxfId="96" priority="373">
      <formula>($B$28=" ")*($B$29=" ")*($B$30=" ")*($B$31=" ")*($B$1="№")</formula>
    </cfRule>
  </conditionalFormatting>
  <conditionalFormatting sqref="A26:E27">
    <cfRule type="expression" dxfId="95" priority="361">
      <formula>($C$27=" ")*($B$1="№")</formula>
    </cfRule>
  </conditionalFormatting>
  <conditionalFormatting sqref="C28">
    <cfRule type="expression" dxfId="94" priority="413">
      <formula>(($B$28=" ")+($B$29=" "))*(($D$28=" ")+($D$29=" "))</formula>
    </cfRule>
    <cfRule type="cellIs" dxfId="93" priority="448" operator="lessThan">
      <formula>7</formula>
    </cfRule>
    <cfRule type="cellIs" dxfId="92" priority="450" operator="greaterThan">
      <formula>7</formula>
    </cfRule>
  </conditionalFormatting>
  <conditionalFormatting sqref="C30">
    <cfRule type="expression" dxfId="91" priority="412">
      <formula>(($B$30=" ")+($B$31=" "))*(($D$30=" ")+($D$31=" "))</formula>
    </cfRule>
    <cfRule type="cellIs" dxfId="90" priority="447" operator="lessThan">
      <formula>5</formula>
    </cfRule>
    <cfRule type="cellIs" dxfId="89" priority="449" operator="greaterThan">
      <formula>5</formula>
    </cfRule>
  </conditionalFormatting>
  <conditionalFormatting sqref="C27">
    <cfRule type="expression" dxfId="88" priority="383">
      <formula>($C$27=" ")</formula>
    </cfRule>
    <cfRule type="expression" dxfId="87" priority="207">
      <formula>(C27&gt;585)*(C27&lt;590)+(C27&gt;530)*(C27&lt;535)</formula>
    </cfRule>
  </conditionalFormatting>
  <conditionalFormatting sqref="D2:D25">
    <cfRule type="expression" dxfId="86" priority="357">
      <formula>NOT($B$30=" ")</formula>
    </cfRule>
  </conditionalFormatting>
  <conditionalFormatting sqref="H18:H25">
    <cfRule type="expression" dxfId="85" priority="354">
      <formula>"не($C$22="" "")"</formula>
    </cfRule>
  </conditionalFormatting>
  <conditionalFormatting sqref="D27">
    <cfRule type="expression" dxfId="84" priority="275">
      <formula>NOT($D$27=" ")</formula>
    </cfRule>
    <cfRule type="expression" dxfId="83" priority="385">
      <formula>$D$27=" "</formula>
    </cfRule>
  </conditionalFormatting>
  <conditionalFormatting sqref="J12:J17">
    <cfRule type="expression" dxfId="82" priority="554">
      <formula>NOT($C$17=" ")</formula>
    </cfRule>
  </conditionalFormatting>
  <conditionalFormatting sqref="J18:J25">
    <cfRule type="expression" dxfId="81" priority="557">
      <formula>NOT($C$25=" ")</formula>
    </cfRule>
  </conditionalFormatting>
  <conditionalFormatting sqref="J3:J11">
    <cfRule type="expression" dxfId="80" priority="560">
      <formula>NOT($C$11=" ")</formula>
    </cfRule>
  </conditionalFormatting>
  <conditionalFormatting sqref="K3:K10">
    <cfRule type="expression" dxfId="79" priority="342">
      <formula>$K$5="∆ОА="</formula>
    </cfRule>
    <cfRule type="expression" dxfId="78" priority="343">
      <formula>$K$5&lt;$K$11</formula>
    </cfRule>
    <cfRule type="expression" dxfId="77" priority="344">
      <formula>$K$5&gt;$K$11</formula>
    </cfRule>
  </conditionalFormatting>
  <conditionalFormatting sqref="K12:K16">
    <cfRule type="expression" dxfId="76" priority="334">
      <formula>($K$12&lt;2000)+($K$12="FAIL")</formula>
    </cfRule>
    <cfRule type="expression" dxfId="75" priority="339">
      <formula>$K$12="∆АБ="</formula>
    </cfRule>
    <cfRule type="cellIs" dxfId="74" priority="340" operator="lessThan">
      <formula>$K$17</formula>
    </cfRule>
    <cfRule type="cellIs" dxfId="73" priority="341" operator="greaterThan">
      <formula>$K$17</formula>
    </cfRule>
  </conditionalFormatting>
  <conditionalFormatting sqref="K18:K24">
    <cfRule type="expression" dxfId="72" priority="336">
      <formula>$K$20="∆БВ="</formula>
    </cfRule>
    <cfRule type="expression" dxfId="71" priority="337">
      <formula>$K$20&lt;$K$25</formula>
    </cfRule>
    <cfRule type="expression" dxfId="70" priority="338">
      <formula>$K$20&gt;$K$25</formula>
    </cfRule>
  </conditionalFormatting>
  <conditionalFormatting sqref="K5:K7">
    <cfRule type="expression" dxfId="69" priority="335">
      <formula>($K$5&lt;2000)+($K$5="FAIL")</formula>
    </cfRule>
  </conditionalFormatting>
  <conditionalFormatting sqref="K20:K22">
    <cfRule type="expression" dxfId="68" priority="333">
      <formula>($K$20&lt;2000)+($K$20="FAIL")</formula>
    </cfRule>
  </conditionalFormatting>
  <conditionalFormatting sqref="D26">
    <cfRule type="cellIs" dxfId="67" priority="363" operator="lessThan">
      <formula>950</formula>
    </cfRule>
    <cfRule type="cellIs" dxfId="66" priority="364" operator="greaterThan">
      <formula>1350</formula>
    </cfRule>
    <cfRule type="expression" dxfId="65" priority="27">
      <formula>($D$26=" ")</formula>
    </cfRule>
  </conditionalFormatting>
  <conditionalFormatting sqref="C27:D27">
    <cfRule type="cellIs" dxfId="64" priority="619" operator="greaterThan">
      <formula>590</formula>
    </cfRule>
    <cfRule type="cellIs" dxfId="63" priority="679" operator="lessThan">
      <formula>530</formula>
    </cfRule>
  </conditionalFormatting>
  <conditionalFormatting sqref="F17:K17 F25:K25 F11:K11 A11:D11 A25:D25 A17:D17 A2:D2 F2:K2 E2 E11 E17 E25">
    <cfRule type="expression" dxfId="62" priority="236">
      <formula>($K$5&lt;$K$11)*($K$12&lt;$K$17)*($K$20&lt;$K$25)*($B$11=94)*($B$17=142)*($B$25=236)</formula>
    </cfRule>
  </conditionalFormatting>
  <conditionalFormatting sqref="J3:J9">
    <cfRule type="cellIs" dxfId="61" priority="325" operator="greaterThan">
      <formula>$K$11</formula>
    </cfRule>
  </conditionalFormatting>
  <conditionalFormatting sqref="J12:J15">
    <cfRule type="cellIs" dxfId="60" priority="324" operator="greaterThan">
      <formula>$K$17</formula>
    </cfRule>
  </conditionalFormatting>
  <conditionalFormatting sqref="J18:J24">
    <cfRule type="cellIs" dxfId="59" priority="323" operator="greaterThan">
      <formula>$K$25</formula>
    </cfRule>
  </conditionalFormatting>
  <conditionalFormatting sqref="F26:K31">
    <cfRule type="expression" dxfId="58" priority="629">
      <formula>($K$5&lt;$K$11)*($K$12&lt;$K$17)*($K$20&lt;$K$25)</formula>
    </cfRule>
  </conditionalFormatting>
  <conditionalFormatting sqref="D28:E31">
    <cfRule type="expression" dxfId="57" priority="260">
      <formula>($B$1="№")*($B$28=" ")</formula>
    </cfRule>
  </conditionalFormatting>
  <conditionalFormatting sqref="D28:D29 E28">
    <cfRule type="expression" dxfId="56" priority="261">
      <formula>ABS($D$28-$D$29)&gt;7</formula>
    </cfRule>
  </conditionalFormatting>
  <conditionalFormatting sqref="D30:D31 E29">
    <cfRule type="expression" dxfId="55" priority="262">
      <formula>ABS($D$30-$D$31)&gt;5</formula>
    </cfRule>
  </conditionalFormatting>
  <conditionalFormatting sqref="A27:E27">
    <cfRule type="expression" dxfId="54" priority="384">
      <formula>($K$5&lt;$K$11)*($K$12&lt;$K$17)*($K$20&lt;$K$25)*($B$11=94)*($B$17=142)*($B$25=236)*($C$27&lt;590)*($C$27&gt;530)*(($B$27&lt;1350)*($B$27&gt;950)+($B$27&lt;562)*($B$27&gt;458)+($B$27=" "))*(($C$28&lt;7)+($C$28=" "))*(($C$30&lt;5)+($C$30=" "))*(($A$12&lt;8)+($A$12=" "))</formula>
    </cfRule>
  </conditionalFormatting>
  <conditionalFormatting sqref="A11">
    <cfRule type="expression" dxfId="53" priority="795">
      <formula>$A$11="А"</formula>
    </cfRule>
    <cfRule type="expression" dxfId="52" priority="796">
      <formula>($K$5&gt;$K$11)+($K$12&gt;$K$17)</formula>
    </cfRule>
  </conditionalFormatting>
  <conditionalFormatting sqref="A17">
    <cfRule type="expression" dxfId="51" priority="797">
      <formula>$A$17="Б"</formula>
    </cfRule>
    <cfRule type="expression" dxfId="50" priority="798">
      <formula>($K$12&gt;$K$17)+($K$20&gt;$K$25)</formula>
    </cfRule>
  </conditionalFormatting>
  <conditionalFormatting sqref="A25">
    <cfRule type="expression" dxfId="49" priority="799">
      <formula>$A$25="В"</formula>
    </cfRule>
    <cfRule type="expression" dxfId="48" priority="800">
      <formula>$K$20&gt;$K$25</formula>
    </cfRule>
  </conditionalFormatting>
  <conditionalFormatting sqref="C2">
    <cfRule type="expression" dxfId="47" priority="804">
      <formula>($J$2&lt;$K$2)*($J$11&lt;$K$11)*($J$15&lt;$K$15)*($B$10=94)*($B$14=142)*($B$22=236)</formula>
    </cfRule>
  </conditionalFormatting>
  <conditionalFormatting sqref="G2:G11">
    <cfRule type="expression" dxfId="46" priority="267">
      <formula>NOT($B$28=" ")*NOT($C$11=" ")</formula>
    </cfRule>
  </conditionalFormatting>
  <conditionalFormatting sqref="G12:G17">
    <cfRule type="expression" dxfId="45" priority="241">
      <formula>NOT($B$28=" ")*NOT($C$17=" ")</formula>
    </cfRule>
  </conditionalFormatting>
  <conditionalFormatting sqref="G18:G25">
    <cfRule type="expression" dxfId="44" priority="240">
      <formula>NOT($B$28=" ")*NOT($C$25=" ")</formula>
    </cfRule>
  </conditionalFormatting>
  <conditionalFormatting sqref="E2">
    <cfRule type="expression" dxfId="43" priority="234">
      <formula>($K$5&lt;$K$11)*($K$12&lt;$K$17)*($K$20&lt;$K$25)*($B$11=94)*($B$17=142)*($B$25=236)*($E$2=0)</formula>
    </cfRule>
    <cfRule type="expression" dxfId="42" priority="230">
      <formula>NOT($E$2=0)</formula>
    </cfRule>
  </conditionalFormatting>
  <conditionalFormatting sqref="E11">
    <cfRule type="expression" dxfId="41" priority="233">
      <formula>($K$5&lt;$K$11)*($K$12&lt;$K$17)*($K$20&lt;$K$25)*($B$11=94)*($B$17=142)*($B$25=236)*($E$11=0)</formula>
    </cfRule>
    <cfRule type="expression" dxfId="40" priority="221">
      <formula>NOT($E$11=0)</formula>
    </cfRule>
  </conditionalFormatting>
  <conditionalFormatting sqref="E17">
    <cfRule type="expression" dxfId="39" priority="232">
      <formula>($K$5&lt;$K$11)*($K$12&lt;$K$17)*($K$20&lt;$K$25)*($B$11=94)*($B$17=142)*($B$25=236)*($E$17=0)</formula>
    </cfRule>
    <cfRule type="expression" dxfId="38" priority="217">
      <formula>NOT($E$17=0)</formula>
    </cfRule>
  </conditionalFormatting>
  <conditionalFormatting sqref="E25">
    <cfRule type="expression" dxfId="37" priority="231">
      <formula>($K$5&lt;$K$11)*($K$12&lt;$K$17)*($K$20&lt;$K$25)*($B$11=94)*($B$17=142)*($B$25=236)*($E$25=0)</formula>
    </cfRule>
    <cfRule type="expression" dxfId="36" priority="209">
      <formula>NOT($E$25=0)</formula>
    </cfRule>
  </conditionalFormatting>
  <conditionalFormatting sqref="E3">
    <cfRule type="expression" dxfId="35" priority="229">
      <formula>NOT($E$3=0)</formula>
    </cfRule>
  </conditionalFormatting>
  <conditionalFormatting sqref="E4">
    <cfRule type="expression" dxfId="34" priority="228">
      <formula>NOT($E$4=0)</formula>
    </cfRule>
  </conditionalFormatting>
  <conditionalFormatting sqref="E5">
    <cfRule type="expression" dxfId="33" priority="227">
      <formula>NOT($E$5=0)</formula>
    </cfRule>
  </conditionalFormatting>
  <conditionalFormatting sqref="E6">
    <cfRule type="expression" dxfId="32" priority="226">
      <formula>NOT($E$6=0)</formula>
    </cfRule>
  </conditionalFormatting>
  <conditionalFormatting sqref="E7">
    <cfRule type="expression" dxfId="31" priority="225">
      <formula>NOT($E$7=0)</formula>
    </cfRule>
  </conditionalFormatting>
  <conditionalFormatting sqref="E8">
    <cfRule type="expression" dxfId="30" priority="224">
      <formula>NOT($E$8=0)</formula>
    </cfRule>
  </conditionalFormatting>
  <conditionalFormatting sqref="E9">
    <cfRule type="expression" dxfId="29" priority="222">
      <formula>NOT($E$9=0)</formula>
    </cfRule>
  </conditionalFormatting>
  <conditionalFormatting sqref="E12">
    <cfRule type="expression" dxfId="28" priority="220">
      <formula>NOT($E$12=0)</formula>
    </cfRule>
  </conditionalFormatting>
  <conditionalFormatting sqref="E14">
    <cfRule type="expression" dxfId="27" priority="219">
      <formula>NOT($E$14=0)</formula>
    </cfRule>
  </conditionalFormatting>
  <conditionalFormatting sqref="E15">
    <cfRule type="expression" dxfId="26" priority="218">
      <formula>NOT($E$15=0)</formula>
    </cfRule>
  </conditionalFormatting>
  <conditionalFormatting sqref="E18">
    <cfRule type="expression" dxfId="25" priority="216">
      <formula>NOT($E$18=0)</formula>
    </cfRule>
  </conditionalFormatting>
  <conditionalFormatting sqref="E19">
    <cfRule type="expression" dxfId="24" priority="215">
      <formula>NOT($E$19=0)</formula>
    </cfRule>
  </conditionalFormatting>
  <conditionalFormatting sqref="E20">
    <cfRule type="expression" dxfId="23" priority="214">
      <formula>NOT($E$20=0)</formula>
    </cfRule>
  </conditionalFormatting>
  <conditionalFormatting sqref="E21">
    <cfRule type="expression" dxfId="22" priority="213">
      <formula>NOT($E$21=0)</formula>
    </cfRule>
  </conditionalFormatting>
  <conditionalFormatting sqref="E22">
    <cfRule type="expression" dxfId="21" priority="212">
      <formula>NOT($E$22=0)</formula>
    </cfRule>
  </conditionalFormatting>
  <conditionalFormatting sqref="E23">
    <cfRule type="expression" dxfId="20" priority="211">
      <formula>NOT($E$23=0)</formula>
    </cfRule>
  </conditionalFormatting>
  <conditionalFormatting sqref="E24">
    <cfRule type="expression" dxfId="19" priority="210">
      <formula>NOT($E$24=0)</formula>
    </cfRule>
  </conditionalFormatting>
  <conditionalFormatting sqref="E26 D26">
    <cfRule type="expression" dxfId="18" priority="208">
      <formula>($B$1="R")+NOT($D$27=" ")</formula>
    </cfRule>
  </conditionalFormatting>
  <conditionalFormatting sqref="A1">
    <cfRule type="expression" dxfId="17" priority="205">
      <formula>NOT($A$1=" ")+(C27&gt;585)*(C27&lt;590)+(C27&gt;530)*(C27&lt;535)</formula>
    </cfRule>
  </conditionalFormatting>
  <conditionalFormatting sqref="A26">
    <cfRule type="expression" dxfId="16" priority="204">
      <formula>(NOT($A$26=" "))*($A$26&gt;1.2)</formula>
    </cfRule>
  </conditionalFormatting>
  <conditionalFormatting sqref="E30">
    <cfRule type="expression" dxfId="15" priority="349">
      <formula>($B$1="R")*NOT($A$7=" ")</formula>
    </cfRule>
  </conditionalFormatting>
  <conditionalFormatting sqref="C6">
    <cfRule type="expression" dxfId="14" priority="15">
      <formula>($C$6&gt;2000)</formula>
    </cfRule>
  </conditionalFormatting>
  <conditionalFormatting sqref="C7">
    <cfRule type="expression" dxfId="13" priority="14">
      <formula>($C$7&gt;2000)</formula>
    </cfRule>
  </conditionalFormatting>
  <conditionalFormatting sqref="C8">
    <cfRule type="expression" dxfId="12" priority="13">
      <formula>($C$8&gt;2000)</formula>
    </cfRule>
  </conditionalFormatting>
  <conditionalFormatting sqref="E31">
    <cfRule type="expression" dxfId="11" priority="12">
      <formula>($B$1="R")*NOT($A$18=" ")</formula>
    </cfRule>
  </conditionalFormatting>
  <conditionalFormatting sqref="C7">
    <cfRule type="expression" dxfId="10" priority="11">
      <formula>"(($H$2&lt;0.4)*($H$11&lt;0.6)*($H$15&lt;0.4))"</formula>
    </cfRule>
  </conditionalFormatting>
  <conditionalFormatting sqref="C2">
    <cfRule type="expression" dxfId="9" priority="10">
      <formula>($K$5&lt;$K$11)*($K$12&lt;$K$17)*($K$20&lt;$K$25)*($B$11=94)*($B$17=142)*($B$25=236)</formula>
    </cfRule>
  </conditionalFormatting>
  <conditionalFormatting sqref="C2">
    <cfRule type="expression" dxfId="8" priority="9">
      <formula>($J$2&lt;$K$2)*($J$11&lt;$K$11)*($J$15&lt;$K$15)*($B$10=94)*($B$14=142)*($B$22=236)</formula>
    </cfRule>
  </conditionalFormatting>
  <conditionalFormatting sqref="C7">
    <cfRule type="expression" dxfId="7" priority="8">
      <formula>"(($H$2&lt;0.4)*($H$11&lt;0.6)*($H$15&lt;0.4))"</formula>
    </cfRule>
  </conditionalFormatting>
  <conditionalFormatting sqref="C7">
    <cfRule type="expression" dxfId="6" priority="7">
      <formula>"(($H$2&lt;0.4)*($H$11&lt;0.6)*($H$15&lt;0.4))"</formula>
    </cfRule>
  </conditionalFormatting>
  <conditionalFormatting sqref="C7">
    <cfRule type="expression" dxfId="5" priority="6">
      <formula>"(($H$2&lt;0.4)*($H$11&lt;0.6)*($H$15&lt;0.4))"</formula>
    </cfRule>
  </conditionalFormatting>
  <conditionalFormatting sqref="C2">
    <cfRule type="expression" dxfId="4" priority="5">
      <formula>($K$2&lt;$L$2)*($K$11&lt;$L$11)*($K$15&lt;$L$15)*($B$10=94)*($B$14=142)*($B$22=236)</formula>
    </cfRule>
  </conditionalFormatting>
  <conditionalFormatting sqref="C7">
    <cfRule type="expression" dxfId="3" priority="4">
      <formula>"(($H$2&lt;0.4)*($H$11&lt;0.6)*($H$15&lt;0.4))"</formula>
    </cfRule>
  </conditionalFormatting>
  <conditionalFormatting sqref="C7">
    <cfRule type="expression" dxfId="2" priority="3">
      <formula>"(($H$2&lt;0.4)*($H$11&lt;0.6)*($H$15&lt;0.4))"</formula>
    </cfRule>
  </conditionalFormatting>
  <conditionalFormatting sqref="C7">
    <cfRule type="expression" dxfId="1" priority="2">
      <formula>"(($H$2&lt;0.4)*($H$11&lt;0.6)*($H$15&lt;0.4))"</formula>
    </cfRule>
  </conditionalFormatting>
  <conditionalFormatting sqref="C2">
    <cfRule type="expression" dxfId="0" priority="1">
      <formula>($K$2&lt;$L$2)*($K$11&lt;$L$11)*($K$15&lt;$L$15)*($B$10=94)*($B$14=142)*($B$22=236)</formula>
    </cfRule>
  </conditionalFormatting>
  <pageMargins left="0.25" right="0.25" top="0.75" bottom="0.75" header="0.3" footer="0.3"/>
  <pageSetup paperSize="9" scale="92" orientation="landscape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2022-01-12T11:59:09Z</dcterms:modified>
</cp:coreProperties>
</file>